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ismailov\Desktop\Новая папка (2)\Бюдж2020  ЖК\Бюдж2020  ЖК\Бюджет на 2020 (на официальном языке)\"/>
    </mc:Choice>
  </mc:AlternateContent>
  <bookViews>
    <workbookView xWindow="0" yWindow="0" windowWidth="28800" windowHeight="13635"/>
  </bookViews>
  <sheets>
    <sheet name="Приложение 11" sheetId="1" r:id="rId1"/>
    <sheet name="Лист1" sheetId="2" r:id="rId2"/>
  </sheets>
  <externalReferences>
    <externalReference r:id="rId3"/>
    <externalReference r:id="rId4"/>
    <externalReference r:id="rId5"/>
  </externalReferences>
  <definedNames>
    <definedName name="_xlnm.Print_Titles" localSheetId="0">'Приложение 11'!$8:$10</definedName>
    <definedName name="_xlnm.Print_Area" localSheetId="0">'Приложение 11'!$A$1:$Q$2017</definedName>
  </definedNames>
  <calcPr calcId="162913"/>
</workbook>
</file>

<file path=xl/calcChain.xml><?xml version="1.0" encoding="utf-8"?>
<calcChain xmlns="http://schemas.openxmlformats.org/spreadsheetml/2006/main">
  <c r="H76" i="1" l="1"/>
  <c r="H70" i="1"/>
  <c r="H57" i="1" l="1"/>
  <c r="H89" i="1"/>
  <c r="H19" i="1" l="1"/>
  <c r="J2017" i="1" l="1"/>
  <c r="I2017" i="1"/>
  <c r="G2017" i="1"/>
  <c r="F2017" i="1"/>
  <c r="H2016" i="1"/>
  <c r="H2014" i="1" s="1"/>
  <c r="H2013" i="1"/>
  <c r="H2012" i="1"/>
  <c r="H2011" i="1" s="1"/>
  <c r="I2009" i="1"/>
  <c r="H2009" i="1"/>
  <c r="G2009" i="1"/>
  <c r="J2000" i="1"/>
  <c r="I2000" i="1"/>
  <c r="H2000" i="1"/>
  <c r="G2000" i="1"/>
  <c r="J1996" i="1"/>
  <c r="J2009" i="1" s="1"/>
  <c r="I1996" i="1"/>
  <c r="H1996" i="1"/>
  <c r="G1996" i="1"/>
  <c r="F1996" i="1"/>
  <c r="F2009" i="1" s="1"/>
  <c r="J1994" i="1"/>
  <c r="I1994" i="1"/>
  <c r="G1994" i="1"/>
  <c r="H1992" i="1"/>
  <c r="G1992" i="1"/>
  <c r="F1992" i="1"/>
  <c r="F1994" i="1" s="1"/>
  <c r="H1991" i="1"/>
  <c r="H1989" i="1"/>
  <c r="H1988" i="1"/>
  <c r="H1987" i="1"/>
  <c r="H1986" i="1" s="1"/>
  <c r="H1994" i="1" s="1"/>
  <c r="F1986" i="1"/>
  <c r="I1984" i="1"/>
  <c r="J1980" i="1"/>
  <c r="J1984" i="1" s="1"/>
  <c r="H1980" i="1"/>
  <c r="H1984" i="1" s="1"/>
  <c r="G1980" i="1"/>
  <c r="G1984" i="1" s="1"/>
  <c r="F1980" i="1"/>
  <c r="F1984" i="1" s="1"/>
  <c r="J1971" i="1"/>
  <c r="I1971" i="1"/>
  <c r="H1971" i="1"/>
  <c r="G1971" i="1"/>
  <c r="F1971" i="1"/>
  <c r="J1969" i="1"/>
  <c r="I1969" i="1"/>
  <c r="H1969" i="1"/>
  <c r="G1969" i="1"/>
  <c r="F1969" i="1"/>
  <c r="H1953" i="1"/>
  <c r="J1944" i="1"/>
  <c r="J1953" i="1" s="1"/>
  <c r="I1944" i="1"/>
  <c r="I1953" i="1" s="1"/>
  <c r="H1944" i="1"/>
  <c r="G1944" i="1"/>
  <c r="F1944" i="1"/>
  <c r="F1953" i="1" s="1"/>
  <c r="J1937" i="1"/>
  <c r="I1937" i="1"/>
  <c r="H1937" i="1"/>
  <c r="G1937" i="1"/>
  <c r="F1937" i="1"/>
  <c r="J1930" i="1"/>
  <c r="I1930" i="1"/>
  <c r="H1930" i="1"/>
  <c r="G1930" i="1"/>
  <c r="G1953" i="1" s="1"/>
  <c r="F1930" i="1"/>
  <c r="J1927" i="1"/>
  <c r="I1927" i="1"/>
  <c r="H1927" i="1"/>
  <c r="G1927" i="1"/>
  <c r="F1927" i="1"/>
  <c r="G1925" i="1"/>
  <c r="J1923" i="1"/>
  <c r="I1923" i="1"/>
  <c r="F1923" i="1"/>
  <c r="J1919" i="1"/>
  <c r="I1919" i="1"/>
  <c r="H1919" i="1"/>
  <c r="H1923" i="1" s="1"/>
  <c r="G1919" i="1"/>
  <c r="G1923" i="1" s="1"/>
  <c r="F1919" i="1"/>
  <c r="J1917" i="1"/>
  <c r="I1917" i="1"/>
  <c r="H1917" i="1"/>
  <c r="G1917" i="1"/>
  <c r="F1917" i="1"/>
  <c r="H1899" i="1"/>
  <c r="F1899" i="1"/>
  <c r="J1897" i="1"/>
  <c r="J1899" i="1" s="1"/>
  <c r="I1897" i="1"/>
  <c r="H1897" i="1"/>
  <c r="G1897" i="1"/>
  <c r="F1897" i="1"/>
  <c r="H1894" i="1"/>
  <c r="F1894" i="1"/>
  <c r="F1891" i="1" s="1"/>
  <c r="F1895" i="1" s="1"/>
  <c r="J1893" i="1"/>
  <c r="J1891" i="1" s="1"/>
  <c r="I1893" i="1"/>
  <c r="F1893" i="1"/>
  <c r="I1892" i="1"/>
  <c r="I1891" i="1" s="1"/>
  <c r="I1895" i="1" s="1"/>
  <c r="F1892" i="1"/>
  <c r="H1891" i="1"/>
  <c r="H1895" i="1" s="1"/>
  <c r="J1890" i="1"/>
  <c r="I1890" i="1"/>
  <c r="H1890" i="1"/>
  <c r="H1887" i="1" s="1"/>
  <c r="F1890" i="1"/>
  <c r="J1889" i="1"/>
  <c r="I1889" i="1"/>
  <c r="F1889" i="1"/>
  <c r="F1887" i="1" s="1"/>
  <c r="J1888" i="1"/>
  <c r="I1888" i="1"/>
  <c r="F1888" i="1"/>
  <c r="J1887" i="1"/>
  <c r="I1887" i="1"/>
  <c r="J1886" i="1"/>
  <c r="I1886" i="1"/>
  <c r="H1886" i="1"/>
  <c r="F1886" i="1"/>
  <c r="J1885" i="1"/>
  <c r="J1882" i="1" s="1"/>
  <c r="I1885" i="1"/>
  <c r="F1885" i="1"/>
  <c r="J1884" i="1"/>
  <c r="I1884" i="1"/>
  <c r="I1882" i="1" s="1"/>
  <c r="F1884" i="1"/>
  <c r="J1883" i="1"/>
  <c r="I1883" i="1"/>
  <c r="H1883" i="1"/>
  <c r="F1883" i="1"/>
  <c r="H1882" i="1"/>
  <c r="F1882" i="1"/>
  <c r="F1881" i="1"/>
  <c r="F1880" i="1"/>
  <c r="J1879" i="1"/>
  <c r="J1877" i="1" s="1"/>
  <c r="I1879" i="1"/>
  <c r="F1879" i="1"/>
  <c r="I1877" i="1"/>
  <c r="H1877" i="1"/>
  <c r="F1877" i="1"/>
  <c r="I1875" i="1"/>
  <c r="H1875" i="1"/>
  <c r="J1873" i="1"/>
  <c r="J1875" i="1" s="1"/>
  <c r="I1873" i="1"/>
  <c r="H1873" i="1"/>
  <c r="G1873" i="1"/>
  <c r="G1875" i="1" s="1"/>
  <c r="F1873" i="1"/>
  <c r="F1875" i="1" s="1"/>
  <c r="J1871" i="1"/>
  <c r="G1871" i="1"/>
  <c r="F1871" i="1"/>
  <c r="J1863" i="1"/>
  <c r="I1863" i="1"/>
  <c r="I1871" i="1" s="1"/>
  <c r="H1863" i="1"/>
  <c r="H1871" i="1" s="1"/>
  <c r="G1863" i="1"/>
  <c r="F1863" i="1"/>
  <c r="J1859" i="1"/>
  <c r="I1859" i="1"/>
  <c r="H1859" i="1"/>
  <c r="G1857" i="1"/>
  <c r="F1857" i="1"/>
  <c r="J1853" i="1"/>
  <c r="I1853" i="1"/>
  <c r="I1857" i="1" s="1"/>
  <c r="H1853" i="1"/>
  <c r="G1853" i="1"/>
  <c r="F1853" i="1"/>
  <c r="J1845" i="1"/>
  <c r="J1857" i="1" s="1"/>
  <c r="I1845" i="1"/>
  <c r="H1845" i="1"/>
  <c r="G1845" i="1"/>
  <c r="F1845" i="1"/>
  <c r="J1843" i="1"/>
  <c r="I1843" i="1"/>
  <c r="H1842" i="1"/>
  <c r="H1841" i="1" s="1"/>
  <c r="J1832" i="1"/>
  <c r="I1832" i="1"/>
  <c r="H1832" i="1"/>
  <c r="G1832" i="1"/>
  <c r="G1843" i="1" s="1"/>
  <c r="H1830" i="1"/>
  <c r="J1826" i="1"/>
  <c r="I1826" i="1"/>
  <c r="H1826" i="1"/>
  <c r="G1826" i="1"/>
  <c r="F1826" i="1"/>
  <c r="J1823" i="1"/>
  <c r="I1823" i="1"/>
  <c r="H1823" i="1"/>
  <c r="G1823" i="1"/>
  <c r="F1823" i="1"/>
  <c r="J1819" i="1"/>
  <c r="J1830" i="1" s="1"/>
  <c r="I1819" i="1"/>
  <c r="I1830" i="1" s="1"/>
  <c r="H1819" i="1"/>
  <c r="G1819" i="1"/>
  <c r="G1830" i="1" s="1"/>
  <c r="F1819" i="1"/>
  <c r="F1830" i="1" s="1"/>
  <c r="H1814" i="1"/>
  <c r="G1814" i="1"/>
  <c r="J1804" i="1"/>
  <c r="I1804" i="1"/>
  <c r="H1804" i="1"/>
  <c r="G1804" i="1"/>
  <c r="F1804" i="1"/>
  <c r="J1794" i="1"/>
  <c r="J1814" i="1" s="1"/>
  <c r="I1794" i="1"/>
  <c r="I1814" i="1" s="1"/>
  <c r="H1794" i="1"/>
  <c r="G1794" i="1"/>
  <c r="F1794" i="1"/>
  <c r="F1814" i="1" s="1"/>
  <c r="G1792" i="1"/>
  <c r="I1788" i="1"/>
  <c r="J1782" i="1"/>
  <c r="I1782" i="1"/>
  <c r="K1778" i="1"/>
  <c r="J1778" i="1"/>
  <c r="I1778" i="1"/>
  <c r="K1776" i="1"/>
  <c r="J1776" i="1"/>
  <c r="J1775" i="1" s="1"/>
  <c r="I1776" i="1"/>
  <c r="I1775" i="1"/>
  <c r="H1775" i="1"/>
  <c r="G1775" i="1"/>
  <c r="K1774" i="1"/>
  <c r="J1774" i="1"/>
  <c r="I1774" i="1"/>
  <c r="I1763" i="1" s="1"/>
  <c r="I1792" i="1" s="1"/>
  <c r="K1771" i="1"/>
  <c r="K1770" i="1"/>
  <c r="J1769" i="1"/>
  <c r="J1767" i="1"/>
  <c r="J1766" i="1"/>
  <c r="J1765" i="1"/>
  <c r="J1764" i="1"/>
  <c r="J1763" i="1"/>
  <c r="H1763" i="1"/>
  <c r="H1792" i="1" s="1"/>
  <c r="G1763" i="1"/>
  <c r="J1761" i="1"/>
  <c r="F1761" i="1"/>
  <c r="G1760" i="1"/>
  <c r="G1759" i="1"/>
  <c r="G1758" i="1"/>
  <c r="G1757" i="1"/>
  <c r="G1755" i="1" s="1"/>
  <c r="G1756" i="1"/>
  <c r="J1755" i="1"/>
  <c r="I1755" i="1"/>
  <c r="H1755" i="1"/>
  <c r="H1761" i="1" s="1"/>
  <c r="F1755" i="1"/>
  <c r="G1754" i="1"/>
  <c r="G1753" i="1"/>
  <c r="G1752" i="1"/>
  <c r="G1751" i="1"/>
  <c r="G1749" i="1" s="1"/>
  <c r="J1750" i="1"/>
  <c r="I1750" i="1"/>
  <c r="I1749" i="1" s="1"/>
  <c r="G1750" i="1"/>
  <c r="J1749" i="1"/>
  <c r="H1749" i="1"/>
  <c r="F1749" i="1"/>
  <c r="J1747" i="1"/>
  <c r="I1747" i="1"/>
  <c r="H1747" i="1"/>
  <c r="G1747" i="1"/>
  <c r="F1745" i="1"/>
  <c r="F1747" i="1" s="1"/>
  <c r="F1743" i="1"/>
  <c r="H1740" i="1"/>
  <c r="J1739" i="1"/>
  <c r="J1738" i="1" s="1"/>
  <c r="J1741" i="1" s="1"/>
  <c r="H1739" i="1"/>
  <c r="Q1738" i="1"/>
  <c r="P1738" i="1"/>
  <c r="O1738" i="1"/>
  <c r="N1738" i="1"/>
  <c r="I1738" i="1"/>
  <c r="I1741" i="1" s="1"/>
  <c r="H1738" i="1"/>
  <c r="H1741" i="1" s="1"/>
  <c r="G1738" i="1"/>
  <c r="G1741" i="1" s="1"/>
  <c r="F1738" i="1"/>
  <c r="F1741" i="1" s="1"/>
  <c r="J1735" i="1"/>
  <c r="I1735" i="1"/>
  <c r="H1735" i="1"/>
  <c r="J1734" i="1"/>
  <c r="I1734" i="1"/>
  <c r="I1736" i="1" s="1"/>
  <c r="H1734" i="1"/>
  <c r="J1733" i="1"/>
  <c r="J1729" i="1" s="1"/>
  <c r="J1736" i="1" s="1"/>
  <c r="I1733" i="1"/>
  <c r="H1733" i="1"/>
  <c r="H1729" i="1" s="1"/>
  <c r="H1736" i="1" s="1"/>
  <c r="J1730" i="1"/>
  <c r="I1730" i="1"/>
  <c r="H1730" i="1"/>
  <c r="F1730" i="1"/>
  <c r="F1729" i="1" s="1"/>
  <c r="F1736" i="1" s="1"/>
  <c r="I1729" i="1"/>
  <c r="G1729" i="1"/>
  <c r="G1736" i="1" s="1"/>
  <c r="H1727" i="1"/>
  <c r="J1720" i="1"/>
  <c r="I1720" i="1"/>
  <c r="G1720" i="1"/>
  <c r="F1720" i="1"/>
  <c r="J1716" i="1"/>
  <c r="J1727" i="1" s="1"/>
  <c r="I1716" i="1"/>
  <c r="I1727" i="1" s="1"/>
  <c r="H1716" i="1"/>
  <c r="G1716" i="1"/>
  <c r="G1727" i="1" s="1"/>
  <c r="F1716" i="1"/>
  <c r="F1727" i="1" s="1"/>
  <c r="F1714" i="1"/>
  <c r="J1712" i="1"/>
  <c r="I1712" i="1"/>
  <c r="H1712" i="1"/>
  <c r="G1712" i="1"/>
  <c r="F1712" i="1"/>
  <c r="J1711" i="1"/>
  <c r="J1710" i="1"/>
  <c r="I1710" i="1"/>
  <c r="H1710" i="1"/>
  <c r="G1710" i="1"/>
  <c r="F1710" i="1"/>
  <c r="J1707" i="1"/>
  <c r="I1707" i="1"/>
  <c r="I1706" i="1"/>
  <c r="J1706" i="1" s="1"/>
  <c r="J1704" i="1"/>
  <c r="J1703" i="1" s="1"/>
  <c r="I1704" i="1"/>
  <c r="I1703" i="1" s="1"/>
  <c r="H1703" i="1"/>
  <c r="G1703" i="1"/>
  <c r="F1703" i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G1696" i="1"/>
  <c r="J1694" i="1"/>
  <c r="J1693" i="1" s="1"/>
  <c r="J1714" i="1" s="1"/>
  <c r="I1694" i="1"/>
  <c r="I1693" i="1" s="1"/>
  <c r="H1693" i="1"/>
  <c r="G1693" i="1"/>
  <c r="F1693" i="1"/>
  <c r="J1691" i="1"/>
  <c r="I1691" i="1"/>
  <c r="I1714" i="1" s="1"/>
  <c r="H1691" i="1"/>
  <c r="H1714" i="1" s="1"/>
  <c r="G1691" i="1"/>
  <c r="G1714" i="1" s="1"/>
  <c r="F1691" i="1"/>
  <c r="I1687" i="1"/>
  <c r="H1687" i="1"/>
  <c r="J1686" i="1"/>
  <c r="I1686" i="1"/>
  <c r="H1686" i="1"/>
  <c r="G1686" i="1"/>
  <c r="F1686" i="1"/>
  <c r="J1684" i="1"/>
  <c r="H1684" i="1"/>
  <c r="J1683" i="1"/>
  <c r="H1683" i="1"/>
  <c r="J1681" i="1"/>
  <c r="J1678" i="1" s="1"/>
  <c r="H1681" i="1"/>
  <c r="J1679" i="1"/>
  <c r="H1679" i="1"/>
  <c r="I1678" i="1"/>
  <c r="H1678" i="1"/>
  <c r="G1678" i="1"/>
  <c r="F1678" i="1"/>
  <c r="H1677" i="1"/>
  <c r="J1676" i="1"/>
  <c r="H1676" i="1"/>
  <c r="J1675" i="1"/>
  <c r="H1675" i="1"/>
  <c r="J1674" i="1"/>
  <c r="H1674" i="1"/>
  <c r="J1673" i="1"/>
  <c r="H1673" i="1"/>
  <c r="J1672" i="1"/>
  <c r="H1672" i="1"/>
  <c r="J1671" i="1"/>
  <c r="J1689" i="1" s="1"/>
  <c r="I1671" i="1"/>
  <c r="I1689" i="1" s="1"/>
  <c r="H1671" i="1"/>
  <c r="H1689" i="1" s="1"/>
  <c r="G1671" i="1"/>
  <c r="G1689" i="1" s="1"/>
  <c r="F1671" i="1"/>
  <c r="F1689" i="1" s="1"/>
  <c r="G1761" i="1" l="1"/>
  <c r="J1792" i="1"/>
  <c r="I1761" i="1"/>
  <c r="H1843" i="1"/>
  <c r="H2017" i="1"/>
  <c r="J1895" i="1"/>
  <c r="H1669" i="1" l="1"/>
  <c r="J1665" i="1"/>
  <c r="I1665" i="1"/>
  <c r="H1665" i="1"/>
  <c r="G1665" i="1"/>
  <c r="F1665" i="1"/>
  <c r="J1661" i="1"/>
  <c r="I1661" i="1"/>
  <c r="H1661" i="1"/>
  <c r="G1661" i="1"/>
  <c r="F1661" i="1"/>
  <c r="F1669" i="1" s="1"/>
  <c r="J1658" i="1"/>
  <c r="I1658" i="1"/>
  <c r="J1654" i="1"/>
  <c r="J1652" i="1" s="1"/>
  <c r="J1669" i="1" s="1"/>
  <c r="I1654" i="1"/>
  <c r="I1652" i="1" s="1"/>
  <c r="I1669" i="1" s="1"/>
  <c r="H1652" i="1"/>
  <c r="G1652" i="1"/>
  <c r="G1669" i="1" s="1"/>
  <c r="F1652" i="1"/>
  <c r="H1650" i="1"/>
  <c r="G1649" i="1"/>
  <c r="J1647" i="1"/>
  <c r="J1650" i="1" s="1"/>
  <c r="I1647" i="1"/>
  <c r="H1647" i="1"/>
  <c r="G1647" i="1"/>
  <c r="F1647" i="1"/>
  <c r="F1650" i="1" s="1"/>
  <c r="J1637" i="1"/>
  <c r="I1637" i="1"/>
  <c r="I1650" i="1" s="1"/>
  <c r="H1637" i="1"/>
  <c r="G1637" i="1"/>
  <c r="G1650" i="1" s="1"/>
  <c r="F1637" i="1"/>
  <c r="I1632" i="1"/>
  <c r="J1632" i="1" s="1"/>
  <c r="I1631" i="1"/>
  <c r="J1631" i="1" s="1"/>
  <c r="I1629" i="1"/>
  <c r="J1629" i="1" s="1"/>
  <c r="I1626" i="1"/>
  <c r="J1626" i="1" s="1"/>
  <c r="I1623" i="1"/>
  <c r="J1623" i="1" s="1"/>
  <c r="I1620" i="1"/>
  <c r="J1620" i="1" s="1"/>
  <c r="I1616" i="1"/>
  <c r="J1616" i="1" s="1"/>
  <c r="I1613" i="1"/>
  <c r="J1613" i="1" s="1"/>
  <c r="I1609" i="1"/>
  <c r="J1609" i="1" s="1"/>
  <c r="I1607" i="1"/>
  <c r="J1607" i="1" s="1"/>
  <c r="I1603" i="1"/>
  <c r="I1602" i="1" s="1"/>
  <c r="H1602" i="1"/>
  <c r="G1602" i="1"/>
  <c r="F1602" i="1"/>
  <c r="I1601" i="1"/>
  <c r="J1601" i="1" s="1"/>
  <c r="J1598" i="1"/>
  <c r="I1598" i="1"/>
  <c r="I1597" i="1"/>
  <c r="J1597" i="1" s="1"/>
  <c r="J1596" i="1"/>
  <c r="I1596" i="1"/>
  <c r="I1595" i="1"/>
  <c r="H1595" i="1"/>
  <c r="H1635" i="1" s="1"/>
  <c r="G1595" i="1"/>
  <c r="G1635" i="1" s="1"/>
  <c r="F1595" i="1"/>
  <c r="F1635" i="1" s="1"/>
  <c r="J1590" i="1"/>
  <c r="I1590" i="1"/>
  <c r="H1590" i="1"/>
  <c r="G1590" i="1"/>
  <c r="F1590" i="1"/>
  <c r="J1586" i="1"/>
  <c r="I1586" i="1"/>
  <c r="H1586" i="1"/>
  <c r="G1586" i="1"/>
  <c r="F1586" i="1"/>
  <c r="J1582" i="1"/>
  <c r="I1582" i="1"/>
  <c r="H1582" i="1"/>
  <c r="G1582" i="1"/>
  <c r="F1582" i="1"/>
  <c r="J1575" i="1"/>
  <c r="J1593" i="1" s="1"/>
  <c r="I1575" i="1"/>
  <c r="I1593" i="1" s="1"/>
  <c r="H1575" i="1"/>
  <c r="H1593" i="1" s="1"/>
  <c r="G1575" i="1"/>
  <c r="G1593" i="1" s="1"/>
  <c r="F1575" i="1"/>
  <c r="F1593" i="1" s="1"/>
  <c r="J1573" i="1"/>
  <c r="H1573" i="1"/>
  <c r="G1573" i="1"/>
  <c r="F1573" i="1"/>
  <c r="J1568" i="1"/>
  <c r="I1568" i="1"/>
  <c r="I1573" i="1" s="1"/>
  <c r="J1566" i="1"/>
  <c r="I1566" i="1"/>
  <c r="H1566" i="1"/>
  <c r="G1566" i="1"/>
  <c r="F1566" i="1"/>
  <c r="J1560" i="1"/>
  <c r="I1560" i="1"/>
  <c r="H1560" i="1"/>
  <c r="G1560" i="1"/>
  <c r="F1560" i="1"/>
  <c r="I1557" i="1"/>
  <c r="J1557" i="1" s="1"/>
  <c r="G1557" i="1"/>
  <c r="G1551" i="1" s="1"/>
  <c r="G1558" i="1" s="1"/>
  <c r="I1555" i="1"/>
  <c r="J1555" i="1" s="1"/>
  <c r="G1555" i="1"/>
  <c r="J1554" i="1"/>
  <c r="I1554" i="1"/>
  <c r="I1553" i="1"/>
  <c r="J1553" i="1" s="1"/>
  <c r="F1553" i="1"/>
  <c r="F1551" i="1" s="1"/>
  <c r="I1552" i="1"/>
  <c r="J1552" i="1" s="1"/>
  <c r="I1551" i="1"/>
  <c r="H1551" i="1"/>
  <c r="J1549" i="1"/>
  <c r="I1549" i="1"/>
  <c r="I1548" i="1"/>
  <c r="J1548" i="1" s="1"/>
  <c r="G1548" i="1"/>
  <c r="G1544" i="1" s="1"/>
  <c r="I1547" i="1"/>
  <c r="J1547" i="1" s="1"/>
  <c r="G1547" i="1"/>
  <c r="F1547" i="1"/>
  <c r="H1546" i="1"/>
  <c r="I1546" i="1" s="1"/>
  <c r="J1546" i="1" s="1"/>
  <c r="F1546" i="1"/>
  <c r="I1545" i="1"/>
  <c r="J1545" i="1" s="1"/>
  <c r="G1545" i="1"/>
  <c r="F1544" i="1"/>
  <c r="I1543" i="1"/>
  <c r="J1543" i="1" s="1"/>
  <c r="G1543" i="1"/>
  <c r="G1538" i="1" s="1"/>
  <c r="J1542" i="1"/>
  <c r="I1541" i="1"/>
  <c r="J1541" i="1" s="1"/>
  <c r="I1540" i="1"/>
  <c r="J1540" i="1" s="1"/>
  <c r="G1540" i="1"/>
  <c r="F1540" i="1"/>
  <c r="I1539" i="1"/>
  <c r="J1539" i="1" s="1"/>
  <c r="G1539" i="1"/>
  <c r="H1538" i="1"/>
  <c r="F1538" i="1"/>
  <c r="I1537" i="1"/>
  <c r="J1537" i="1" s="1"/>
  <c r="G1537" i="1"/>
  <c r="I1536" i="1"/>
  <c r="J1536" i="1" s="1"/>
  <c r="G1536" i="1"/>
  <c r="I1534" i="1"/>
  <c r="J1534" i="1" s="1"/>
  <c r="G1534" i="1"/>
  <c r="J1533" i="1"/>
  <c r="I1533" i="1"/>
  <c r="G1533" i="1"/>
  <c r="I1532" i="1"/>
  <c r="J1532" i="1" s="1"/>
  <c r="G1532" i="1"/>
  <c r="I1531" i="1"/>
  <c r="J1531" i="1" s="1"/>
  <c r="G1531" i="1"/>
  <c r="I1530" i="1"/>
  <c r="J1530" i="1" s="1"/>
  <c r="G1530" i="1"/>
  <c r="J1529" i="1"/>
  <c r="I1529" i="1"/>
  <c r="G1529" i="1"/>
  <c r="I1528" i="1"/>
  <c r="I1526" i="1" s="1"/>
  <c r="G1528" i="1"/>
  <c r="I1527" i="1"/>
  <c r="J1527" i="1" s="1"/>
  <c r="G1527" i="1"/>
  <c r="H1526" i="1"/>
  <c r="G1526" i="1"/>
  <c r="F1526" i="1"/>
  <c r="J1524" i="1"/>
  <c r="I1524" i="1"/>
  <c r="F1524" i="1"/>
  <c r="J1520" i="1"/>
  <c r="I1520" i="1"/>
  <c r="H1520" i="1"/>
  <c r="G1520" i="1"/>
  <c r="F1520" i="1"/>
  <c r="J1518" i="1"/>
  <c r="I1518" i="1"/>
  <c r="H1518" i="1"/>
  <c r="G1518" i="1"/>
  <c r="F1518" i="1"/>
  <c r="G1510" i="1"/>
  <c r="G1524" i="1" s="1"/>
  <c r="J1509" i="1"/>
  <c r="I1509" i="1"/>
  <c r="H1509" i="1"/>
  <c r="H1524" i="1" s="1"/>
  <c r="G1509" i="1"/>
  <c r="F1509" i="1"/>
  <c r="J1502" i="1"/>
  <c r="I1502" i="1"/>
  <c r="J1501" i="1"/>
  <c r="I1501" i="1"/>
  <c r="I1506" i="1" s="1"/>
  <c r="H1501" i="1"/>
  <c r="G1501" i="1"/>
  <c r="F1501" i="1"/>
  <c r="J1496" i="1"/>
  <c r="I1496" i="1"/>
  <c r="H1496" i="1"/>
  <c r="G1496" i="1"/>
  <c r="F1496" i="1"/>
  <c r="J1491" i="1"/>
  <c r="I1491" i="1"/>
  <c r="H1491" i="1"/>
  <c r="G1491" i="1"/>
  <c r="F1491" i="1"/>
  <c r="J1473" i="1"/>
  <c r="I1473" i="1"/>
  <c r="H1473" i="1"/>
  <c r="G1473" i="1"/>
  <c r="F1473" i="1"/>
  <c r="H1469" i="1"/>
  <c r="N1464" i="1"/>
  <c r="M1464" i="1"/>
  <c r="P1463" i="1"/>
  <c r="O1463" i="1"/>
  <c r="M1463" i="1"/>
  <c r="H1463" i="1"/>
  <c r="J1462" i="1"/>
  <c r="I1462" i="1"/>
  <c r="H1462" i="1"/>
  <c r="G1462" i="1"/>
  <c r="F1462" i="1"/>
  <c r="H1461" i="1"/>
  <c r="H1458" i="1"/>
  <c r="H1457" i="1" s="1"/>
  <c r="H1506" i="1" s="1"/>
  <c r="J1457" i="1"/>
  <c r="J1506" i="1" s="1"/>
  <c r="I1457" i="1"/>
  <c r="G1457" i="1"/>
  <c r="G1506" i="1" s="1"/>
  <c r="F1457" i="1"/>
  <c r="F1506" i="1" s="1"/>
  <c r="I1449" i="1"/>
  <c r="J1395" i="1"/>
  <c r="I1395" i="1"/>
  <c r="H1395" i="1"/>
  <c r="G1395" i="1"/>
  <c r="F1395" i="1"/>
  <c r="J1368" i="1"/>
  <c r="I1368" i="1"/>
  <c r="H1368" i="1"/>
  <c r="G1368" i="1"/>
  <c r="F1368" i="1"/>
  <c r="H1367" i="1"/>
  <c r="H1366" i="1"/>
  <c r="J1362" i="1"/>
  <c r="J1354" i="1" s="1"/>
  <c r="J1455" i="1" s="1"/>
  <c r="I1362" i="1"/>
  <c r="H1362" i="1"/>
  <c r="G1362" i="1"/>
  <c r="F1362" i="1"/>
  <c r="F1354" i="1" s="1"/>
  <c r="F1455" i="1" s="1"/>
  <c r="H1358" i="1"/>
  <c r="H1357" i="1"/>
  <c r="H1356" i="1"/>
  <c r="H1355" i="1"/>
  <c r="H1354" i="1" s="1"/>
  <c r="H1455" i="1" s="1"/>
  <c r="I1354" i="1"/>
  <c r="I1455" i="1" s="1"/>
  <c r="G1354" i="1"/>
  <c r="G1455" i="1" s="1"/>
  <c r="J1350" i="1"/>
  <c r="I1350" i="1"/>
  <c r="H1350" i="1"/>
  <c r="G1350" i="1"/>
  <c r="J1347" i="1"/>
  <c r="I1347" i="1"/>
  <c r="H1347" i="1"/>
  <c r="G1347" i="1"/>
  <c r="H1346" i="1"/>
  <c r="H1345" i="1"/>
  <c r="H1344" i="1" s="1"/>
  <c r="J1344" i="1"/>
  <c r="I1344" i="1"/>
  <c r="G1344" i="1"/>
  <c r="F1344" i="1"/>
  <c r="J1342" i="1"/>
  <c r="I1342" i="1"/>
  <c r="H1342" i="1"/>
  <c r="G1342" i="1"/>
  <c r="F1342" i="1"/>
  <c r="H1341" i="1"/>
  <c r="H1340" i="1"/>
  <c r="H1339" i="1" s="1"/>
  <c r="J1339" i="1"/>
  <c r="I1339" i="1"/>
  <c r="G1339" i="1"/>
  <c r="F1339" i="1"/>
  <c r="H1338" i="1"/>
  <c r="H1337" i="1"/>
  <c r="J1336" i="1"/>
  <c r="I1336" i="1"/>
  <c r="H1336" i="1"/>
  <c r="G1336" i="1"/>
  <c r="F1336" i="1"/>
  <c r="H1335" i="1"/>
  <c r="I1334" i="1"/>
  <c r="H1334" i="1"/>
  <c r="H1333" i="1"/>
  <c r="H1332" i="1"/>
  <c r="H1331" i="1"/>
  <c r="H1330" i="1"/>
  <c r="H1329" i="1"/>
  <c r="H1328" i="1" s="1"/>
  <c r="H1352" i="1" s="1"/>
  <c r="J1328" i="1"/>
  <c r="J1352" i="1" s="1"/>
  <c r="I1328" i="1"/>
  <c r="I1352" i="1" s="1"/>
  <c r="G1328" i="1"/>
  <c r="G1352" i="1" s="1"/>
  <c r="F1328" i="1"/>
  <c r="F1352" i="1" s="1"/>
  <c r="J1324" i="1"/>
  <c r="I1324" i="1"/>
  <c r="H1324" i="1"/>
  <c r="G1324" i="1"/>
  <c r="J1323" i="1"/>
  <c r="H1312" i="1"/>
  <c r="H1307" i="1"/>
  <c r="J1292" i="1"/>
  <c r="I1292" i="1"/>
  <c r="H1292" i="1"/>
  <c r="G1292" i="1"/>
  <c r="F1292" i="1"/>
  <c r="H1283" i="1"/>
  <c r="H1279" i="1"/>
  <c r="H1276" i="1" s="1"/>
  <c r="H1277" i="1"/>
  <c r="J1276" i="1"/>
  <c r="I1276" i="1"/>
  <c r="G1276" i="1"/>
  <c r="F1276" i="1"/>
  <c r="H1267" i="1"/>
  <c r="J1263" i="1"/>
  <c r="I1263" i="1"/>
  <c r="H1263" i="1"/>
  <c r="G1263" i="1"/>
  <c r="F1263" i="1"/>
  <c r="H1250" i="1"/>
  <c r="J1240" i="1"/>
  <c r="I1240" i="1"/>
  <c r="H1240" i="1"/>
  <c r="G1240" i="1"/>
  <c r="F1240" i="1"/>
  <c r="J1232" i="1"/>
  <c r="J1326" i="1" s="1"/>
  <c r="I1232" i="1"/>
  <c r="I1326" i="1" s="1"/>
  <c r="H1232" i="1"/>
  <c r="G1232" i="1"/>
  <c r="G1326" i="1" s="1"/>
  <c r="F1232" i="1"/>
  <c r="F1326" i="1" s="1"/>
  <c r="J1229" i="1"/>
  <c r="I1229" i="1"/>
  <c r="J1228" i="1"/>
  <c r="I1228" i="1"/>
  <c r="H1228" i="1"/>
  <c r="G1228" i="1"/>
  <c r="F1228" i="1"/>
  <c r="J1227" i="1"/>
  <c r="I1227" i="1"/>
  <c r="G1227" i="1"/>
  <c r="G1225" i="1" s="1"/>
  <c r="G1226" i="1"/>
  <c r="J1225" i="1"/>
  <c r="J1230" i="1" s="1"/>
  <c r="I1225" i="1"/>
  <c r="H1225" i="1"/>
  <c r="F1225" i="1"/>
  <c r="F1230" i="1" s="1"/>
  <c r="J1223" i="1"/>
  <c r="I1223" i="1"/>
  <c r="J1218" i="1"/>
  <c r="I1218" i="1"/>
  <c r="I1230" i="1" s="1"/>
  <c r="H1218" i="1"/>
  <c r="H1230" i="1" s="1"/>
  <c r="G1218" i="1"/>
  <c r="F1218" i="1"/>
  <c r="J1215" i="1"/>
  <c r="G1215" i="1"/>
  <c r="J1214" i="1"/>
  <c r="I1214" i="1"/>
  <c r="I1203" i="1" s="1"/>
  <c r="J1213" i="1"/>
  <c r="J1212" i="1"/>
  <c r="J1211" i="1"/>
  <c r="J1210" i="1"/>
  <c r="J1209" i="1"/>
  <c r="J1208" i="1"/>
  <c r="J1207" i="1"/>
  <c r="J1206" i="1"/>
  <c r="J1203" i="1" s="1"/>
  <c r="H1203" i="1"/>
  <c r="G1203" i="1"/>
  <c r="F1203" i="1"/>
  <c r="J1201" i="1"/>
  <c r="J1200" i="1"/>
  <c r="J1199" i="1"/>
  <c r="J1216" i="1" s="1"/>
  <c r="I1199" i="1"/>
  <c r="H1199" i="1"/>
  <c r="H1216" i="1" s="1"/>
  <c r="G1199" i="1"/>
  <c r="G1216" i="1" s="1"/>
  <c r="F1199" i="1"/>
  <c r="F1216" i="1" s="1"/>
  <c r="G1197" i="1"/>
  <c r="I1194" i="1"/>
  <c r="H1194" i="1"/>
  <c r="J1192" i="1"/>
  <c r="I1192" i="1"/>
  <c r="H1192" i="1"/>
  <c r="G1192" i="1"/>
  <c r="F1192" i="1"/>
  <c r="H1189" i="1"/>
  <c r="G1189" i="1"/>
  <c r="J1186" i="1"/>
  <c r="I1186" i="1"/>
  <c r="I1184" i="1" s="1"/>
  <c r="I1197" i="1" s="1"/>
  <c r="H1186" i="1"/>
  <c r="G1186" i="1"/>
  <c r="F1186" i="1"/>
  <c r="J1184" i="1"/>
  <c r="J1197" i="1" s="1"/>
  <c r="H1184" i="1"/>
  <c r="H1197" i="1" s="1"/>
  <c r="G1184" i="1"/>
  <c r="F1184" i="1"/>
  <c r="F1197" i="1" s="1"/>
  <c r="G1182" i="1"/>
  <c r="G1180" i="1"/>
  <c r="F1180" i="1"/>
  <c r="J1179" i="1"/>
  <c r="J1182" i="1" s="1"/>
  <c r="I1179" i="1"/>
  <c r="I1182" i="1" s="1"/>
  <c r="H1179" i="1"/>
  <c r="H1182" i="1" s="1"/>
  <c r="G1179" i="1"/>
  <c r="F1179" i="1"/>
  <c r="F1178" i="1"/>
  <c r="F1176" i="1"/>
  <c r="J1175" i="1"/>
  <c r="I1175" i="1"/>
  <c r="H1175" i="1"/>
  <c r="G1175" i="1"/>
  <c r="F1175" i="1"/>
  <c r="F1174" i="1"/>
  <c r="F1172" i="1"/>
  <c r="F1171" i="1"/>
  <c r="F1170" i="1"/>
  <c r="F1169" i="1"/>
  <c r="F1167" i="1" s="1"/>
  <c r="F1168" i="1"/>
  <c r="J1167" i="1"/>
  <c r="I1167" i="1"/>
  <c r="H1167" i="1"/>
  <c r="G1167" i="1"/>
  <c r="J1164" i="1"/>
  <c r="J1158" i="1" s="1"/>
  <c r="J1160" i="1"/>
  <c r="I1160" i="1"/>
  <c r="I1158" i="1"/>
  <c r="I1165" i="1" s="1"/>
  <c r="H1158" i="1"/>
  <c r="G1158" i="1"/>
  <c r="F1158" i="1"/>
  <c r="J1152" i="1"/>
  <c r="J1165" i="1" s="1"/>
  <c r="I1152" i="1"/>
  <c r="H1152" i="1"/>
  <c r="H1165" i="1" s="1"/>
  <c r="G1152" i="1"/>
  <c r="G1165" i="1" s="1"/>
  <c r="F1152" i="1"/>
  <c r="F1165" i="1" s="1"/>
  <c r="G1150" i="1"/>
  <c r="J1148" i="1"/>
  <c r="I1148" i="1"/>
  <c r="F1148" i="1"/>
  <c r="F1141" i="1" s="1"/>
  <c r="J1146" i="1"/>
  <c r="I1146" i="1"/>
  <c r="F1146" i="1"/>
  <c r="J1144" i="1"/>
  <c r="J1141" i="1" s="1"/>
  <c r="I1144" i="1"/>
  <c r="F1144" i="1"/>
  <c r="J1142" i="1"/>
  <c r="I1142" i="1"/>
  <c r="I1141" i="1" s="1"/>
  <c r="F1142" i="1"/>
  <c r="H1141" i="1"/>
  <c r="G1141" i="1"/>
  <c r="F1139" i="1"/>
  <c r="I1136" i="1"/>
  <c r="I1133" i="1" s="1"/>
  <c r="F1136" i="1"/>
  <c r="J1135" i="1"/>
  <c r="I1135" i="1"/>
  <c r="F1135" i="1"/>
  <c r="F1133" i="1" s="1"/>
  <c r="J1134" i="1"/>
  <c r="I1134" i="1"/>
  <c r="F1134" i="1"/>
  <c r="Q1133" i="1"/>
  <c r="P1133" i="1"/>
  <c r="J1133" i="1"/>
  <c r="H1133" i="1"/>
  <c r="H1150" i="1" s="1"/>
  <c r="G1133" i="1"/>
  <c r="Q1126" i="1"/>
  <c r="P1126" i="1"/>
  <c r="O1126" i="1"/>
  <c r="N1126" i="1"/>
  <c r="M1126" i="1"/>
  <c r="J1126" i="1"/>
  <c r="I1126" i="1"/>
  <c r="H1126" i="1"/>
  <c r="G1126" i="1"/>
  <c r="F1126" i="1"/>
  <c r="N1122" i="1"/>
  <c r="M1122" i="1"/>
  <c r="N1121" i="1"/>
  <c r="M1121" i="1"/>
  <c r="N1120" i="1"/>
  <c r="M1120" i="1"/>
  <c r="J1120" i="1"/>
  <c r="I1120" i="1"/>
  <c r="H1120" i="1"/>
  <c r="G1120" i="1"/>
  <c r="F1120" i="1"/>
  <c r="J1119" i="1"/>
  <c r="I1119" i="1"/>
  <c r="G1119" i="1"/>
  <c r="J1115" i="1"/>
  <c r="J1111" i="1" s="1"/>
  <c r="I1115" i="1"/>
  <c r="I1111" i="1" s="1"/>
  <c r="H1115" i="1"/>
  <c r="G1115" i="1"/>
  <c r="F1115" i="1"/>
  <c r="F1111" i="1" s="1"/>
  <c r="N1114" i="1"/>
  <c r="M1114" i="1"/>
  <c r="N1113" i="1"/>
  <c r="M1113" i="1"/>
  <c r="N1112" i="1"/>
  <c r="M1112" i="1"/>
  <c r="N1111" i="1"/>
  <c r="M1111" i="1"/>
  <c r="L1111" i="1"/>
  <c r="H1111" i="1"/>
  <c r="H1131" i="1" s="1"/>
  <c r="G1111" i="1"/>
  <c r="I1107" i="1"/>
  <c r="J1107" i="1" s="1"/>
  <c r="J1106" i="1" s="1"/>
  <c r="G1107" i="1"/>
  <c r="G1106" i="1" s="1"/>
  <c r="F1107" i="1"/>
  <c r="I1106" i="1"/>
  <c r="H1106" i="1"/>
  <c r="F1106" i="1"/>
  <c r="J1105" i="1"/>
  <c r="I1105" i="1"/>
  <c r="I1104" i="1"/>
  <c r="J1104" i="1" s="1"/>
  <c r="J1103" i="1"/>
  <c r="I1103" i="1"/>
  <c r="I1102" i="1"/>
  <c r="J1102" i="1" s="1"/>
  <c r="G1102" i="1"/>
  <c r="J1101" i="1"/>
  <c r="I1101" i="1"/>
  <c r="I1100" i="1"/>
  <c r="J1100" i="1" s="1"/>
  <c r="G1100" i="1"/>
  <c r="I1099" i="1"/>
  <c r="J1099" i="1" s="1"/>
  <c r="G1099" i="1"/>
  <c r="G1097" i="1" s="1"/>
  <c r="J1098" i="1"/>
  <c r="I1098" i="1"/>
  <c r="G1098" i="1"/>
  <c r="H1097" i="1"/>
  <c r="F1097" i="1"/>
  <c r="J1095" i="1"/>
  <c r="G1095" i="1"/>
  <c r="F1095" i="1"/>
  <c r="H1091" i="1"/>
  <c r="J1090" i="1"/>
  <c r="I1090" i="1"/>
  <c r="I1095" i="1" s="1"/>
  <c r="H1090" i="1"/>
  <c r="H1095" i="1" s="1"/>
  <c r="G1090" i="1"/>
  <c r="F1090" i="1"/>
  <c r="F1088" i="1"/>
  <c r="J1087" i="1"/>
  <c r="I1087" i="1"/>
  <c r="I1086" i="1"/>
  <c r="J1086" i="1" s="1"/>
  <c r="J1085" i="1"/>
  <c r="I1085" i="1"/>
  <c r="H1084" i="1"/>
  <c r="G1084" i="1"/>
  <c r="F1084" i="1"/>
  <c r="J1081" i="1"/>
  <c r="I1081" i="1"/>
  <c r="I1077" i="1"/>
  <c r="J1077" i="1" s="1"/>
  <c r="J1076" i="1"/>
  <c r="I1076" i="1"/>
  <c r="I1075" i="1" s="1"/>
  <c r="H1075" i="1"/>
  <c r="H1088" i="1" s="1"/>
  <c r="G1075" i="1"/>
  <c r="G1088" i="1" s="1"/>
  <c r="F1075" i="1"/>
  <c r="I1073" i="1"/>
  <c r="H1073" i="1"/>
  <c r="J1071" i="1"/>
  <c r="I1071" i="1"/>
  <c r="H1071" i="1"/>
  <c r="G1071" i="1"/>
  <c r="F1071" i="1"/>
  <c r="J1069" i="1"/>
  <c r="J1073" i="1" s="1"/>
  <c r="I1069" i="1"/>
  <c r="H1069" i="1"/>
  <c r="G1069" i="1"/>
  <c r="G1073" i="1" s="1"/>
  <c r="F1069" i="1"/>
  <c r="F1073" i="1" s="1"/>
  <c r="J1065" i="1"/>
  <c r="I1065" i="1"/>
  <c r="I1062" i="1" s="1"/>
  <c r="G1065" i="1"/>
  <c r="J1062" i="1"/>
  <c r="H1062" i="1"/>
  <c r="G1062" i="1"/>
  <c r="F1062" i="1"/>
  <c r="H1054" i="1"/>
  <c r="H1053" i="1"/>
  <c r="H1049" i="1" s="1"/>
  <c r="J1049" i="1"/>
  <c r="I1049" i="1"/>
  <c r="G1049" i="1"/>
  <c r="F1049" i="1"/>
  <c r="H1048" i="1"/>
  <c r="H1046" i="1"/>
  <c r="H1045" i="1"/>
  <c r="H1044" i="1" s="1"/>
  <c r="J1044" i="1"/>
  <c r="I1044" i="1"/>
  <c r="G1044" i="1"/>
  <c r="F1044" i="1"/>
  <c r="J1039" i="1"/>
  <c r="I1039" i="1"/>
  <c r="H1039" i="1"/>
  <c r="H1038" i="1" s="1"/>
  <c r="J1038" i="1"/>
  <c r="I1038" i="1"/>
  <c r="G1038" i="1"/>
  <c r="F1038" i="1"/>
  <c r="H1034" i="1"/>
  <c r="H1033" i="1"/>
  <c r="H1030" i="1"/>
  <c r="H1027" i="1"/>
  <c r="J1026" i="1"/>
  <c r="I1026" i="1"/>
  <c r="H1026" i="1"/>
  <c r="G1026" i="1"/>
  <c r="F1026" i="1"/>
  <c r="J1015" i="1"/>
  <c r="J1066" i="1" s="1"/>
  <c r="I1015" i="1"/>
  <c r="I1066" i="1" s="1"/>
  <c r="H1015" i="1"/>
  <c r="G1015" i="1"/>
  <c r="G1066" i="1" s="1"/>
  <c r="F1015" i="1"/>
  <c r="F1066" i="1" s="1"/>
  <c r="J1011" i="1"/>
  <c r="I1011" i="1"/>
  <c r="H1008" i="1"/>
  <c r="J1007" i="1"/>
  <c r="J1013" i="1" s="1"/>
  <c r="I1007" i="1"/>
  <c r="H1007" i="1"/>
  <c r="G1007" i="1"/>
  <c r="F1007" i="1"/>
  <c r="F1013" i="1" s="1"/>
  <c r="H1005" i="1"/>
  <c r="H999" i="1"/>
  <c r="P994" i="1"/>
  <c r="Q994" i="1" s="1"/>
  <c r="O994" i="1"/>
  <c r="N994" i="1"/>
  <c r="J994" i="1"/>
  <c r="I994" i="1"/>
  <c r="I1013" i="1" s="1"/>
  <c r="H994" i="1"/>
  <c r="H1013" i="1" s="1"/>
  <c r="G994" i="1"/>
  <c r="G1013" i="1" s="1"/>
  <c r="F994" i="1"/>
  <c r="J971" i="1"/>
  <c r="I971" i="1"/>
  <c r="H971" i="1"/>
  <c r="G971" i="1"/>
  <c r="F971" i="1"/>
  <c r="H970" i="1"/>
  <c r="H969" i="1"/>
  <c r="J959" i="1"/>
  <c r="J893" i="1" s="1"/>
  <c r="I959" i="1"/>
  <c r="H948" i="1"/>
  <c r="G948" i="1"/>
  <c r="H944" i="1"/>
  <c r="G944" i="1"/>
  <c r="G936" i="1"/>
  <c r="H928" i="1"/>
  <c r="G928" i="1"/>
  <c r="G893" i="1" s="1"/>
  <c r="H927" i="1"/>
  <c r="G927" i="1"/>
  <c r="H922" i="1"/>
  <c r="F922" i="1"/>
  <c r="F893" i="1" s="1"/>
  <c r="H919" i="1"/>
  <c r="H909" i="1"/>
  <c r="F909" i="1"/>
  <c r="H907" i="1"/>
  <c r="H901" i="1"/>
  <c r="J899" i="1"/>
  <c r="I899" i="1"/>
  <c r="H899" i="1"/>
  <c r="G899" i="1"/>
  <c r="J894" i="1"/>
  <c r="I894" i="1"/>
  <c r="H894" i="1"/>
  <c r="H893" i="1" s="1"/>
  <c r="G894" i="1"/>
  <c r="I893" i="1"/>
  <c r="H886" i="1"/>
  <c r="H876" i="1"/>
  <c r="J865" i="1"/>
  <c r="I865" i="1"/>
  <c r="I863" i="1" s="1"/>
  <c r="I992" i="1" s="1"/>
  <c r="H865" i="1"/>
  <c r="H863" i="1" s="1"/>
  <c r="J863" i="1"/>
  <c r="J992" i="1" s="1"/>
  <c r="G863" i="1"/>
  <c r="F863" i="1"/>
  <c r="G861" i="1"/>
  <c r="J858" i="1"/>
  <c r="J861" i="1" s="1"/>
  <c r="I858" i="1"/>
  <c r="I861" i="1" s="1"/>
  <c r="H858" i="1"/>
  <c r="H861" i="1" s="1"/>
  <c r="G858" i="1"/>
  <c r="F858" i="1"/>
  <c r="F861" i="1" s="1"/>
  <c r="J855" i="1"/>
  <c r="J854" i="1" s="1"/>
  <c r="I855" i="1"/>
  <c r="I854" i="1"/>
  <c r="H854" i="1"/>
  <c r="F854" i="1"/>
  <c r="J852" i="1"/>
  <c r="I852" i="1"/>
  <c r="H852" i="1"/>
  <c r="F852" i="1"/>
  <c r="H851" i="1"/>
  <c r="H850" i="1"/>
  <c r="H849" i="1" s="1"/>
  <c r="J849" i="1"/>
  <c r="I849" i="1"/>
  <c r="G849" i="1"/>
  <c r="F849" i="1"/>
  <c r="H848" i="1"/>
  <c r="H847" i="1"/>
  <c r="H846" i="1"/>
  <c r="H844" i="1"/>
  <c r="H841" i="1" s="1"/>
  <c r="H856" i="1" s="1"/>
  <c r="H843" i="1"/>
  <c r="H842" i="1"/>
  <c r="J841" i="1"/>
  <c r="J856" i="1" s="1"/>
  <c r="I841" i="1"/>
  <c r="I856" i="1" s="1"/>
  <c r="G841" i="1"/>
  <c r="G856" i="1" s="1"/>
  <c r="F841" i="1"/>
  <c r="F856" i="1" s="1"/>
  <c r="J835" i="1"/>
  <c r="I835" i="1"/>
  <c r="H835" i="1"/>
  <c r="J826" i="1"/>
  <c r="I826" i="1"/>
  <c r="H826" i="1"/>
  <c r="J819" i="1"/>
  <c r="I819" i="1"/>
  <c r="H819" i="1"/>
  <c r="H805" i="1"/>
  <c r="H801" i="1" s="1"/>
  <c r="J801" i="1"/>
  <c r="I801" i="1"/>
  <c r="J787" i="1"/>
  <c r="J783" i="1" s="1"/>
  <c r="J839" i="1" s="1"/>
  <c r="I787" i="1"/>
  <c r="H784" i="1"/>
  <c r="H783" i="1" s="1"/>
  <c r="I783" i="1"/>
  <c r="H781" i="1"/>
  <c r="J778" i="1"/>
  <c r="I778" i="1"/>
  <c r="I839" i="1" s="1"/>
  <c r="H778" i="1"/>
  <c r="F992" i="1" l="1"/>
  <c r="I1088" i="1"/>
  <c r="I1558" i="1"/>
  <c r="H839" i="1"/>
  <c r="G992" i="1"/>
  <c r="J1075" i="1"/>
  <c r="J1088" i="1" s="1"/>
  <c r="J1097" i="1"/>
  <c r="J1131" i="1" s="1"/>
  <c r="F1131" i="1"/>
  <c r="J1150" i="1"/>
  <c r="F1182" i="1"/>
  <c r="J1544" i="1"/>
  <c r="J1551" i="1"/>
  <c r="I1635" i="1"/>
  <c r="G1131" i="1"/>
  <c r="H992" i="1"/>
  <c r="H1066" i="1"/>
  <c r="F1150" i="1"/>
  <c r="I1150" i="1"/>
  <c r="I1216" i="1"/>
  <c r="G1230" i="1"/>
  <c r="H1326" i="1"/>
  <c r="F1558" i="1"/>
  <c r="J1538" i="1"/>
  <c r="J1595" i="1"/>
  <c r="J1635" i="1" s="1"/>
  <c r="I1084" i="1"/>
  <c r="J1084" i="1" s="1"/>
  <c r="I1097" i="1"/>
  <c r="I1131" i="1" s="1"/>
  <c r="I1544" i="1"/>
  <c r="J1528" i="1"/>
  <c r="J1526" i="1" s="1"/>
  <c r="I1538" i="1"/>
  <c r="J1603" i="1"/>
  <c r="J1602" i="1" s="1"/>
  <c r="H1544" i="1"/>
  <c r="H1558" i="1" s="1"/>
  <c r="J1558" i="1" l="1"/>
  <c r="H639" i="1"/>
  <c r="H638" i="1"/>
  <c r="H637" i="1" s="1"/>
  <c r="H642" i="1"/>
  <c r="H640" i="1"/>
  <c r="H634" i="1"/>
  <c r="H613" i="1"/>
  <c r="H608" i="1"/>
  <c r="H582" i="1"/>
  <c r="H372" i="1" l="1"/>
  <c r="H775" i="1" l="1"/>
  <c r="H774" i="1"/>
  <c r="H771" i="1"/>
  <c r="H769" i="1"/>
  <c r="H758" i="1"/>
  <c r="H755" i="1"/>
  <c r="H753" i="1"/>
  <c r="H752" i="1"/>
  <c r="H749" i="1"/>
  <c r="H747" i="1"/>
  <c r="H746" i="1"/>
  <c r="H744" i="1"/>
  <c r="H743" i="1"/>
  <c r="H736" i="1"/>
  <c r="H739" i="1" s="1"/>
  <c r="H708" i="1"/>
  <c r="H695" i="1"/>
  <c r="H682" i="1"/>
  <c r="H679" i="1"/>
  <c r="H673" i="1"/>
  <c r="H754" i="1" l="1"/>
  <c r="H681" i="1"/>
  <c r="H735" i="1"/>
  <c r="H742" i="1"/>
  <c r="H660" i="1"/>
  <c r="H656" i="1"/>
  <c r="H651" i="1"/>
  <c r="H64" i="1"/>
  <c r="H125" i="1"/>
  <c r="H87" i="1"/>
  <c r="H85" i="1"/>
  <c r="H353" i="1" l="1"/>
  <c r="H350" i="1"/>
  <c r="H346" i="1"/>
  <c r="H345" i="1"/>
  <c r="H344" i="1"/>
  <c r="H312" i="1"/>
  <c r="H247" i="1"/>
  <c r="H33" i="1"/>
  <c r="J247" i="1" l="1"/>
  <c r="I247" i="1"/>
  <c r="H239" i="1" l="1"/>
  <c r="H629" i="1" l="1"/>
  <c r="H645" i="1" s="1"/>
  <c r="H314" i="1" l="1"/>
  <c r="H236" i="1" l="1"/>
  <c r="H99" i="1"/>
  <c r="J277" i="1" l="1"/>
  <c r="I277" i="1"/>
  <c r="G277" i="1"/>
  <c r="F277" i="1"/>
  <c r="J274" i="1"/>
  <c r="I274" i="1"/>
  <c r="G274" i="1"/>
  <c r="F274" i="1"/>
  <c r="J270" i="1"/>
  <c r="I270" i="1"/>
  <c r="G270" i="1"/>
  <c r="F270" i="1"/>
  <c r="J265" i="1"/>
  <c r="I265" i="1"/>
  <c r="G265" i="1"/>
  <c r="F265" i="1"/>
  <c r="H501" i="1" l="1"/>
  <c r="H279" i="1" l="1"/>
  <c r="H278" i="1"/>
  <c r="H276" i="1"/>
  <c r="H275" i="1"/>
  <c r="H273" i="1"/>
  <c r="H272" i="1"/>
  <c r="H271" i="1"/>
  <c r="H268" i="1"/>
  <c r="H267" i="1"/>
  <c r="H266" i="1"/>
  <c r="H274" i="1" l="1"/>
  <c r="H265" i="1"/>
  <c r="H277" i="1"/>
  <c r="H270" i="1"/>
  <c r="H280" i="1" l="1"/>
  <c r="H653" i="1" l="1"/>
  <c r="H650" i="1" l="1"/>
  <c r="H425" i="1" l="1"/>
  <c r="H503" i="1" l="1"/>
  <c r="J532" i="1" l="1"/>
  <c r="I532" i="1"/>
  <c r="J524" i="1"/>
  <c r="I524" i="1"/>
  <c r="F547" i="1" l="1"/>
  <c r="F534" i="1"/>
  <c r="J534" i="1"/>
  <c r="I534" i="1"/>
  <c r="H534" i="1"/>
  <c r="G534" i="1"/>
  <c r="J549" i="1"/>
  <c r="I549" i="1"/>
  <c r="H549" i="1"/>
  <c r="G549" i="1"/>
  <c r="F549" i="1"/>
  <c r="J547" i="1"/>
  <c r="I547" i="1"/>
  <c r="H547" i="1"/>
  <c r="G547" i="1"/>
  <c r="J543" i="1"/>
  <c r="I543" i="1"/>
  <c r="H543" i="1"/>
  <c r="G543" i="1"/>
  <c r="F543" i="1"/>
  <c r="J537" i="1"/>
  <c r="I537" i="1"/>
  <c r="H537" i="1"/>
  <c r="G537" i="1"/>
  <c r="F537" i="1"/>
  <c r="F555" i="1" l="1"/>
  <c r="G555" i="1"/>
  <c r="J555" i="1"/>
  <c r="H555" i="1"/>
  <c r="I555" i="1"/>
  <c r="H430" i="1" l="1"/>
  <c r="G735" i="1" l="1"/>
  <c r="I735" i="1"/>
  <c r="J735" i="1"/>
  <c r="F735" i="1"/>
  <c r="H726" i="1"/>
  <c r="I726" i="1"/>
  <c r="J726" i="1"/>
  <c r="F726" i="1"/>
  <c r="G719" i="1"/>
  <c r="I719" i="1"/>
  <c r="J719" i="1"/>
  <c r="F719" i="1"/>
  <c r="G706" i="1"/>
  <c r="H706" i="1"/>
  <c r="I706" i="1"/>
  <c r="F706" i="1"/>
  <c r="F681" i="1"/>
  <c r="G486" i="1"/>
  <c r="H486" i="1"/>
  <c r="I486" i="1"/>
  <c r="J486" i="1"/>
  <c r="F486" i="1"/>
  <c r="G471" i="1"/>
  <c r="H471" i="1"/>
  <c r="I471" i="1"/>
  <c r="J471" i="1"/>
  <c r="F471" i="1"/>
  <c r="G452" i="1"/>
  <c r="H452" i="1"/>
  <c r="I452" i="1"/>
  <c r="J452" i="1"/>
  <c r="F452" i="1"/>
  <c r="G433" i="1"/>
  <c r="H433" i="1"/>
  <c r="I433" i="1"/>
  <c r="J433" i="1"/>
  <c r="F433" i="1"/>
  <c r="G532" i="1" l="1"/>
  <c r="F504" i="1"/>
  <c r="I529" i="1" l="1"/>
  <c r="J529" i="1"/>
  <c r="J528" i="1"/>
  <c r="I528" i="1"/>
  <c r="F529" i="1"/>
  <c r="F528" i="1"/>
  <c r="F523" i="1"/>
  <c r="F518" i="1"/>
  <c r="F516" i="1"/>
  <c r="F513" i="1"/>
  <c r="H521" i="1" l="1"/>
  <c r="J521" i="1"/>
  <c r="I521" i="1"/>
  <c r="F521" i="1"/>
  <c r="F505" i="1"/>
  <c r="J391" i="1"/>
  <c r="I391" i="1"/>
  <c r="H391" i="1"/>
  <c r="G391" i="1"/>
  <c r="F391" i="1"/>
  <c r="J416" i="1" l="1"/>
  <c r="J411" i="1"/>
  <c r="J385" i="1"/>
  <c r="J375" i="1"/>
  <c r="I416" i="1"/>
  <c r="H416" i="1"/>
  <c r="G416" i="1"/>
  <c r="F416" i="1"/>
  <c r="J339" i="1" l="1"/>
  <c r="H339" i="1"/>
  <c r="G339" i="1"/>
  <c r="F339" i="1"/>
  <c r="J337" i="1"/>
  <c r="I337" i="1"/>
  <c r="H337" i="1"/>
  <c r="G337" i="1"/>
  <c r="F337" i="1"/>
  <c r="G326" i="1"/>
  <c r="F326" i="1"/>
  <c r="J324" i="1"/>
  <c r="I324" i="1"/>
  <c r="H324" i="1"/>
  <c r="G320" i="1"/>
  <c r="F320" i="1"/>
  <c r="G315" i="1"/>
  <c r="F315" i="1"/>
  <c r="J313" i="1"/>
  <c r="I313" i="1"/>
  <c r="H313" i="1"/>
  <c r="O309" i="1"/>
  <c r="J301" i="1"/>
  <c r="I301" i="1"/>
  <c r="H301" i="1"/>
  <c r="G301" i="1"/>
  <c r="F301" i="1"/>
  <c r="G341" i="1" l="1"/>
  <c r="H341" i="1"/>
  <c r="I341" i="1"/>
  <c r="F341" i="1"/>
  <c r="J341" i="1"/>
  <c r="I375" i="1" l="1"/>
  <c r="H375" i="1"/>
  <c r="G375" i="1"/>
  <c r="F375" i="1"/>
  <c r="F366" i="1"/>
  <c r="F431" i="1" l="1"/>
  <c r="J41" i="1"/>
  <c r="H429" i="1" l="1"/>
  <c r="G429" i="1"/>
  <c r="J427" i="1" l="1"/>
  <c r="I427" i="1"/>
  <c r="H427" i="1"/>
  <c r="I411" i="1"/>
  <c r="H411" i="1"/>
  <c r="J405" i="1"/>
  <c r="I405" i="1"/>
  <c r="H405" i="1"/>
  <c r="J398" i="1"/>
  <c r="J397" i="1" s="1"/>
  <c r="I398" i="1"/>
  <c r="I397" i="1" s="1"/>
  <c r="H398" i="1"/>
  <c r="H397" i="1" s="1"/>
  <c r="I385" i="1"/>
  <c r="H385" i="1"/>
  <c r="J374" i="1"/>
  <c r="I374" i="1"/>
  <c r="H374" i="1"/>
  <c r="Q373" i="1"/>
  <c r="P373" i="1"/>
  <c r="O373" i="1"/>
  <c r="Q372" i="1"/>
  <c r="P372" i="1"/>
  <c r="O372" i="1"/>
  <c r="J372" i="1"/>
  <c r="I372" i="1"/>
  <c r="G366" i="1"/>
  <c r="G431" i="1" s="1"/>
  <c r="J366" i="1" l="1"/>
  <c r="J431" i="1" s="1"/>
  <c r="I366" i="1"/>
  <c r="I431" i="1" s="1"/>
  <c r="H366" i="1"/>
  <c r="H431" i="1" s="1"/>
  <c r="F143" i="1"/>
  <c r="F138" i="1" s="1"/>
  <c r="J167" i="1"/>
  <c r="I167" i="1"/>
  <c r="H167" i="1"/>
  <c r="G167" i="1"/>
  <c r="F167" i="1"/>
  <c r="J159" i="1"/>
  <c r="I159" i="1"/>
  <c r="H159" i="1"/>
  <c r="G159" i="1"/>
  <c r="F159" i="1"/>
  <c r="J155" i="1"/>
  <c r="I155" i="1"/>
  <c r="H155" i="1"/>
  <c r="G155" i="1"/>
  <c r="F155" i="1"/>
  <c r="J151" i="1"/>
  <c r="I151" i="1"/>
  <c r="H151" i="1"/>
  <c r="G151" i="1"/>
  <c r="F151" i="1"/>
  <c r="J146" i="1"/>
  <c r="I146" i="1"/>
  <c r="H146" i="1"/>
  <c r="G146" i="1"/>
  <c r="F146" i="1"/>
  <c r="I138" i="1"/>
  <c r="H138" i="1"/>
  <c r="G138" i="1"/>
  <c r="J138" i="1"/>
  <c r="J133" i="1"/>
  <c r="I133" i="1"/>
  <c r="H133" i="1"/>
  <c r="G133" i="1"/>
  <c r="F133" i="1"/>
  <c r="J132" i="1"/>
  <c r="J125" i="1" s="1"/>
  <c r="I125" i="1"/>
  <c r="G125" i="1"/>
  <c r="F125" i="1"/>
  <c r="J119" i="1"/>
  <c r="I119" i="1"/>
  <c r="H119" i="1"/>
  <c r="G119" i="1"/>
  <c r="F119" i="1"/>
  <c r="J110" i="1"/>
  <c r="I110" i="1"/>
  <c r="H110" i="1"/>
  <c r="G110" i="1"/>
  <c r="F110" i="1"/>
  <c r="J107" i="1"/>
  <c r="I107" i="1"/>
  <c r="H107" i="1"/>
  <c r="G107" i="1"/>
  <c r="F107" i="1"/>
  <c r="J98" i="1"/>
  <c r="I98" i="1"/>
  <c r="H98" i="1"/>
  <c r="G98" i="1"/>
  <c r="F98" i="1"/>
  <c r="J91" i="1"/>
  <c r="I91" i="1"/>
  <c r="H91" i="1"/>
  <c r="G91" i="1"/>
  <c r="F91" i="1"/>
  <c r="J216" i="1"/>
  <c r="I216" i="1"/>
  <c r="H216" i="1"/>
  <c r="G216" i="1"/>
  <c r="F216" i="1"/>
  <c r="J207" i="1"/>
  <c r="I207" i="1"/>
  <c r="H207" i="1"/>
  <c r="G207" i="1"/>
  <c r="F207" i="1"/>
  <c r="J203" i="1"/>
  <c r="I203" i="1"/>
  <c r="H203" i="1"/>
  <c r="G203" i="1"/>
  <c r="F203" i="1"/>
  <c r="J197" i="1"/>
  <c r="I197" i="1"/>
  <c r="H197" i="1"/>
  <c r="G197" i="1"/>
  <c r="F197" i="1"/>
  <c r="J180" i="1"/>
  <c r="I180" i="1"/>
  <c r="H180" i="1"/>
  <c r="G180" i="1"/>
  <c r="F180" i="1"/>
  <c r="J171" i="1"/>
  <c r="I171" i="1"/>
  <c r="H171" i="1"/>
  <c r="G171" i="1"/>
  <c r="F171" i="1"/>
  <c r="G169" i="1" l="1"/>
  <c r="H169" i="1"/>
  <c r="F169" i="1"/>
  <c r="J169" i="1"/>
  <c r="I169" i="1"/>
  <c r="G144" i="1"/>
  <c r="F144" i="1"/>
  <c r="I144" i="1"/>
  <c r="H144" i="1"/>
  <c r="J144" i="1"/>
  <c r="F117" i="1"/>
  <c r="J117" i="1"/>
  <c r="F218" i="1"/>
  <c r="J218" i="1"/>
  <c r="G117" i="1"/>
  <c r="I117" i="1"/>
  <c r="H117" i="1"/>
  <c r="G218" i="1"/>
  <c r="H218" i="1"/>
  <c r="I218" i="1"/>
  <c r="J666" i="1"/>
  <c r="I666" i="1"/>
  <c r="H666" i="1"/>
  <c r="G666" i="1"/>
  <c r="F666" i="1"/>
  <c r="J670" i="1" l="1"/>
  <c r="J672" i="1" l="1"/>
  <c r="I672" i="1"/>
  <c r="F672" i="1"/>
  <c r="I670" i="1"/>
  <c r="H670" i="1"/>
  <c r="G670" i="1"/>
  <c r="F670" i="1"/>
  <c r="F242" i="1" l="1"/>
  <c r="G242" i="1"/>
  <c r="H242" i="1"/>
  <c r="I242" i="1"/>
  <c r="J242" i="1"/>
  <c r="F249" i="1"/>
  <c r="G249" i="1"/>
  <c r="H249" i="1"/>
  <c r="I249" i="1"/>
  <c r="J249" i="1"/>
  <c r="G253" i="1"/>
  <c r="H253" i="1"/>
  <c r="I253" i="1"/>
  <c r="J253" i="1"/>
  <c r="F256" i="1"/>
  <c r="F253" i="1" s="1"/>
  <c r="F257" i="1"/>
  <c r="G257" i="1"/>
  <c r="H257" i="1"/>
  <c r="I257" i="1"/>
  <c r="J257" i="1"/>
  <c r="F260" i="1"/>
  <c r="G260" i="1"/>
  <c r="H260" i="1"/>
  <c r="I260" i="1"/>
  <c r="J260" i="1"/>
  <c r="H263" i="1" l="1"/>
  <c r="J263" i="1"/>
  <c r="G263" i="1"/>
  <c r="I263" i="1"/>
  <c r="F263" i="1"/>
  <c r="J661" i="1"/>
  <c r="I661" i="1"/>
  <c r="G661" i="1"/>
  <c r="J660" i="1"/>
  <c r="I660" i="1"/>
  <c r="H659" i="1"/>
  <c r="G660" i="1"/>
  <c r="G659" i="1" s="1"/>
  <c r="F660" i="1"/>
  <c r="F659" i="1" s="1"/>
  <c r="J658" i="1"/>
  <c r="I658" i="1"/>
  <c r="G658" i="1"/>
  <c r="J656" i="1"/>
  <c r="I656" i="1"/>
  <c r="G656" i="1"/>
  <c r="F656" i="1"/>
  <c r="F655" i="1" s="1"/>
  <c r="J653" i="1"/>
  <c r="I653" i="1"/>
  <c r="J652" i="1"/>
  <c r="I652" i="1"/>
  <c r="G652" i="1"/>
  <c r="J651" i="1"/>
  <c r="I651" i="1"/>
  <c r="G651" i="1"/>
  <c r="F651" i="1"/>
  <c r="F650" i="1" s="1"/>
  <c r="J649" i="1"/>
  <c r="J647" i="1" s="1"/>
  <c r="I649" i="1"/>
  <c r="I647" i="1" s="1"/>
  <c r="H647" i="1"/>
  <c r="G647" i="1"/>
  <c r="F647" i="1"/>
  <c r="I655" i="1" l="1"/>
  <c r="G650" i="1"/>
  <c r="I650" i="1"/>
  <c r="I659" i="1"/>
  <c r="J655" i="1"/>
  <c r="H655" i="1"/>
  <c r="H663" i="1" s="1"/>
  <c r="J659" i="1"/>
  <c r="F663" i="1"/>
  <c r="J650" i="1"/>
  <c r="G655" i="1"/>
  <c r="G663" i="1" s="1"/>
  <c r="I663" i="1" l="1"/>
  <c r="J663" i="1"/>
  <c r="I503" i="1" l="1"/>
  <c r="G296" i="1" l="1"/>
  <c r="G49" i="1" l="1"/>
  <c r="H49" i="1"/>
  <c r="I49" i="1"/>
  <c r="J49" i="1"/>
  <c r="F49" i="1"/>
  <c r="H44" i="1"/>
  <c r="G44" i="1"/>
  <c r="F44" i="1"/>
  <c r="N41" i="1"/>
  <c r="P41" i="1" s="1"/>
  <c r="M41" i="1"/>
  <c r="J44" i="1"/>
  <c r="I41" i="1"/>
  <c r="I44" i="1" s="1"/>
  <c r="Q41" i="1" l="1"/>
  <c r="O41" i="1"/>
  <c r="J51" i="1" l="1"/>
  <c r="J55" i="1" s="1"/>
  <c r="I51" i="1"/>
  <c r="I55" i="1" s="1"/>
  <c r="H55" i="1"/>
  <c r="G55" i="1"/>
  <c r="F55" i="1"/>
  <c r="G521" i="1" l="1"/>
  <c r="J513" i="1"/>
  <c r="J505" i="1" s="1"/>
  <c r="I513" i="1"/>
  <c r="I505" i="1" s="1"/>
  <c r="H505" i="1"/>
  <c r="G492" i="1"/>
  <c r="J492" i="1"/>
  <c r="I492" i="1"/>
  <c r="H492" i="1"/>
  <c r="F492" i="1"/>
  <c r="M456" i="1"/>
  <c r="G470" i="1"/>
  <c r="H470" i="1"/>
  <c r="I470" i="1"/>
  <c r="J470" i="1"/>
  <c r="F470" i="1"/>
  <c r="O447" i="1"/>
  <c r="P447" i="1" s="1"/>
  <c r="Q447" i="1" s="1"/>
  <c r="M447" i="1"/>
  <c r="G451" i="1"/>
  <c r="H451" i="1"/>
  <c r="I451" i="1"/>
  <c r="J451" i="1"/>
  <c r="F451" i="1"/>
  <c r="N486" i="1"/>
  <c r="O486" i="1" s="1"/>
  <c r="P486" i="1" s="1"/>
  <c r="Q486" i="1" s="1"/>
  <c r="M486" i="1"/>
  <c r="J485" i="1"/>
  <c r="I485" i="1"/>
  <c r="H485" i="1"/>
  <c r="G485" i="1"/>
  <c r="F485" i="1"/>
  <c r="G500" i="1"/>
  <c r="F503" i="1"/>
  <c r="H500" i="1"/>
  <c r="I500" i="1"/>
  <c r="J503" i="1"/>
  <c r="J500" i="1" s="1"/>
  <c r="G505" i="1" l="1"/>
  <c r="F500" i="1"/>
  <c r="F532" i="1" s="1"/>
  <c r="G495" i="1"/>
  <c r="F495" i="1"/>
  <c r="H495" i="1"/>
  <c r="O452" i="1" s="1"/>
  <c r="I495" i="1"/>
  <c r="J495" i="1"/>
  <c r="Q489" i="1" l="1"/>
  <c r="Q452" i="1"/>
  <c r="N489" i="1"/>
  <c r="N452" i="1"/>
  <c r="P489" i="1"/>
  <c r="P452" i="1"/>
  <c r="Q488" i="1"/>
  <c r="M490" i="1"/>
  <c r="M452" i="1"/>
  <c r="N488" i="1"/>
  <c r="O488" i="1"/>
  <c r="O489" i="1"/>
  <c r="O490" i="1"/>
  <c r="M488" i="1"/>
  <c r="P488" i="1"/>
  <c r="M489" i="1"/>
  <c r="J24" i="1" l="1"/>
  <c r="I29" i="1"/>
  <c r="G32" i="1"/>
  <c r="F12" i="1"/>
  <c r="F22" i="1"/>
  <c r="F28" i="1"/>
  <c r="F33" i="1"/>
  <c r="I37" i="1"/>
  <c r="I33" i="1" s="1"/>
  <c r="J33" i="1"/>
  <c r="G33" i="1"/>
  <c r="J32" i="1"/>
  <c r="I32" i="1"/>
  <c r="J30" i="1"/>
  <c r="I30" i="1"/>
  <c r="G30" i="1"/>
  <c r="J29" i="1"/>
  <c r="G29" i="1"/>
  <c r="J27" i="1"/>
  <c r="I27" i="1"/>
  <c r="G27" i="1"/>
  <c r="J25" i="1"/>
  <c r="I25" i="1"/>
  <c r="G25" i="1"/>
  <c r="I24" i="1"/>
  <c r="G24" i="1"/>
  <c r="J23" i="1"/>
  <c r="I23" i="1"/>
  <c r="G23" i="1"/>
  <c r="J21" i="1"/>
  <c r="I21" i="1"/>
  <c r="G21" i="1"/>
  <c r="J20" i="1"/>
  <c r="I20" i="1"/>
  <c r="G20" i="1"/>
  <c r="J19" i="1"/>
  <c r="I19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J14" i="1"/>
  <c r="I14" i="1"/>
  <c r="G14" i="1"/>
  <c r="J13" i="1"/>
  <c r="I13" i="1"/>
  <c r="G13" i="1"/>
  <c r="J12" i="1" l="1"/>
  <c r="I12" i="1"/>
  <c r="H12" i="1"/>
  <c r="G12" i="1"/>
  <c r="I22" i="1"/>
  <c r="I28" i="1"/>
  <c r="G28" i="1"/>
  <c r="G22" i="1"/>
  <c r="J28" i="1"/>
  <c r="J22" i="1"/>
  <c r="H22" i="1"/>
  <c r="H28" i="1"/>
  <c r="F39" i="1"/>
  <c r="J39" i="1" l="1"/>
  <c r="I39" i="1"/>
  <c r="H39" i="1"/>
  <c r="H2019" i="1" s="1"/>
  <c r="J2019" i="1" s="1"/>
  <c r="G39" i="1"/>
  <c r="M84" i="1" l="1"/>
  <c r="M81" i="1" s="1"/>
  <c r="N82" i="1"/>
  <c r="N81" i="1" s="1"/>
  <c r="Q81" i="1"/>
  <c r="P81" i="1"/>
  <c r="O81" i="1"/>
  <c r="Q80" i="1"/>
  <c r="P80" i="1"/>
  <c r="O80" i="1"/>
  <c r="N80" i="1"/>
  <c r="M80" i="1"/>
  <c r="Q78" i="1"/>
  <c r="P78" i="1"/>
  <c r="O78" i="1"/>
  <c r="N78" i="1"/>
  <c r="M78" i="1"/>
  <c r="Q77" i="1"/>
  <c r="P77" i="1"/>
  <c r="O77" i="1"/>
  <c r="N77" i="1"/>
  <c r="M77" i="1"/>
  <c r="G76" i="1"/>
  <c r="F76" i="1"/>
  <c r="I73" i="1"/>
  <c r="I72" i="1"/>
  <c r="I71" i="1"/>
  <c r="I70" i="1"/>
  <c r="Q61" i="1"/>
  <c r="P61" i="1"/>
  <c r="O61" i="1"/>
  <c r="J59" i="1"/>
  <c r="I59" i="1"/>
  <c r="H59" i="1"/>
  <c r="G59" i="1"/>
  <c r="F59" i="1"/>
  <c r="G58" i="1"/>
  <c r="G57" i="1" l="1"/>
  <c r="F89" i="1"/>
  <c r="F57" i="1"/>
  <c r="I57" i="1"/>
  <c r="J89" i="1"/>
  <c r="J57" i="1"/>
  <c r="O76" i="1"/>
  <c r="P76" i="1"/>
  <c r="I89" i="1"/>
  <c r="G89" i="1"/>
  <c r="N76" i="1"/>
  <c r="M76" i="1"/>
  <c r="Q76" i="1"/>
  <c r="I280" i="1" l="1"/>
  <c r="F280" i="1"/>
  <c r="J280" i="1"/>
  <c r="G280" i="1"/>
  <c r="J357" i="1"/>
  <c r="J364" i="1" s="1"/>
  <c r="I357" i="1"/>
  <c r="I364" i="1" s="1"/>
  <c r="H357" i="1"/>
  <c r="H364" i="1" s="1"/>
  <c r="G357" i="1"/>
  <c r="G364" i="1" s="1"/>
  <c r="F357" i="1"/>
  <c r="F364" i="1" s="1"/>
  <c r="F680" i="1" l="1"/>
  <c r="I680" i="1"/>
  <c r="J680" i="1"/>
  <c r="F705" i="1"/>
  <c r="F718" i="1"/>
  <c r="G718" i="1"/>
  <c r="H718" i="1"/>
  <c r="I718" i="1"/>
  <c r="F725" i="1"/>
  <c r="G725" i="1"/>
  <c r="I725" i="1"/>
  <c r="J725" i="1"/>
  <c r="F734" i="1"/>
  <c r="H734" i="1"/>
  <c r="I734" i="1"/>
  <c r="J734" i="1"/>
  <c r="F739" i="1"/>
  <c r="G739" i="1"/>
  <c r="I739" i="1"/>
  <c r="J739" i="1"/>
  <c r="J291" i="1" l="1"/>
  <c r="I291" i="1"/>
  <c r="H291" i="1"/>
  <c r="G291" i="1"/>
  <c r="F291" i="1"/>
  <c r="J282" i="1"/>
  <c r="I282" i="1"/>
  <c r="H282" i="1"/>
  <c r="G282" i="1"/>
  <c r="F282" i="1"/>
  <c r="F299" i="1" l="1"/>
  <c r="G299" i="1"/>
  <c r="J299" i="1"/>
  <c r="I299" i="1"/>
  <c r="H299" i="1"/>
  <c r="J773" i="1"/>
  <c r="I773" i="1"/>
  <c r="H773" i="1"/>
  <c r="G773" i="1"/>
  <c r="F773" i="1"/>
  <c r="F754" i="1"/>
  <c r="J754" i="1"/>
  <c r="I754" i="1"/>
  <c r="G754" i="1"/>
  <c r="J742" i="1"/>
  <c r="I742" i="1"/>
  <c r="G742" i="1"/>
  <c r="F742" i="1"/>
  <c r="G776" i="1" l="1"/>
  <c r="I776" i="1"/>
  <c r="F776" i="1"/>
  <c r="J776" i="1"/>
  <c r="H776" i="1"/>
  <c r="J695" i="1" l="1"/>
  <c r="I695" i="1"/>
  <c r="H719" i="1"/>
  <c r="G732" i="1"/>
  <c r="G726" i="1" s="1"/>
  <c r="J560" i="1"/>
  <c r="J557" i="1" s="1"/>
  <c r="J599" i="1"/>
  <c r="I613" i="1"/>
  <c r="I599" i="1" s="1"/>
  <c r="I582" i="1"/>
  <c r="J582" i="1"/>
  <c r="G582" i="1"/>
  <c r="F582" i="1"/>
  <c r="H599" i="1"/>
  <c r="G599" i="1"/>
  <c r="F599" i="1"/>
  <c r="G557" i="1"/>
  <c r="I557" i="1"/>
  <c r="F557" i="1"/>
  <c r="G625" i="1"/>
  <c r="H625" i="1"/>
  <c r="G343" i="1"/>
  <c r="H343" i="1"/>
  <c r="I343" i="1"/>
  <c r="J343" i="1"/>
  <c r="F343" i="1"/>
  <c r="G347" i="1"/>
  <c r="H347" i="1"/>
  <c r="I347" i="1"/>
  <c r="J347" i="1"/>
  <c r="F347" i="1"/>
  <c r="G349" i="1"/>
  <c r="H349" i="1"/>
  <c r="I349" i="1"/>
  <c r="F349" i="1"/>
  <c r="G352" i="1"/>
  <c r="H352" i="1"/>
  <c r="I352" i="1"/>
  <c r="J352" i="1"/>
  <c r="F352" i="1"/>
  <c r="J349" i="1"/>
  <c r="J239" i="1"/>
  <c r="J237" i="1" s="1"/>
  <c r="I239" i="1"/>
  <c r="I237" i="1" s="1"/>
  <c r="G239" i="1"/>
  <c r="G237" i="1" s="1"/>
  <c r="G234" i="1"/>
  <c r="H234" i="1"/>
  <c r="I234" i="1"/>
  <c r="J234" i="1"/>
  <c r="H237" i="1"/>
  <c r="J230" i="1"/>
  <c r="J229" i="1" s="1"/>
  <c r="J221" i="1"/>
  <c r="I230" i="1"/>
  <c r="F355" i="1" l="1"/>
  <c r="H725" i="1"/>
  <c r="G734" i="1"/>
  <c r="J355" i="1"/>
  <c r="G240" i="1"/>
  <c r="J711" i="1"/>
  <c r="J710" i="1"/>
  <c r="J698" i="1"/>
  <c r="I697" i="1"/>
  <c r="J697" i="1" s="1"/>
  <c r="I690" i="1"/>
  <c r="G682" i="1"/>
  <c r="G681" i="1" s="1"/>
  <c r="G679" i="1"/>
  <c r="H672" i="1"/>
  <c r="H740" i="1" s="1"/>
  <c r="G673" i="1"/>
  <c r="I681" i="1" l="1"/>
  <c r="J706" i="1"/>
  <c r="G672" i="1"/>
  <c r="I705" i="1"/>
  <c r="I740" i="1" s="1"/>
  <c r="J718" i="1"/>
  <c r="H680" i="1"/>
  <c r="G680" i="1"/>
  <c r="H705" i="1"/>
  <c r="G705" i="1"/>
  <c r="F740" i="1"/>
  <c r="J690" i="1"/>
  <c r="J681" i="1" s="1"/>
  <c r="G740" i="1" l="1"/>
  <c r="J705" i="1"/>
  <c r="J740" i="1" s="1"/>
  <c r="J621" i="1"/>
  <c r="I621" i="1"/>
  <c r="H621" i="1"/>
  <c r="G621" i="1"/>
  <c r="F621" i="1"/>
  <c r="J615" i="1"/>
  <c r="I615" i="1"/>
  <c r="H615" i="1"/>
  <c r="G615" i="1"/>
  <c r="F615" i="1"/>
  <c r="J579" i="1"/>
  <c r="J569" i="1" s="1"/>
  <c r="I579" i="1"/>
  <c r="I569" i="1" s="1"/>
  <c r="H569" i="1"/>
  <c r="G577" i="1"/>
  <c r="G569" i="1" s="1"/>
  <c r="F577" i="1"/>
  <c r="F569" i="1" s="1"/>
  <c r="H560" i="1"/>
  <c r="H557" i="1" s="1"/>
  <c r="H627" i="1" l="1"/>
  <c r="G627" i="1"/>
  <c r="F627" i="1"/>
  <c r="J627" i="1"/>
  <c r="I627" i="1"/>
  <c r="I355" i="1" l="1"/>
  <c r="H355" i="1"/>
  <c r="G355" i="1"/>
  <c r="F239" i="1" l="1"/>
  <c r="F237" i="1" s="1"/>
  <c r="J240" i="1"/>
  <c r="F234" i="1"/>
  <c r="I240" i="1" l="1"/>
  <c r="H240" i="1"/>
  <c r="F240" i="1"/>
  <c r="I229" i="1" l="1"/>
  <c r="H229" i="1"/>
  <c r="G229" i="1"/>
  <c r="F229" i="1"/>
  <c r="J228" i="1"/>
  <c r="I228" i="1"/>
  <c r="J225" i="1"/>
  <c r="I225" i="1"/>
  <c r="J223" i="1"/>
  <c r="I223" i="1"/>
  <c r="J222" i="1"/>
  <c r="I222" i="1"/>
  <c r="I221" i="1"/>
  <c r="H220" i="1"/>
  <c r="G220" i="1"/>
  <c r="F220" i="1"/>
  <c r="J220" i="1" l="1"/>
  <c r="J232" i="1" s="1"/>
  <c r="H232" i="1"/>
  <c r="G232" i="1"/>
  <c r="F232" i="1"/>
  <c r="I220" i="1"/>
  <c r="I232" i="1" s="1"/>
  <c r="H1504" i="1"/>
</calcChain>
</file>

<file path=xl/comments1.xml><?xml version="1.0" encoding="utf-8"?>
<comments xmlns="http://schemas.openxmlformats.org/spreadsheetml/2006/main">
  <authors>
    <author>Comp_100</author>
    <author>Admin</author>
  </authors>
  <commentList>
    <comment ref="H673" authorId="0" shapeId="0">
      <text>
        <r>
          <rPr>
            <b/>
            <sz val="9"/>
            <color indexed="81"/>
            <rFont val="Tahoma"/>
            <family val="2"/>
            <charset val="204"/>
          </rPr>
          <t>Comp_100:</t>
        </r>
        <r>
          <rPr>
            <sz val="9"/>
            <color indexed="81"/>
            <rFont val="Tahoma"/>
            <family val="2"/>
            <charset val="204"/>
          </rPr>
          <t xml:space="preserve">
ЦА мон Апто аппарат наука аппарат 6802 зп ца</t>
        </r>
      </text>
    </comment>
    <comment ref="F679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АУП И ЦБ РАЙОО И ГОРОО И ЦБ МОН КР И ЦМ МОН КР</t>
        </r>
      </text>
    </comment>
    <comment ref="G679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АУП И ЦБ РАЙОО И ГОРОО И ЦБ МОН КР И ЦМ МОН КР</t>
        </r>
      </text>
    </comment>
    <comment ref="H679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АУП И ЦБ РАЙОО И ГОРОО И ЦБ МОН КР И ЦМ МОН КР 8432,1 зп райоо</t>
        </r>
      </text>
    </comment>
    <comment ref="K681" authorId="0" shapeId="0">
      <text>
        <r>
          <rPr>
            <b/>
            <sz val="9"/>
            <color indexed="81"/>
            <rFont val="Tahoma"/>
            <family val="2"/>
            <charset val="204"/>
          </rPr>
          <t>Comp_100:</t>
        </r>
        <r>
          <rPr>
            <sz val="9"/>
            <color indexed="81"/>
            <rFont val="Tahoma"/>
            <family val="2"/>
            <charset val="204"/>
          </rPr>
          <t xml:space="preserve">
ОМСП</t>
        </r>
      </text>
    </comment>
    <comment ref="F682" authorId="1" shape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Arial"/>
            <family val="2"/>
            <charset val="204"/>
          </rPr>
          <t>2552287,6 МЛН.СОМ с учетом повышения БЮДЖЕТ ДЕЙСТВУЮШИХ САДИКОВ  и 194300 пги
 и на новые садики 2016 года 176587,0 из них зп-150607,3 и сф-25979,7</t>
        </r>
      </text>
    </comment>
    <comment ref="G682" authorId="1" shape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Arial"/>
            <family val="2"/>
            <charset val="204"/>
          </rPr>
          <t>бюджет  и спец70911</t>
        </r>
      </text>
    </comment>
    <comment ref="H682" authorId="1" shape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Arial"/>
            <family val="2"/>
            <charset val="204"/>
          </rPr>
          <t>бюджет  и спец70911 255 новые садики</t>
        </r>
      </text>
    </comment>
    <comment ref="N682" authorId="0" shapeId="0">
      <text>
        <r>
          <rPr>
            <b/>
            <sz val="9"/>
            <color indexed="81"/>
            <rFont val="Tahoma"/>
            <family val="2"/>
            <charset val="204"/>
          </rPr>
          <t>Comp_100:</t>
        </r>
        <r>
          <rPr>
            <sz val="9"/>
            <color indexed="81"/>
            <rFont val="Tahoma"/>
            <family val="2"/>
            <charset val="204"/>
          </rPr>
          <t xml:space="preserve">
ОМСП</t>
        </r>
      </text>
    </comment>
    <comment ref="F690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СПЕЦ СРЕДСТВА ЗП</t>
        </r>
      </text>
    </comment>
    <comment ref="G690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СПЕЦ СРЕДСТВА ЗП</t>
        </r>
      </text>
    </comment>
    <comment ref="H690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СПЕЦ СРЕДСТВА ЗП</t>
        </r>
      </text>
    </comment>
    <comment ref="M693" authorId="0" shapeId="0">
      <text>
        <r>
          <rPr>
            <b/>
            <sz val="9"/>
            <color indexed="81"/>
            <rFont val="Tahoma"/>
            <family val="2"/>
            <charset val="204"/>
          </rPr>
          <t>Comp_100:</t>
        </r>
        <r>
          <rPr>
            <sz val="9"/>
            <color indexed="81"/>
            <rFont val="Tahoma"/>
            <family val="2"/>
            <charset val="204"/>
          </rPr>
          <t xml:space="preserve">
ОМСП</t>
        </r>
      </text>
    </comment>
    <comment ref="F695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70812, 70821, 70832, 70921 ,70951,70952,70961,70962,70964,70965  
</t>
        </r>
      </text>
    </comment>
    <comment ref="G695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спец
 70812, 70821, 70832, 70921 ,70951,70952,70961,70962,70964,70965  
</t>
        </r>
      </text>
    </comment>
    <comment ref="H695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спец
 70812, 70821, 70832, 70921 ,70951,70952,70961,70962,70964,70965  
</t>
        </r>
      </text>
    </comment>
    <comment ref="M695" authorId="0" shapeId="0">
      <text>
        <r>
          <rPr>
            <b/>
            <sz val="9"/>
            <color indexed="81"/>
            <rFont val="Tahoma"/>
            <family val="2"/>
            <charset val="204"/>
          </rPr>
          <t>Comp_100:</t>
        </r>
        <r>
          <rPr>
            <sz val="9"/>
            <color indexed="81"/>
            <rFont val="Tahoma"/>
            <family val="2"/>
            <charset val="204"/>
          </rPr>
          <t xml:space="preserve">
ОМСП</t>
        </r>
      </text>
    </comment>
    <comment ref="F697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спец средства 70921, 70951, 70961, 70962, 70964, 70965, 70812, 70821, 70832</t>
        </r>
      </text>
    </comment>
    <comment ref="G697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спец средства 70921, 70951, 70961, 70962, 70964, 70965, 70812, 70821, 70832</t>
        </r>
      </text>
    </comment>
    <comment ref="H697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спец средства 70921, 70951, 70961, 70962, 70964, 70965, 70812, 70821, 70832</t>
        </r>
      </text>
    </comment>
    <comment ref="F698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ПГИ ВНЕШНЕЕ ФИНАНСИРОВАНИЕ</t>
        </r>
      </text>
    </comment>
    <comment ref="G698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ПГИ ВНЕШНЕЕ ФИНАНСИРОВАНИЕ</t>
        </r>
      </text>
    </comment>
    <comment ref="H698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ПГИ ВНЕШНЕЕ ФИНАНСИРОВАНИЕ</t>
        </r>
      </text>
    </comment>
    <comment ref="I698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ПГИ ВНЕШНЕЕ ФИНАНСИРОВАНИЕ</t>
        </r>
      </text>
    </comment>
    <comment ref="J698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ПГИ ВНЕШНЕЕ ФИНАНСИРОВАНИЕ</t>
        </r>
      </text>
    </comment>
    <comment ref="F704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ВГИ внутренне ФИНАСИРОВАНИЕ</t>
        </r>
      </text>
    </comment>
    <comment ref="G704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ВГИ внутренне ФИНАСИРОВАНИЕ</t>
        </r>
      </text>
    </comment>
    <comment ref="H704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ВГИ внутренне ФИНАСИРОВАНИЕ</t>
        </r>
      </text>
    </comment>
    <comment ref="E706" authorId="0" shapeId="0">
      <text>
        <r>
          <rPr>
            <b/>
            <sz val="9"/>
            <color indexed="81"/>
            <rFont val="Tahoma"/>
            <family val="2"/>
            <charset val="204"/>
          </rPr>
          <t>Comp_100:</t>
        </r>
        <r>
          <rPr>
            <sz val="9"/>
            <color indexed="81"/>
            <rFont val="Tahoma"/>
            <family val="2"/>
            <charset val="204"/>
          </rPr>
          <t xml:space="preserve">
предложение упо</t>
        </r>
      </text>
    </comment>
    <comment ref="F708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и спец средства
</t>
        </r>
      </text>
    </comment>
    <comment ref="G708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и спец средства
</t>
        </r>
      </text>
    </comment>
    <comment ref="H708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и спец средства
 99 лицей по бюджету минус спец счет плюс на контрольные цифры</t>
        </r>
      </text>
    </comment>
    <comment ref="F712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70922,70931</t>
        </r>
      </text>
    </comment>
    <comment ref="G712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70922,70931</t>
        </r>
      </text>
    </comment>
    <comment ref="H712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70922,70931
</t>
        </r>
      </text>
    </comment>
    <comment ref="F713" authorId="1" shapeId="0">
      <text>
        <r>
          <rPr>
            <b/>
            <sz val="11"/>
            <color indexed="81"/>
            <rFont val="Tahoma"/>
            <family val="2"/>
            <charset val="204"/>
          </rPr>
          <t>Admin:</t>
        </r>
        <r>
          <rPr>
            <sz val="11"/>
            <color indexed="81"/>
            <rFont val="Tahoma"/>
            <family val="2"/>
            <charset val="204"/>
          </rPr>
          <t xml:space="preserve">
спец.средства 70922, 70931</t>
        </r>
      </text>
    </comment>
    <comment ref="G713" authorId="1" shapeId="0">
      <text>
        <r>
          <rPr>
            <b/>
            <sz val="11"/>
            <color indexed="81"/>
            <rFont val="Tahoma"/>
            <family val="2"/>
            <charset val="204"/>
          </rPr>
          <t>Admin:</t>
        </r>
        <r>
          <rPr>
            <sz val="11"/>
            <color indexed="81"/>
            <rFont val="Tahoma"/>
            <family val="2"/>
            <charset val="204"/>
          </rPr>
          <t xml:space="preserve">
спец.средства 70922, 70931</t>
        </r>
      </text>
    </comment>
    <comment ref="H713" authorId="1" shapeId="0">
      <text>
        <r>
          <rPr>
            <b/>
            <sz val="11"/>
            <color indexed="81"/>
            <rFont val="Tahoma"/>
            <family val="2"/>
            <charset val="204"/>
          </rPr>
          <t>Admin:</t>
        </r>
        <r>
          <rPr>
            <sz val="11"/>
            <color indexed="81"/>
            <rFont val="Tahoma"/>
            <family val="2"/>
            <charset val="204"/>
          </rPr>
          <t xml:space="preserve">
спец.средства 70922, 70931</t>
        </r>
      </text>
    </comment>
    <comment ref="F721" authorId="1" shapeId="0">
      <text>
        <r>
          <rPr>
            <b/>
            <sz val="11"/>
            <color indexed="81"/>
            <rFont val="Tahoma"/>
            <family val="2"/>
            <charset val="204"/>
          </rPr>
          <t>Admin:</t>
        </r>
        <r>
          <rPr>
            <sz val="11"/>
            <color indexed="81"/>
            <rFont val="Tahoma"/>
            <family val="2"/>
            <charset val="204"/>
          </rPr>
          <t xml:space="preserve">
спец 70942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721" authorId="1" shapeId="0">
      <text>
        <r>
          <rPr>
            <b/>
            <sz val="11"/>
            <color indexed="81"/>
            <rFont val="Tahoma"/>
            <family val="2"/>
            <charset val="204"/>
          </rPr>
          <t>Admin:</t>
        </r>
        <r>
          <rPr>
            <sz val="11"/>
            <color indexed="81"/>
            <rFont val="Tahoma"/>
            <family val="2"/>
            <charset val="204"/>
          </rPr>
          <t xml:space="preserve">
спец 70942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721" authorId="1" shapeId="0">
      <text>
        <r>
          <rPr>
            <b/>
            <sz val="11"/>
            <color indexed="81"/>
            <rFont val="Tahoma"/>
            <family val="2"/>
            <charset val="204"/>
          </rPr>
          <t>Admin:</t>
        </r>
        <r>
          <rPr>
            <sz val="11"/>
            <color indexed="81"/>
            <rFont val="Tahoma"/>
            <family val="2"/>
            <charset val="204"/>
          </rPr>
          <t xml:space="preserve">
спец 70942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723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70942</t>
        </r>
      </text>
    </comment>
    <comment ref="G723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70942</t>
        </r>
      </text>
    </comment>
    <comment ref="H723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бюджет 70942</t>
        </r>
      </text>
    </comment>
    <comment ref="E726" authorId="0" shapeId="0">
      <text>
        <r>
          <rPr>
            <b/>
            <sz val="9"/>
            <color indexed="81"/>
            <rFont val="Tahoma"/>
            <family val="2"/>
            <charset val="204"/>
          </rPr>
          <t>Comp_100:</t>
        </r>
        <r>
          <rPr>
            <sz val="9"/>
            <color indexed="81"/>
            <rFont val="Tahoma"/>
            <family val="2"/>
            <charset val="204"/>
          </rPr>
          <t xml:space="preserve">
упо</t>
        </r>
      </text>
    </comment>
    <comment ref="F728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БЮДЖЕТ 70941, 70952</t>
        </r>
      </text>
    </comment>
    <comment ref="G728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БЮДЖЕТ 70941, 70952</t>
        </r>
      </text>
    </comment>
    <comment ref="H728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БЮДЖЕТ 70941, 70952</t>
        </r>
      </text>
    </comment>
    <comment ref="F732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спец 70941, 70952</t>
        </r>
      </text>
    </comment>
    <comment ref="G732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спец 70941, 70952</t>
        </r>
      </text>
    </comment>
    <comment ref="H732" authorId="1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спец 70941, 70952</t>
        </r>
      </text>
    </comment>
    <comment ref="F736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БЮДЖЕТ НАУКИ</t>
        </r>
      </text>
    </comment>
    <comment ref="G736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БЮДЖЕТ НАУКИ</t>
        </r>
      </text>
    </comment>
    <comment ref="H736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БЮДЖЕТ НАУКИ</t>
        </r>
      </text>
    </comment>
    <comment ref="F737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СПЕЦ НАУКА</t>
        </r>
      </text>
    </comment>
    <comment ref="G737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СПЕЦ НАУКА</t>
        </r>
      </text>
    </comment>
    <comment ref="H737" authorId="1" shapeId="0">
      <text>
        <r>
          <rPr>
            <b/>
            <sz val="12"/>
            <color indexed="81"/>
            <rFont val="Tahoma"/>
            <family val="2"/>
            <charset val="204"/>
          </rPr>
          <t>Admin:</t>
        </r>
        <r>
          <rPr>
            <sz val="12"/>
            <color indexed="81"/>
            <rFont val="Tahoma"/>
            <family val="2"/>
            <charset val="204"/>
          </rPr>
          <t xml:space="preserve">
СПЕЦ НАУКА</t>
        </r>
      </text>
    </comment>
  </commentList>
</comments>
</file>

<file path=xl/sharedStrings.xml><?xml version="1.0" encoding="utf-8"?>
<sst xmlns="http://schemas.openxmlformats.org/spreadsheetml/2006/main" count="6182" uniqueCount="2808">
  <si>
    <t>Бюджеты министерств и ведомств на программной основе</t>
  </si>
  <si>
    <t>Код ПР</t>
  </si>
  <si>
    <t>Код МЕ</t>
  </si>
  <si>
    <t>Код ИН</t>
  </si>
  <si>
    <t>Бюджетные программы/
Бюджетные меры</t>
  </si>
  <si>
    <t>01</t>
  </si>
  <si>
    <t>Обеспечение общего руководства</t>
  </si>
  <si>
    <t>02</t>
  </si>
  <si>
    <t>Обеспечение финансового менеджмента и учета</t>
  </si>
  <si>
    <t>03</t>
  </si>
  <si>
    <t>Управление человеческими ресурсами</t>
  </si>
  <si>
    <t>04</t>
  </si>
  <si>
    <t>Правовая поддержка</t>
  </si>
  <si>
    <t>Поддержание внешних связей и связей с общественностью</t>
  </si>
  <si>
    <t>Организация деятельности и службы обеспечения</t>
  </si>
  <si>
    <t>Обеспечение координации и общего руководства</t>
  </si>
  <si>
    <t>19. Генеральная прокуратура Кыргызской Республики</t>
  </si>
  <si>
    <t>Проведение внутренних расследований</t>
  </si>
  <si>
    <t>Список сокращений:</t>
  </si>
  <si>
    <r>
      <t>Код ПР</t>
    </r>
    <r>
      <rPr>
        <sz val="11"/>
        <rFont val="Times New Roman"/>
        <family val="1"/>
        <charset val="204"/>
      </rPr>
      <t xml:space="preserve"> - код программы</t>
    </r>
  </si>
  <si>
    <r>
      <t>Код МЕ</t>
    </r>
    <r>
      <rPr>
        <sz val="11"/>
        <rFont val="Times New Roman"/>
        <family val="1"/>
        <charset val="204"/>
      </rPr>
      <t xml:space="preserve"> - код меры</t>
    </r>
  </si>
  <si>
    <r>
      <t xml:space="preserve">СМИ - </t>
    </r>
    <r>
      <rPr>
        <sz val="11"/>
        <rFont val="Times New Roman"/>
        <family val="1"/>
        <charset val="204"/>
      </rPr>
      <t>средства массовой информации</t>
    </r>
  </si>
  <si>
    <r>
      <t xml:space="preserve">ЦА - </t>
    </r>
    <r>
      <rPr>
        <sz val="11"/>
        <rFont val="Times New Roman"/>
        <family val="1"/>
        <charset val="204"/>
      </rPr>
      <t>центральный аппарат</t>
    </r>
  </si>
  <si>
    <r>
      <t xml:space="preserve">НПА - </t>
    </r>
    <r>
      <rPr>
        <sz val="11"/>
        <rFont val="Times New Roman"/>
        <family val="1"/>
        <charset val="204"/>
      </rPr>
      <t>нормативные правовые акты</t>
    </r>
  </si>
  <si>
    <r>
      <t xml:space="preserve">НПО - </t>
    </r>
    <r>
      <rPr>
        <sz val="11"/>
        <rFont val="Times New Roman"/>
        <family val="1"/>
        <charset val="204"/>
      </rPr>
      <t>неправительственные организации</t>
    </r>
  </si>
  <si>
    <t>Приложение 11</t>
  </si>
  <si>
    <t xml:space="preserve"> </t>
  </si>
  <si>
    <t>Финансирование</t>
  </si>
  <si>
    <t>Индикаторы результативности</t>
  </si>
  <si>
    <t>Ед. изм-я</t>
  </si>
  <si>
    <t>Целевые значения</t>
  </si>
  <si>
    <t>(по программам/мерам) (тыс. сом.)</t>
  </si>
  <si>
    <t>2019 г.</t>
  </si>
  <si>
    <t>2020 г.</t>
  </si>
  <si>
    <t>Отношение расходов на заработную плату по Программе 001 к сумме расходов на заработную плату по всем программам</t>
  </si>
  <si>
    <t>%</t>
  </si>
  <si>
    <t>Индекс доверия населения</t>
  </si>
  <si>
    <t>коэф.</t>
  </si>
  <si>
    <t>Процент исполнения бюджета без нарушений</t>
  </si>
  <si>
    <t xml:space="preserve">Доля выигранных судебных процессов по трудовым спорам </t>
  </si>
  <si>
    <t>ед.</t>
  </si>
  <si>
    <t>Доля сотрудников служб обеспечения от общей численности сотрудников центрального аппарата</t>
  </si>
  <si>
    <t>оценка</t>
  </si>
  <si>
    <t>Обеспечение финансирования мероприятий</t>
  </si>
  <si>
    <t>2021 г.</t>
  </si>
  <si>
    <t>Количество положительных упоминаний мин-ва/вед-ва в средствах массовой информации</t>
  </si>
  <si>
    <t>аудит не произведен</t>
  </si>
  <si>
    <t>Количество проведенных расследований, количество рассмотренных жалоб, количество возбужденных уголовных дел</t>
  </si>
  <si>
    <t>4                                                                 122                                                             0</t>
  </si>
  <si>
    <t>0                                                                       111                                                              0</t>
  </si>
  <si>
    <t>9417                                                          14607                                                          9670                                                 3992150089 сом</t>
  </si>
  <si>
    <t>19018                                             8049                                           5581                                       388945321 сом</t>
  </si>
  <si>
    <t>6021                                                 10074                                        5693                                 3936303442 сом</t>
  </si>
  <si>
    <t xml:space="preserve">8170                                                  5210                                                       3022                                                       332291628 сом </t>
  </si>
  <si>
    <t>2030                                                2625                                                       2154                                            55846646 сом</t>
  </si>
  <si>
    <t xml:space="preserve">4124                                                1892                                                       1528                                           56653693 сом </t>
  </si>
  <si>
    <t>1366                                                       1908                                                      1823</t>
  </si>
  <si>
    <t>6724                                                 947                                              1031</t>
  </si>
  <si>
    <t>898                                          92195                                                 424                                                 12529                                           1045                                            604                                              78</t>
  </si>
  <si>
    <t>473                                                 44975                                                                  159                                                             7386                                                                          494                                                             245                                                       34</t>
  </si>
  <si>
    <t>Надзор за следствием и оперативно-розыскной деятельностью в органах внутренних дел и исполнения наказания.</t>
  </si>
  <si>
    <t>802                                                         86440                                        398                                                   10285                                               861                                      556                                          65</t>
  </si>
  <si>
    <t>428                                             42142                                                             148                                                        5951                                                                   453                                                           222                                                    22</t>
  </si>
  <si>
    <t>70                                           5337                                                20                                               1841                                                     62                                              48                                          2</t>
  </si>
  <si>
    <t>31                                                    1511                                                      6                                                              786                                                          29                                                                   21                                                       0</t>
  </si>
  <si>
    <t>26                                           418                                                   6                                                  403                                          22                                              0                                       11</t>
  </si>
  <si>
    <t>12                                                             144                                                          2                                                              317                                                                   12                                                    2                                                12</t>
  </si>
  <si>
    <t>24357                                5760                                     2172                                      1925                                       1603                                           5444326000</t>
  </si>
  <si>
    <t>10208                                                       2818                                             1034                                                      684                                                665                                                     45850555</t>
  </si>
  <si>
    <t>21739                                           5760                                                   2076                                                       1785                                                   1488</t>
  </si>
  <si>
    <t xml:space="preserve">8390                                                           2818                                                                   934                                                               634                                                665 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</si>
  <si>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</si>
  <si>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2018 г.</t>
  </si>
  <si>
    <t>2022 г.</t>
  </si>
  <si>
    <t xml:space="preserve">Надзор за соблюдением законов органами, осуществляющими оперативно-розыскную деятельность, следствие. </t>
  </si>
  <si>
    <t>Надзор за следствием и оперативно-розыскной деятельностью в органах государственной службы по экономическим преступлениям и следствие в Военной прокуратуре и в органах национальной безопасности</t>
  </si>
  <si>
    <t>Надзор за следствием и оперативно-розыскной деятельностью в органах государственной службы по экономическим преступлениям и таможни</t>
  </si>
  <si>
    <t>Обеспечение поддержания гособвинения и представительство в судах.</t>
  </si>
  <si>
    <t>Поддержание гособвинения в судах.</t>
  </si>
  <si>
    <t>Рассмотрение обращений граждан в сфере уголовного и гражданского судопроизводства</t>
  </si>
  <si>
    <t>Обеспечение правовой статистики и учетов.</t>
  </si>
  <si>
    <t>Надзор и формирование (свод статистики по всей правоохранительной системе) уголовно-правовой статистики о преступности, лиц, их совершивших и следственной работы правоохранительных органов</t>
  </si>
  <si>
    <t>Разработка, внедрение и модернизация автоматизированной информационной системы "Единый реестр преступлений и проступков" для правоохранительной системы Кыргызской Республики</t>
  </si>
  <si>
    <t>Представление отчета СП КР в ЖК КР</t>
  </si>
  <si>
    <t xml:space="preserve">Материально-техническое обеспечение </t>
  </si>
  <si>
    <t>ВСЕГО (контрольные цифры)</t>
  </si>
  <si>
    <t xml:space="preserve">Планирование, управление и администрирование </t>
  </si>
  <si>
    <t>Цели программы: Координирующее и организационное воздействие на реализацию других программ</t>
  </si>
  <si>
    <t>18. Центральная комиссия  по выборам и проведению референдумов Кыргызской Республики</t>
  </si>
  <si>
    <t>17. Счетная палата КР</t>
  </si>
  <si>
    <t xml:space="preserve">Осуществление управления в сфере иностранных дел  
</t>
  </si>
  <si>
    <t xml:space="preserve">Эффективная реализация внешнеполитического курса Кыргызской Республики
</t>
  </si>
  <si>
    <t>Эффективная реализация внешнеполитического курса Кыргызской Республики</t>
  </si>
  <si>
    <t>Обеспечение дипломатическими средствами национальной безопасности и участие в реализации экономической и социальной  политики Кыргызской Республики</t>
  </si>
  <si>
    <t>Эффективное продвижение экономической дипломатии</t>
  </si>
  <si>
    <t>Продвижение экспорта и туристических возможностей Кыргызской Республики, привлечение иностранных инвестиций, новых технологий и инноваций в экономику Кыргызской Республики</t>
  </si>
  <si>
    <t xml:space="preserve">Деятельность Полномочного представительства Министерства иностранных дел Кыргызской Республики в Ошской, Джалал-Абадской и Баткенской областях </t>
  </si>
  <si>
    <t>Участие в рамках своей компетенции в эффективной реализации внешнеполитического курса Кыргызской Республики, а также защита суверенитета, территориальной целостности и других национальных интересов Кыргызской Республики в международных отношениях.</t>
  </si>
  <si>
    <t>Деятельность загранучреждений Кыргызской Республики</t>
  </si>
  <si>
    <t>Проведение единого внешнеполитического курса Кыргызской Республики в отношениях с государством пребывания, обеспечение дипломатическими средствами защиты суверенитета, территориальной целостности и других интересов Кыргызской Республики в международных отношениях</t>
  </si>
  <si>
    <t>Проведение единого внешнеполитического курса Кыргызской Республики в отношениях с государством пребывания, обеспечение дипломатическими средствами защиты суверенитета, территориальной целосности и других интересов Кыргызской Республики в международных отношениях</t>
  </si>
  <si>
    <t>Защита прав и интересов граждан и юридических лиц Кыргызской Республики в государстве пребывания</t>
  </si>
  <si>
    <t>Деятельность Дипломатической Академии Министерства иностранных дел Кыргызской Республики имени Казы Дикамбаевича Дикамбаева</t>
  </si>
  <si>
    <t>Предоставление высшего профессонального, послевузовского и дополнительного профессионального  образования в области международных отношений</t>
  </si>
  <si>
    <t>Качественное предоставление высшего профессионального, послевузовского и дополнительного профессионального образования в области международных отношений</t>
  </si>
  <si>
    <t xml:space="preserve">Цели программы: Усиление потенциала министерства путем развития УЧР, оптимизация рабочих процессов и совершенствование систем. Координирующее и организационное воздействие на реализацию других программ. </t>
  </si>
  <si>
    <t>от 2 до 5</t>
  </si>
  <si>
    <t xml:space="preserve">от 5 до 10 </t>
  </si>
  <si>
    <t>от 10 до 15</t>
  </si>
  <si>
    <t>Процент исполнения бюджета без нарушения</t>
  </si>
  <si>
    <t>Исполнение Плана законопроектных работ министерства</t>
  </si>
  <si>
    <t>Экспертиза законопроектов разрабатываемых другими госорганами</t>
  </si>
  <si>
    <t>Правовая консультация структурных подразделений министерства в рассмотрении заявлений и обращений физических и юридических лиц</t>
  </si>
  <si>
    <t xml:space="preserve">Мероприятия по инвентаризации отраслевых НПА и актов министертсва </t>
  </si>
  <si>
    <t>Осуществление закупок товаров, работ, услуг и консультационных услуг без нарушения</t>
  </si>
  <si>
    <t>% сотрудников прошедших обучение из бюджетных средств</t>
  </si>
  <si>
    <t>ед</t>
  </si>
  <si>
    <t>Публикация отчетов, буклетов, брошюр</t>
  </si>
  <si>
    <t>Цель программы: Создание благоприятной нормативно-правовой среды и проведение разумных реформ для активизации приоритетных сфер экономики и деятельности  субъектов бизнеса,  динамичного роста  инвестиций в экономику и повышения эффективности их использования, а также роста налогооблагаемой  базы</t>
  </si>
  <si>
    <t>Количество принятых НПА для поддержки развития предпринимательства и совершенствование налогового администрирования</t>
  </si>
  <si>
    <t>Количество расчетов и аналитических материалов</t>
  </si>
  <si>
    <t>Срок выпуска товаров</t>
  </si>
  <si>
    <t>часов</t>
  </si>
  <si>
    <t xml:space="preserve">Количество стран, с которыми подписаны и ратифицированы соглашения об избежании двойного  налогообложения </t>
  </si>
  <si>
    <t>2</t>
  </si>
  <si>
    <t xml:space="preserve"> + 2</t>
  </si>
  <si>
    <t>+2</t>
  </si>
  <si>
    <t>05</t>
  </si>
  <si>
    <t>Организация встреч двухсторонних комиссий</t>
  </si>
  <si>
    <t>06</t>
  </si>
  <si>
    <t>Количество предприятий, в отношении которых применена реструктуризация, реабилитация, санация и мировое соглашение</t>
  </si>
  <si>
    <t>07</t>
  </si>
  <si>
    <t>Приток прямых иностранных инвестиций</t>
  </si>
  <si>
    <t>млн. долл.</t>
  </si>
  <si>
    <t>08</t>
  </si>
  <si>
    <t>Обновление и публикация ежегодного отчета по международным рейтингам страны (Ведение бизнеса и суверенный рейтинг)</t>
  </si>
  <si>
    <t>место</t>
  </si>
  <si>
    <t>09</t>
  </si>
  <si>
    <t>Количество НПА (Концепции, постановления, законы)</t>
  </si>
  <si>
    <t xml:space="preserve">2.11Совершенствование институциональной базы для продвижения ГЧП в КР </t>
  </si>
  <si>
    <t>Количество инициированных проектов ГЧП государственными органами</t>
  </si>
  <si>
    <t xml:space="preserve">Цель программы: Обеспечить устойчивость  макроэкономического роста и создания единой системы стратегического планирования устойчивого развития в стране, а также определяет и реализует государственную политику в сфере привлечения международной грантовой и технической помощи совместно с заинтересованными государственными органами;  </t>
  </si>
  <si>
    <t>Отклонение прогнозных значений макропоказателей (темп роста ВВП) от фактических значений</t>
  </si>
  <si>
    <t>п.п.</t>
  </si>
  <si>
    <t>±5</t>
  </si>
  <si>
    <t>Разработка  и внедрение  программного обеспечения по направлениям:  оперативный и экономический анализ</t>
  </si>
  <si>
    <t>±2</t>
  </si>
  <si>
    <t>Количество разработанных НПА</t>
  </si>
  <si>
    <t>Количество утвержденных внутренних стратегических документов  и планов</t>
  </si>
  <si>
    <t>Процент исполнения  Плана  действий/обязательств министерства</t>
  </si>
  <si>
    <t>Количество утвержденных программных стратегических документов  и планов, НПА</t>
  </si>
  <si>
    <t>Количество разработанных  и принятых программ развития регионов</t>
  </si>
  <si>
    <t xml:space="preserve">Разработка методики оценки эффективности проектов международной грантовой и технической помощи в КР </t>
  </si>
  <si>
    <t>Подписание соглашения между Правительством КР и Правительством ФРГ о финансовом и техническом сотрудничестве на 2019-2020 гг.</t>
  </si>
  <si>
    <t>ежегодный Совет директоров ЕБРР</t>
  </si>
  <si>
    <t>Мониторинг проектов</t>
  </si>
  <si>
    <t>Цель программы: Создание благоприятных условий для поступательного роста экспорта и развития внутренней торговли</t>
  </si>
  <si>
    <t>Темп роста обьемов экспорта товаров</t>
  </si>
  <si>
    <t>Проценты раелизованных договоренностей в рамках межправительственных комиссий</t>
  </si>
  <si>
    <t xml:space="preserve">Количество НПА в сфере технического регулирования и метрологии </t>
  </si>
  <si>
    <t xml:space="preserve">Количество проведенных мероприятий  </t>
  </si>
  <si>
    <t>Количество встреч рабочих органов ВТО с участием Представительства</t>
  </si>
  <si>
    <t>50+/-5</t>
  </si>
  <si>
    <t>Количество проведенных  встреч с Секретариатом и делегациями по актуальным для КР вопросам</t>
  </si>
  <si>
    <t>40+/-5</t>
  </si>
  <si>
    <t>Доля документов выданных по принципу "единого окна" вовлеченными ведомствами, где проведена полная автоматизация внутренних бизнес процессов"</t>
  </si>
  <si>
    <t>Уровень обеспечения стандартами для ТР ТС</t>
  </si>
  <si>
    <t>100% По мере принятия новых ТР ТС</t>
  </si>
  <si>
    <t xml:space="preserve">Разработка межгосударственных стандартов на основе национальных стандартов, в целях защиты интересов бизнеса </t>
  </si>
  <si>
    <t>-</t>
  </si>
  <si>
    <t xml:space="preserve">Уровень гармонизации применяемых в КР стандартов </t>
  </si>
  <si>
    <t>Участие в работах межгосударственных технических комитетах по стандартизации (МТК) по пищевой продукции, связанных с разработкой межгосударственных стандартов.</t>
  </si>
  <si>
    <t>Подтверждение компетентности испытательных, калибровочных  лабораторий требованиям ИСО/ МЭК 17025; медицинские лаборатории на соответствие ИСО 15189.</t>
  </si>
  <si>
    <t>шт.</t>
  </si>
  <si>
    <t xml:space="preserve">Подтверждение компетентности органов по сертификации продукции/услуг  требованиям ИСО/ МЭК17065, органов  по сертификации систем менеджмента ИСО/МЭК 17021, органов по  сертификации персонала ИСО/МЭК 17024, органов контроля  ИСО/МЭК 17020 </t>
  </si>
  <si>
    <t>Цель программы: Совершенствовать нормативную правовую базу, регулирующую сферу предоставления государственных услуг, системы оценки деятельности органов исполнительной власти и местного самоуправления</t>
  </si>
  <si>
    <t>Повышение качества и доступности государственных услуг, оказываемых гражданам и юридическим лицам</t>
  </si>
  <si>
    <t>ИДН коэф.</t>
  </si>
  <si>
    <t>от 1 до 3</t>
  </si>
  <si>
    <t>Содействие в формировании Единого реестра государственных услуг, выработка рекомендаций по совершенствованию законодательства и механизма систематизации государственных услуг, и содействие в разработке их стандартов (МВК, рабочие встречи)</t>
  </si>
  <si>
    <t xml:space="preserve">Систематиация функций государственных органов исполнительной власти Кыргызской Республики (формирование Единого реестра) </t>
  </si>
  <si>
    <t>Проведение единой оценки деятельности государственных органов исполнительной власти Кыргызской Республики, мэрий городов Бишкек и Ош, а также повышения ответственности их руководителей и полномочных представителей Правительства Кыргызской Республики в областях</t>
  </si>
  <si>
    <t>Ед.</t>
  </si>
  <si>
    <t>Цель программы: Обеспечить координацию работы по действиям министерств и ведомств по вопросам Евразийского экономического союза и  взаимодействия с Евразийской экономической комиссией.</t>
  </si>
  <si>
    <t>Аналитическая записка для руководства</t>
  </si>
  <si>
    <t xml:space="preserve">Осведомленность (информированность) населения по вопросам  ЕАЭС  </t>
  </si>
  <si>
    <t>Всего: (контрольные цифры)</t>
  </si>
  <si>
    <t>23. Министерство иностранных дел</t>
  </si>
  <si>
    <t xml:space="preserve"> Отношение расходов по ЗП Программы 001 к сумме расходов по ЗП по другим программам</t>
  </si>
  <si>
    <t>Общая координация на республиканском уровне (бюджет и спец. средства)</t>
  </si>
  <si>
    <t>по факту</t>
  </si>
  <si>
    <t>Отношение выигранных судебных дел к их общему количеству</t>
  </si>
  <si>
    <t>ед/ед</t>
  </si>
  <si>
    <t>14/19</t>
  </si>
  <si>
    <t>Количество положительных упоминаний мин-ва/вед-ва в СМИ</t>
  </si>
  <si>
    <t>Организация деятельности и службы обеспечения (ТОП, МОП, автохозяйство, ИТ, охрана и.т.п)</t>
  </si>
  <si>
    <t xml:space="preserve">Доля сотрудников служб обеспечения от общей численности сотрудников ЦА </t>
  </si>
  <si>
    <t>Общая координация на региональном уровне (бюджет и спец. средства)</t>
  </si>
  <si>
    <t>обеспечение общеобразовательных организаций учебниками, компьютерами и мебелю</t>
  </si>
  <si>
    <t xml:space="preserve">Итого </t>
  </si>
  <si>
    <t xml:space="preserve">  Охват детей соответствующего возраста (5,5-7 лет) программами предшкольной подготовки (от изъявивших желание)</t>
  </si>
  <si>
    <t xml:space="preserve">Поддержание и расширение существующей сети государственных дошкольных образовательных организаций (ДОО) и повышение охвата детей 5-6 лет (включая детей с ограниченными возможностями) программой предшкольной подготовки (бюджетные средства) </t>
  </si>
  <si>
    <t xml:space="preserve">Число детей соответствующего возраста, охваченных программами предшкольной подготовки.                                         </t>
  </si>
  <si>
    <t>чел.</t>
  </si>
  <si>
    <t>не ниже 100 тыс</t>
  </si>
  <si>
    <t>Количество оборудованных класс-комплектов по предшкольной подготовке (парта, стулья, стол с учетом возрастных особенностей детей 5 - 6 - летнего возраста)</t>
  </si>
  <si>
    <t>Доля оборудованных класс-комплектов по предшкольной подготовке от потребности</t>
  </si>
  <si>
    <t xml:space="preserve">Количество ДОО, где внедрен государственный стандарт            </t>
  </si>
  <si>
    <t xml:space="preserve">Доля ДОО, где внедрен государственный стандарт       </t>
  </si>
  <si>
    <t>Численность педагогов, прошедших повышение квалификации;</t>
  </si>
  <si>
    <t>Число новых ДОО</t>
  </si>
  <si>
    <t xml:space="preserve">по факту </t>
  </si>
  <si>
    <t xml:space="preserve">Доля новых ДОО от потребности </t>
  </si>
  <si>
    <t>Создание условий для полноценного развития детей путем обеспечения доступа к эффективному образованию</t>
  </si>
  <si>
    <t>Охват детей базовым образованием (1-9 класс)</t>
  </si>
  <si>
    <t>не ниже 96%</t>
  </si>
  <si>
    <t>Поддержание функционирования сети школьных учреждений в соответствии со стандартами (бюжетные средства)</t>
  </si>
  <si>
    <t>Доля школ полностью (100%) укомлектованных педагогическими кадрами</t>
  </si>
  <si>
    <t>Оптимизации управления и финансирования детских учреждений интернатного типа</t>
  </si>
  <si>
    <t xml:space="preserve">Количество  учреждений интернатного типа
по которым подготовлены планы оптимизации/трансформации
</t>
  </si>
  <si>
    <t>Модернизация содержания образования с учетом компетентностного подхода (ПГИ внешнее  финансирование АБР)</t>
  </si>
  <si>
    <t>Количество учителей 7-11 классов, прошедших обучение новым образовательным стандартам по математике, физике, химии, биологии и географии</t>
  </si>
  <si>
    <t>_</t>
  </si>
  <si>
    <t>Обеспечение условий предоставления инклюзивного образования детям с особыми нуждами на базе общеобразовательных и специальных школ</t>
  </si>
  <si>
    <t>за счет капстроительства и местного бюджета</t>
  </si>
  <si>
    <t xml:space="preserve">Перевод общеобразовательных организаций на принципы финансово-административной самостоятельности, основанной на ответственности перед получателем образовательных услуг </t>
  </si>
  <si>
    <t>Сформирована рациональная и оптимальная система ПТО</t>
  </si>
  <si>
    <t>Доля трудоустроенных и занятых выпускников (с учетом продолжения обучения) СПУЗов в первый год после окончания обучения</t>
  </si>
  <si>
    <t xml:space="preserve">Улучшение доступа к обучению начального профессионального образования (бюджет и спец. средства) </t>
  </si>
  <si>
    <t>Суммарная доля 60 %:
• 20% отремонтированных УЗНПО (в т.ч. условия для ЛОВЗ) 
• 20% оснащенности УЗНПО современным производственным учебным оборудованием 
• 20% УЗНПО, внедривших мультимедийные и инновационные технологии в образовательный процесс к общему количеству УЗНПО</t>
  </si>
  <si>
    <t>% (суммарная доля)</t>
  </si>
  <si>
    <t>Количество  разработанных модульных учебных программ на компетентностной основе, в т.ч.     для обучения социально уязвимых категорий населения и ЛОВЗ</t>
  </si>
  <si>
    <t>Обеспечение взаимосвязи между системой НПО и потребностями рынка труда</t>
  </si>
  <si>
    <t>Количество граждан, обученных по профессиям, востребованным в секторах экономики (за счет республиканского бюджета и на контрактно-краткосрочной основе)</t>
  </si>
  <si>
    <t>чел. (ежегодно)</t>
  </si>
  <si>
    <t>Повышение квалификации педагогического персонала и мастеров производственного обучения</t>
  </si>
  <si>
    <t>Количество ИПР, прошедших повышение квалификации в т.ч. мастера, обученных на производственной базе учебных заведений и работодателей</t>
  </si>
  <si>
    <t>ед (ежегодно)</t>
  </si>
  <si>
    <t>Изменение структуры подготовки кадров со средним профессиональным образованием на основе анализа страновых приоритетов и экономических стратегий регионов (бюджетные средства)</t>
  </si>
  <si>
    <t xml:space="preserve">Доля работодателей, включенных в состав государственных аттестационных комиссий </t>
  </si>
  <si>
    <t xml:space="preserve">Доля трудоустроенных выпускников ВУЗов на бюджетной основе (с учетом продолжения обучения и самозанятости) </t>
  </si>
  <si>
    <t xml:space="preserve">Доля трудоустроенных по специальности выпускников педагогических специальностей ВУЗов (на бюджетной основе)   </t>
  </si>
  <si>
    <t xml:space="preserve">Доля направлений и специальностей высшего профессионального образования (по которым осуществляется бюджетный набор), соответствующих страновым приоритетам и экономическим стратегиям </t>
  </si>
  <si>
    <t>Доля вузов (% от общего числа) формирующих план приема на основании заключенных с работодателями договоров о целевой подготовке</t>
  </si>
  <si>
    <t>Создание условий для развития системы повышения квалификации преподавателей вузов (бюджетные средства)</t>
  </si>
  <si>
    <t xml:space="preserve">Доля педагогов, участвовавших в программах повышения квалификации              </t>
  </si>
  <si>
    <t>Доля взрослого населения, охваченная лицензированными образовательными программами (формальное: вечернее/сменное/заочное, неформальное - повышение квалификации, переподготовка) от числа обратившихся</t>
  </si>
  <si>
    <t>Обеспечение охвата основным образованием людей, не имеющих образования или выбывших из системы школьного образования ранее нормативно установленных сроков (бюджетные средства)</t>
  </si>
  <si>
    <t xml:space="preserve">Количество вечерних/сменных/заочных школ </t>
  </si>
  <si>
    <t>Количество принятых в вечерние/сменные/заочные школы</t>
  </si>
  <si>
    <t>Количество вечерних/сменных/заочных классов</t>
  </si>
  <si>
    <t>Количество принятых в вечерние/сменные/заочные классы при дневных общеобразовательных школах</t>
  </si>
  <si>
    <t>Содействие адаптации экономически активного населения к быстро меняющимся требованиям рынка труда (спец. средства)</t>
  </si>
  <si>
    <t xml:space="preserve">Количество учебных заведений среднего профессионального образования, предоставляющих услуги дополнительного профессионального образования.            </t>
  </si>
  <si>
    <t xml:space="preserve">Количество учебных заведений высшего профессионального образования, предоставляющих услуги дополнительного профессионального образования. </t>
  </si>
  <si>
    <t>Доля средств, выделяемых вузами на развитие научно-исследовательской работы</t>
  </si>
  <si>
    <t>Развитие прикладной науки (бюджетные средства)</t>
  </si>
  <si>
    <t xml:space="preserve">Увеличение доли научных проектов, нацеленных на обеспечение позитивных структурных сдвигов в экономике республики </t>
  </si>
  <si>
    <t xml:space="preserve"> ед.</t>
  </si>
  <si>
    <t>5-20</t>
  </si>
  <si>
    <t>Реализация инфраструктурных проектов</t>
  </si>
  <si>
    <t>Реализация проектов государственных инвестиций</t>
  </si>
  <si>
    <t>24. Резервные и другие фонды территорий</t>
  </si>
  <si>
    <t>Резервные и другие фонды территорий</t>
  </si>
  <si>
    <t>Фонд развития Иссык-Кульской области</t>
  </si>
  <si>
    <t>Фонды развития районов</t>
  </si>
  <si>
    <t>Фонды развития областей</t>
  </si>
  <si>
    <t>Резервный фонд полномочного представителя Правительства Кыргызской Республики в областях</t>
  </si>
  <si>
    <t>Резервный фонд акимов</t>
  </si>
  <si>
    <t>Фонд финансирования подготовки проектов государственно-частного партнерства</t>
  </si>
  <si>
    <t>Итого: всего по Резервным и другим фондам территорий</t>
  </si>
  <si>
    <t>25. Министерство финансов Кыргызской Республики</t>
  </si>
  <si>
    <t xml:space="preserve">Доля сотрудников служб обеспечения от общей численности сотрудников </t>
  </si>
  <si>
    <t>15</t>
  </si>
  <si>
    <t>чел</t>
  </si>
  <si>
    <t>Согласно графику</t>
  </si>
  <si>
    <t>не менне      80 %</t>
  </si>
  <si>
    <t xml:space="preserve">Формирование и представление Основных направлений фискальной политики Кыргызской Республики в Совет Правительства Кыргызской Республики </t>
  </si>
  <si>
    <t xml:space="preserve">Количество министерств и ведомств, представивших Среднесрочные стратегии бюджетных расходов к Основным направлениям фискальной политики Кыргызской Республики </t>
  </si>
  <si>
    <t xml:space="preserve">ед. </t>
  </si>
  <si>
    <t>Объем доходов республиканского бюджета</t>
  </si>
  <si>
    <t>млн.сом</t>
  </si>
  <si>
    <t>шт</t>
  </si>
  <si>
    <t>Объем привлеченной грантовой помощи</t>
  </si>
  <si>
    <t>Объем привлеченных кредитных средств на льготной основе</t>
  </si>
  <si>
    <t>количество ОМСУ</t>
  </si>
  <si>
    <t>Финансирование за счет стимулирующих грантов</t>
  </si>
  <si>
    <t>количество районов, ОМСУ</t>
  </si>
  <si>
    <t>Уровень государственного внешнего долга к ВВП</t>
  </si>
  <si>
    <t xml:space="preserve">≤ 60% </t>
  </si>
  <si>
    <t xml:space="preserve">Объем просроченной задолженности по государственному долгу </t>
  </si>
  <si>
    <t>сом</t>
  </si>
  <si>
    <t>Уровень льготности новых внешних заимствований (% грант-элемента)</t>
  </si>
  <si>
    <t>≥ 35%</t>
  </si>
  <si>
    <t>Доля выпуска ГЦБ на аукционной основе</t>
  </si>
  <si>
    <t>Положительный рост ГЦБ со сроком обращения более 2 лет в общей структуре эмиссии ГЦБ</t>
  </si>
  <si>
    <t>изменение в % к пред. году</t>
  </si>
  <si>
    <t>Положительный рост</t>
  </si>
  <si>
    <t xml:space="preserve">Объем просроченной задолженности по государственному внутреннему долгу </t>
  </si>
  <si>
    <t xml:space="preserve">Доля ГРБС(РБС, ПБС) и органов местного самоуправления, для которых органами казначейства осуществляется ведение лицевых счетов бюджетополучателей и предоставление других услуг, связанных с кассовым обслуживанием исполнения бюджета </t>
  </si>
  <si>
    <t>Доля статей экономической классификации расходов республиканского бюджета, по которым осуществляется учет бюджетных обязательств</t>
  </si>
  <si>
    <t>Установленный срок предоставления ежемесячной отчетности об исполнении государственного бюджета</t>
  </si>
  <si>
    <t>Дата</t>
  </si>
  <si>
    <t>25 число, следующее за отчетным</t>
  </si>
  <si>
    <t>Установленный срок предоставления годового отчета об исполнении государственного бюджета</t>
  </si>
  <si>
    <t>1 мая</t>
  </si>
  <si>
    <t>15 мая</t>
  </si>
  <si>
    <t>Доля экспертных заключений, подготовленных в установленные сроки</t>
  </si>
  <si>
    <t xml:space="preserve">Количество проведенных проверок </t>
  </si>
  <si>
    <t>Доля выявленных нарушений физическими и юридическими лицами от числа проведенных проверок</t>
  </si>
  <si>
    <t>Объем взысканных штрафов</t>
  </si>
  <si>
    <t>тыс.сом</t>
  </si>
  <si>
    <t>Исполнение годового плана по сбору пробирной платы</t>
  </si>
  <si>
    <t>кол-во</t>
  </si>
  <si>
    <t>4 раза</t>
  </si>
  <si>
    <t xml:space="preserve">день </t>
  </si>
  <si>
    <t xml:space="preserve">Степень удовлетворенности закупающих организаций и поставщиков (подрядчиков) оказанной помощью </t>
  </si>
  <si>
    <t>Внедрение оценки эффективности бюджетных программ</t>
  </si>
  <si>
    <t>Внедрена</t>
  </si>
  <si>
    <t>Количество разработанных/усовершенствованных инструктивно-методологических документов по программному бюджетированию</t>
  </si>
  <si>
    <t>единиц</t>
  </si>
  <si>
    <t>"А"</t>
  </si>
  <si>
    <t xml:space="preserve">Среднее количество участников в процессе закупок (отношение общего количества поданных заявок к общему количеству объявлений о госзакупках) </t>
  </si>
  <si>
    <t>7 к 1</t>
  </si>
  <si>
    <t>8 к 1</t>
  </si>
  <si>
    <t>9 к 1</t>
  </si>
  <si>
    <t>Количество специалистов, прошедших обучение  по внутреннему аудиту, бухгалтерскому учету.</t>
  </si>
  <si>
    <t>Внешняя оценка служб внутреннего аудита</t>
  </si>
  <si>
    <t>26. Министерство финансов  Кыргызской Республики</t>
  </si>
  <si>
    <t>Охват населения обязательным медицинским страхованием</t>
  </si>
  <si>
    <t>не менее 35%</t>
  </si>
  <si>
    <t>не менее 80%</t>
  </si>
  <si>
    <t>Соотношение количества младшего и технического персонала к общему числу основного персонала Фонда ОМС</t>
  </si>
  <si>
    <t>Общая координация на региональном уровне</t>
  </si>
  <si>
    <t>не ниже 80%</t>
  </si>
  <si>
    <t>не ниже 90%</t>
  </si>
  <si>
    <t>не ниже 100%</t>
  </si>
  <si>
    <t>16</t>
  </si>
  <si>
    <t>Исполнение плана консолидированного бюджета системы Единого плательщика</t>
  </si>
  <si>
    <t>не менее 95%</t>
  </si>
  <si>
    <t>17</t>
  </si>
  <si>
    <t>Обеспечение учета и отчетности по бюджету Фонда ОМС при ПКР</t>
  </si>
  <si>
    <t xml:space="preserve">Процент охвата организаций здравоохранения автоматизированным учетом 1С бухгалтерия </t>
  </si>
  <si>
    <t>18</t>
  </si>
  <si>
    <t>Обеспечение контроля качества медицинских услуг, предоставляемых организациями здравоохранения в системе Единого плательщика</t>
  </si>
  <si>
    <t>19</t>
  </si>
  <si>
    <t xml:space="preserve">Обеспечение контроля за целевым и рациональным использованием средств системы Единого плательщика </t>
  </si>
  <si>
    <t>20</t>
  </si>
  <si>
    <t xml:space="preserve">Количество проведенных встреч и выступлений в СМИ             </t>
  </si>
  <si>
    <t>Количество распространенной печатной продукции</t>
  </si>
  <si>
    <t>Количество показанных информационных и социальных роликов</t>
  </si>
  <si>
    <t>21</t>
  </si>
  <si>
    <t>Обеспечение сопровождения баз данных Фонда ОМС по пролеченным случаям, ДП ОМС, ПГГ, экспертиза качества, индикаторам договоров, телефону доверия, выдачи полисов ОМС</t>
  </si>
  <si>
    <t>Количество сопровождаемых баз данных Фондом ОМС</t>
  </si>
  <si>
    <t>22</t>
  </si>
  <si>
    <t>Доля организаций здравоохранения, обеспеченных компьютерами и доступом к интернету</t>
  </si>
  <si>
    <t xml:space="preserve">Доля организаций здравоохранения внедривших электронные медицинские карты пациента </t>
  </si>
  <si>
    <t>Доля расходов на ПМСП в общих расходах по другим программам</t>
  </si>
  <si>
    <t>Количество посещений к врачам ГСВ на 1 жителя</t>
  </si>
  <si>
    <t>Уровень удовлетворенности пациентов (по оценочной карте)</t>
  </si>
  <si>
    <t>Обеспечение доступности экстренной (скорой) медицинской помощи населению республики</t>
  </si>
  <si>
    <t>Процент соответствия количества фактически функционирующих бригад СМП к утвержденному количеству</t>
  </si>
  <si>
    <t>Количество обслуженных вызовов ЭМП на 1000 населения</t>
  </si>
  <si>
    <t>случаев</t>
  </si>
  <si>
    <t>Обеспечение доступности базовых медицинских услуг на уровне первичной медико-санитарной помощи (ПМСП) населению республики</t>
  </si>
  <si>
    <t xml:space="preserve">Обеспечение доступности к медицинской помощи по борьбе с туберкулезом, оказываемой организациями ПМСП </t>
  </si>
  <si>
    <t xml:space="preserve">Количество случаев туберкулеза, успешно завершивших  лечение на амбулаторном уровне в пилотных ОЗ ПМСП   </t>
  </si>
  <si>
    <t xml:space="preserve">Обеспечение доступа  населению республики к льготному лекарственному обеспечению по ПГГ (онкологическим больным в терминальной стадии; больным параноидной шизофренией и хроническими бредовыми расстройствами; аффективными расстройствами различного генеза; эпилепсией; бронхиальной астмой) </t>
  </si>
  <si>
    <t xml:space="preserve">Уровень возмещения реализованных лекарств по рецептам ПГГ на амбулаторном  уровне </t>
  </si>
  <si>
    <t>не менее 90%</t>
  </si>
  <si>
    <t>Обеспечение доступа  застрахованному населению республики к льготному лекарственному обеспечению по ОМС</t>
  </si>
  <si>
    <t xml:space="preserve">Уровень возмещения реализованных лекарств по рецептам ОМС на амбулаторном  уровне </t>
  </si>
  <si>
    <t>не менее 50%</t>
  </si>
  <si>
    <t>Улучшение качества предоставления медицинской помощи населению путем предоставления стимулирующей оплаты за достижение целевых показателей качества от деятельности ГСВ</t>
  </si>
  <si>
    <t>не более 13,5%</t>
  </si>
  <si>
    <t>не более 13,2%</t>
  </si>
  <si>
    <t>Уровень удовлетворенности (по оценочной карте)</t>
  </si>
  <si>
    <t>медикаменты</t>
  </si>
  <si>
    <t>питание</t>
  </si>
  <si>
    <t>Обеспечение доступности медицинских услуг на уровне стационарной помощи в рамках ПГГ населению республики</t>
  </si>
  <si>
    <t xml:space="preserve">Доля   населения, получивших лечение по социальным льготам </t>
  </si>
  <si>
    <t xml:space="preserve">Доля   населения, получивших льготное лечение по медицинским показаниям   </t>
  </si>
  <si>
    <t>не менее 20%</t>
  </si>
  <si>
    <t>Соотношение фактически пролеченных случаев к согласованному плану</t>
  </si>
  <si>
    <t xml:space="preserve">Обеспечение доступности к медицинской помощи по борьбе с туберкулезом, оказываемой  организациями здравоохранения стационарного уровня </t>
  </si>
  <si>
    <t xml:space="preserve">Обеспечение доступности к медицинским услугам на уровне специализированной онкологической и гематологической помощи </t>
  </si>
  <si>
    <t xml:space="preserve">Обеспечение доступности к медицинским услугам на уровне специализированной кардиохирургической помощи </t>
  </si>
  <si>
    <t>Обеспечение доступности к медицинским услугам на уровне специализированной психиатрической помощи</t>
  </si>
  <si>
    <t>Улучшение качества предоставления медицинской помощи населению путем предоставления стимулирующей оплаты за достижение целевых показателей качества от деятельности организации</t>
  </si>
  <si>
    <t>Количество ОЗ , в которых проведена оценка качества деятельности ОЗ по оценочной карте для стимулирующих выплат</t>
  </si>
  <si>
    <t>Обеспечение доступа к льготному гемодиализному лечению остронуждающихся пациентов с терминальной стадией хронической почечной недостаточности, получающих платное лечение в частных медицинских центрах и ожидающих перевода на полный бюджетный гемодиализ в государственных организациях здравоохранения, а также в целях сокращения бремени затрат пациентами при получении услуг гемодиализа</t>
  </si>
  <si>
    <t xml:space="preserve">Количество пациентов с терминальной стадией хронической почечной недостаточности, получающих платное лечение в частных медицинских центрах и ожидающих перевода на полный бюджетный гемодиализ в государственных организациях здравоохранения, а также в целях сокращения бремени затрат пациентами при получении услуг гемодиализа  </t>
  </si>
  <si>
    <t>Количество нарушений по задержке выплаты пенсий, финансируемых за счёт республиканского бюджета.</t>
  </si>
  <si>
    <t>Выплата компенсации за электроэнергию пенсионерам</t>
  </si>
  <si>
    <t>Пенсионное обеспечение военнослужащих, выплата сотрудникам органов внутренних дел и членам их семей единовременного пособия</t>
  </si>
  <si>
    <t>Льготное (досрочное) пенсионное обеспечение отдельных категорий населения и выплата надбавок к пенсиям</t>
  </si>
  <si>
    <t>Общегосударственные программы</t>
  </si>
  <si>
    <t>Финансирование экспортоориентированных и импортозамещающих предприятий</t>
  </si>
  <si>
    <t>Реализация Национальной программы развития государственного языка и совершенствования языковой политики в КР</t>
  </si>
  <si>
    <t>Цифровая экономика</t>
  </si>
  <si>
    <t>На развитие регионов КР</t>
  </si>
  <si>
    <t>Безопасный город</t>
  </si>
  <si>
    <t>Взносы в международные организации</t>
  </si>
  <si>
    <t>Государственный долг</t>
  </si>
  <si>
    <t>Возмещение и возврат НДС</t>
  </si>
  <si>
    <t>10</t>
  </si>
  <si>
    <t>Исполнение решений суда</t>
  </si>
  <si>
    <t>11</t>
  </si>
  <si>
    <t>Оплата услуг банков</t>
  </si>
  <si>
    <t>12</t>
  </si>
  <si>
    <t>ГА по управлению бюджетными кредитами</t>
  </si>
  <si>
    <t>13</t>
  </si>
  <si>
    <t>Субсидирование процентных ставок коммерческих банков</t>
  </si>
  <si>
    <t>14</t>
  </si>
  <si>
    <t>Развитие приграничных территорий</t>
  </si>
  <si>
    <t>ОАО "Государственная ипотечная компания"</t>
  </si>
  <si>
    <t>Государственные программы, мероприятия и выплаты</t>
  </si>
  <si>
    <t>Капитальные вложения</t>
  </si>
  <si>
    <t>Мероприятия по ликвидации стихийных бедствий</t>
  </si>
  <si>
    <t>Повышение социальных выплат</t>
  </si>
  <si>
    <t>Выравнивающие трансферты</t>
  </si>
  <si>
    <t>Целевые трансферты</t>
  </si>
  <si>
    <t>Стимулирующие гранты</t>
  </si>
  <si>
    <t>Учреждения, переданные из местного бюджета на республиканский бюджет</t>
  </si>
  <si>
    <t>Учреждения, переданные из районного бюджета на республиканский бюджет</t>
  </si>
  <si>
    <t>Государственный бюджетный резерв</t>
  </si>
  <si>
    <t>Количество архивных документов, требующих улучшения состояния и научно-техническую обработку</t>
  </si>
  <si>
    <t>Количество архивных документов, переведенных на цифровой формат</t>
  </si>
  <si>
    <t>13. Архив президента КР</t>
  </si>
  <si>
    <t>Количество проведенных закупок</t>
  </si>
  <si>
    <t xml:space="preserve">Количество сотрудников ведомства прошедших обучающие курсы и стажировки </t>
  </si>
  <si>
    <t>Количество судебных дел по защите объектов интеллектуальной собственности</t>
  </si>
  <si>
    <t xml:space="preserve">Количество разработанных проектов НПА в сфере развития интеллектуальной собственнности и нноваций </t>
  </si>
  <si>
    <t xml:space="preserve">Количество подписанных договоров, меморандумов,  соглашений и планов мероприятий с патентными ведомствами зарубежных стран </t>
  </si>
  <si>
    <t>Количество положительных упоминаний ведомства в СМИ или количество материалов, опубликованных на web-ресурсе ведомства</t>
  </si>
  <si>
    <t>Количество медиапродуктов о деятельности Кыргызпатента (видео, баннеры и т.д.)</t>
  </si>
  <si>
    <t>Обеспечение мониторинга, анализа и стратегического планирования (по противодействию коррупции, стратегического панирования и анализа)</t>
  </si>
  <si>
    <t>Оценка деятельности Кыргызпатента и его руководителя</t>
  </si>
  <si>
    <t>Стимулирование и вовлечение авторов к созданию новых результатов интеллектуальной деятельности и повышению престижа изобретателей, авторов, научных работников  и частные предприятия</t>
  </si>
  <si>
    <t>Количество наград  изобретателям, авторам и научным работникам</t>
  </si>
  <si>
    <t xml:space="preserve">Доля заявок на служебные изобретения </t>
  </si>
  <si>
    <t xml:space="preserve">Развитие инфраструктуры для создания интеллектуальной собственности и поддержка деятельности по использованию интеллектуальной собственности,  создание демонстрационно-опытных площадок для взаимодействия авторов интеллектуальной собственности и бизнес-структур
</t>
  </si>
  <si>
    <t xml:space="preserve">Количество филиалов Центра поддержки технологий и инноваций </t>
  </si>
  <si>
    <t xml:space="preserve">Количество обученных координаторов Центра поддержки технологий и инноваций  по патентному поиску </t>
  </si>
  <si>
    <t>Количество пользователей услуг Центра поддержки технологий и инноваций   в количестве не менее 500 человек в год</t>
  </si>
  <si>
    <t xml:space="preserve">Количество  премий в области научно-технического творчества детей и молодежи </t>
  </si>
  <si>
    <t>Количество республиканских и областных конкурсов, олимпиад, выставок  научно-технического и творческого направления</t>
  </si>
  <si>
    <t>Количество кружков научно-технического творчества детей</t>
  </si>
  <si>
    <t xml:space="preserve">Охват детей научно-техническим творчеством </t>
  </si>
  <si>
    <t>0,4</t>
  </si>
  <si>
    <t>Количество обученных специалистов - патентоведов для предприятий и бюджетных организаций</t>
  </si>
  <si>
    <t>Количество баз данных патентной и непатентной информации других стран</t>
  </si>
  <si>
    <t>Количество созданных коммуникационных площадок (электронные форумы, технопарки, бизнес-инкубаторы, стартапы)</t>
  </si>
  <si>
    <t>Расширение использования IT-технологий при подаче и рассмотрении заявок</t>
  </si>
  <si>
    <t xml:space="preserve">Система электронного документооборота
</t>
  </si>
  <si>
    <t>Доля заявок на объекты интеллектуальной собственности поданных в электронном формате</t>
  </si>
  <si>
    <t xml:space="preserve">Вовлечение гражданского общества в процесс осуществления прав интеллектуальной собственности, формирование института медиации для досудебного регулирования споров
</t>
  </si>
  <si>
    <t xml:space="preserve">Количество обученных медиаторов по разрешению споров, связанных с интеллектуальной собственостью </t>
  </si>
  <si>
    <t>Создание условий для финансовой поддержки развития инновационной деятельности</t>
  </si>
  <si>
    <t xml:space="preserve">Государственный  инновационный фонд </t>
  </si>
  <si>
    <t xml:space="preserve">Организация процесса профессиональной подготовки и повышения квалификации кадров по инновационным специальностям  </t>
  </si>
  <si>
    <t xml:space="preserve">Количество обученных специалистов в сфере развития инноваций </t>
  </si>
  <si>
    <t xml:space="preserve">35.  Интеллектуальная собственность и инновация </t>
  </si>
  <si>
    <t xml:space="preserve">Доля сотрудников служб обеспечения от общей численности сотрудников центрального аппарата </t>
  </si>
  <si>
    <t>Обеспечение мониторинга, анализа и стратегического планирования</t>
  </si>
  <si>
    <t>Доля положительных решений государственными органами и органами МСУ по актам реагирования</t>
  </si>
  <si>
    <t>Доля жалоб обращения граждан  по правам человека в регионах</t>
  </si>
  <si>
    <t>002</t>
  </si>
  <si>
    <t>Защита прав пациентов,находящихся в психиатрических стационарах</t>
  </si>
  <si>
    <t>Улучшение условий содержания поциентов в психиатрических стационарах</t>
  </si>
  <si>
    <t>Защита прав детей и молодежи</t>
  </si>
  <si>
    <t>Доля жалоб по нарушению прав детей и женщин, семьи (к общему количеству всех заявлений и жалоб)</t>
  </si>
  <si>
    <t>Соблюдение прав человека правоохранительными органами в местах лишения и ограничения свободы</t>
  </si>
  <si>
    <t>Защита социально-экономических  и культурных прав</t>
  </si>
  <si>
    <t>Доля жалоб по нарушению  и гендерной дискриминации социально-эконономических прав (к общему  количеству всех заявлений и жалоб)</t>
  </si>
  <si>
    <t>Защита гражданско-политических прав,прав мигрантов и  иностранных граждан</t>
  </si>
  <si>
    <t>Доля жалоб по нарушению прав мигрантов и иностранных граждан</t>
  </si>
  <si>
    <t>Обеспечение материально-технической базы</t>
  </si>
  <si>
    <t>21. Аппарат Омбудсмена (Акыйкатчы) Кыргызской Республики</t>
  </si>
  <si>
    <t>Итого: всего по Аппарату Омбудсмена (Акыйкатчы) КР</t>
  </si>
  <si>
    <t>28 Министерство экономики КР</t>
  </si>
  <si>
    <t xml:space="preserve">Планирование, управление и администрирование                                                                                                                              </t>
  </si>
  <si>
    <t>Качественный контроль и эффективное управление за деятельностью органов Военной прокуратуры Кыргызской Республики</t>
  </si>
  <si>
    <t>Индекс доверия военнослужащих</t>
  </si>
  <si>
    <t>Финансовое и ресурсное обеспечение</t>
  </si>
  <si>
    <t>Кол. уг. дел</t>
  </si>
  <si>
    <t>149/16676145</t>
  </si>
  <si>
    <t>68/6021961</t>
  </si>
  <si>
    <t>Обеспечение инфомацией о деятельенсти, контроля исполнения,кадров, организация и  взаимодействие со СМИ.</t>
  </si>
  <si>
    <t>Улучшение качественного состава руководящих кадров. Качественное и своевременное исполнение отчётных данных, выступление в СМИ</t>
  </si>
  <si>
    <t>Количество</t>
  </si>
  <si>
    <t>Осуществление общего надзора за соблюдением военного законодательства</t>
  </si>
  <si>
    <t>Уменьшение правонарушений по военному законодательству</t>
  </si>
  <si>
    <t>Надзор за точным и единообразным исполнением законодательства Кыргызской Республики</t>
  </si>
  <si>
    <t>1062/16771987</t>
  </si>
  <si>
    <t>765/5681011</t>
  </si>
  <si>
    <t>Надзор за исполнением законов и воинских уставов</t>
  </si>
  <si>
    <t>Количество жалоб и заявлений на действия командиров и начальников</t>
  </si>
  <si>
    <t>Представление и предписания</t>
  </si>
  <si>
    <t>Количество нормативных актов, возвращенных на доработку от общего числа разработанных нормативных актов</t>
  </si>
  <si>
    <t>003</t>
  </si>
  <si>
    <t>Увеличение процента раскрываемости преступлений в Вооруженных силах</t>
  </si>
  <si>
    <t>Уголовное преследование лиц, совершивших преступление в Вооруженных силах</t>
  </si>
  <si>
    <t>Количество уг. дел</t>
  </si>
  <si>
    <t>203/13655801</t>
  </si>
  <si>
    <t>488/14181226</t>
  </si>
  <si>
    <t>Предупреждение преступлений в Вооруженных силах</t>
  </si>
  <si>
    <t>Количество военнослужащих, прошедших занятия по профилактике преступлений (к общему количеству военнослужащих)</t>
  </si>
  <si>
    <t>004</t>
  </si>
  <si>
    <t>Поддержание государственного обвинения в судах</t>
  </si>
  <si>
    <t>Количество государственных обвинений, поддержанных решением военного суда</t>
  </si>
  <si>
    <t>Участие в судебных процессах</t>
  </si>
  <si>
    <t>Количество рассмотренных уголовных дел судами</t>
  </si>
  <si>
    <t>Подготовка и предъявление государственного обвинения в судах</t>
  </si>
  <si>
    <t xml:space="preserve">Количество </t>
  </si>
  <si>
    <t>20 Военная прокуратура Кыргызской Республики</t>
  </si>
  <si>
    <t>001</t>
  </si>
  <si>
    <t>Отношение расходов на заработную плату по программе 001 к расходам по всем программам ВС КР</t>
  </si>
  <si>
    <t>Количество нарушений, связанных с должностными обязанностями сотрудников аппаратов Верховного суда</t>
  </si>
  <si>
    <t>Доля выигранных судебных процессов по трудовым спорам</t>
  </si>
  <si>
    <t>Поддержание внешних связей</t>
  </si>
  <si>
    <t>Количество встреч и приема гостей высокого уровня</t>
  </si>
  <si>
    <t>Количество поездок судей на международные мероприятия высокого уровня</t>
  </si>
  <si>
    <t>Поддержание связей с общественностью</t>
  </si>
  <si>
    <t>Количество положительных упоминаний Верховного суда  в СМИ</t>
  </si>
  <si>
    <t>1300-1500</t>
  </si>
  <si>
    <t>Обеспечения деятельности и службы обеспечения</t>
  </si>
  <si>
    <t>Доля сотрудников служб обеспечения от общей численности сотрудников центрального аппарата Верховного суда</t>
  </si>
  <si>
    <t>Количество возвращенных дел по причине некачественного правосудия в местных судах</t>
  </si>
  <si>
    <t>Осуществление правосудия по гражданским, уголовным и административно-экономическим делам</t>
  </si>
  <si>
    <t>Количество отмененных дел по причине некачественного правосудия в местных судах</t>
  </si>
  <si>
    <t>640</t>
  </si>
  <si>
    <t>630</t>
  </si>
  <si>
    <t>Обеспечение ВС зданием, соответствующего стандарта</t>
  </si>
  <si>
    <t>Соответствие здания ВС КР установленным стандартам по площади: да / нет</t>
  </si>
  <si>
    <t>да</t>
  </si>
  <si>
    <t>Оснащение здания ВС современным оборудованием (мебель, ПК и др.)/ Выделение финансов на их приобретение</t>
  </si>
  <si>
    <t>Оснащенность оборудованием – 0-100%</t>
  </si>
  <si>
    <t>Поддержание рабочего состояния технического оборудования ( мебель, ПК, МФУ, ксерокопии)</t>
  </si>
  <si>
    <t>Поддержание оборудования</t>
  </si>
  <si>
    <t>Проведение регулярного обучения судей и работников аппарата, семинаров по повышению квалификации (за исключением плана УЦС ВС КР)</t>
  </si>
  <si>
    <t>Охват сотрудников аппарата ВС КР семинарами и др.</t>
  </si>
  <si>
    <t>Обобщение и совершенствование судебной практики</t>
  </si>
  <si>
    <t>Количество обобщений судебной практики</t>
  </si>
  <si>
    <t>Работа с законопроектами</t>
  </si>
  <si>
    <t>Количество законопроектов по которым внесены предложения</t>
  </si>
  <si>
    <t>Сбор материалов для Бюллетеня ВС КР</t>
  </si>
  <si>
    <t>Количество собранных материалов</t>
  </si>
  <si>
    <t>Количество покушений на судей</t>
  </si>
  <si>
    <t>Установка камер видеонаблюдения в здании суда и на территории, поддержание в рабочем состоянии технических средств обеспечения безопасности</t>
  </si>
  <si>
    <t>Количество видеокамер/технических средств в здании суда и на территории</t>
  </si>
  <si>
    <t>Обеспечение работников ВС КР социальным пакетом (медицинское обслуживание)</t>
  </si>
  <si>
    <t>Количество дней отсутствия сотрудников на рабочих местах по причине болезней (в т.ч. детей) и отгулов</t>
  </si>
  <si>
    <t>дней</t>
  </si>
  <si>
    <t>Количество коррупционных проявлений в среди сотрудников аппара ВС КР</t>
  </si>
  <si>
    <t>Оптимизация системы опубликования решений ВС КР</t>
  </si>
  <si>
    <t>Количество опубликованных решений на сайте sot.kg</t>
  </si>
  <si>
    <t>Установка и использование ИКТ на судебных заседаниях</t>
  </si>
  <si>
    <t>Организация ссылки/баннера сайта ВС КРРР на новостных интернет порталах страны (aki-press, k-news, 24.kg…).</t>
  </si>
  <si>
    <t>Количество уникальных просмотров сайта ВС КР</t>
  </si>
  <si>
    <t>Техническая поддержка автоматического распределения дел</t>
  </si>
  <si>
    <t>Количество жалоб на конфликт интересов в работе судей ВС КР</t>
  </si>
  <si>
    <t>Обеспечение всестороннего освещения работы ВС КР</t>
  </si>
  <si>
    <t>Количество ссылок и продвижений сайта ВС КР в СМИ (ТВ, радио, интернет, печать и др.)</t>
  </si>
  <si>
    <t>6-8</t>
  </si>
  <si>
    <t>Поддержание в  рабочем состоянии систем аудио-видеофиксации в залах судебных заседаний</t>
  </si>
  <si>
    <t>Количество жалоб на работу ВС КР со стороны участников процессов, НПО</t>
  </si>
  <si>
    <t>16 Верховному суду Кыргызской Республики на 2019-2021гг.</t>
  </si>
  <si>
    <t>Отношение расходов на заработную плату по программе 001 к расходам по всем программам УЦ при ВС КР</t>
  </si>
  <si>
    <t>Количество нарушений, связанных с должностными обязанностями сотрудников аппарата ВШП ВС КР</t>
  </si>
  <si>
    <t>Процент исполнения бюджета ВШП ВС КР  без нарушений и неоправданных задержек</t>
  </si>
  <si>
    <t>Количество судебных процессов по трудовым спорам</t>
  </si>
  <si>
    <t>Обеспечение деятельности и службы обеспечения</t>
  </si>
  <si>
    <t>Количество положительных упоминаний учреждения в СМИ</t>
  </si>
  <si>
    <t>Усиление прозрачности и профессионализма судейского корпуса</t>
  </si>
  <si>
    <t>Укрепление кадрового потенциала в судебной системе Кыргызской Республики</t>
  </si>
  <si>
    <t>Повышение уровня профессионализма</t>
  </si>
  <si>
    <t>Внедрение практики совместного обучения судей, прокуроров и адвокатов</t>
  </si>
  <si>
    <t xml:space="preserve">Повышение уровня профессиональной культуры работников судебной системы </t>
  </si>
  <si>
    <t>Количество возврата дел из судов высшей инстанции по причине низкого качества</t>
  </si>
  <si>
    <t>Обучение претендентов на должность судей местных судов</t>
  </si>
  <si>
    <t>Средний балл, полученный претендентами на тестировании</t>
  </si>
  <si>
    <t>балл</t>
  </si>
  <si>
    <t>Количество обученных претендентов</t>
  </si>
  <si>
    <t>Органиационные мероприятия по набору слушателей</t>
  </si>
  <si>
    <t>Количество жалоб на нарушения в процессе учебного процесса (как со стороны преподователей, так и со стороны участников)</t>
  </si>
  <si>
    <t>Разработка и актуализация учебных стандартов и программ</t>
  </si>
  <si>
    <t>Доля утвержденных программ к необходимому количеству</t>
  </si>
  <si>
    <t>Доля утвержденных стандартов к необходимому количеству</t>
  </si>
  <si>
    <t>Внедрение комплексной программы обучения</t>
  </si>
  <si>
    <t>Внедренная комплексная программа</t>
  </si>
  <si>
    <t>да/нет</t>
  </si>
  <si>
    <t>Актуализация учебников, пособий для обучения претендентов</t>
  </si>
  <si>
    <t>Доля актуальных учебников и пособий к необходимому количеству</t>
  </si>
  <si>
    <t>Увеличение аудиторного фонда</t>
  </si>
  <si>
    <t>Площадь аудитории / -ий</t>
  </si>
  <si>
    <t>кв.м.</t>
  </si>
  <si>
    <t>Внедрение системы видеонаблюдения в аудиториях</t>
  </si>
  <si>
    <t>Количество жалоб на нарушения в процессе учебного процесса (как со стороны преподавателей, так и со стороны участников)</t>
  </si>
  <si>
    <t>Ведение библиотеки учебных пособий, лекционного материала</t>
  </si>
  <si>
    <t>Комплектация библиотеки</t>
  </si>
  <si>
    <t>005</t>
  </si>
  <si>
    <t>Количество претендентов прошедших тест</t>
  </si>
  <si>
    <t>Организация процедуры тестирования претендентов</t>
  </si>
  <si>
    <t>Индекс доверия населения министерству</t>
  </si>
  <si>
    <t>Обучение и повышение квалификации персонала</t>
  </si>
  <si>
    <t>Поездка сотрудников МЮКР для участия в заседаний Совещания министров юстиции государств-членов ШОС и Совета министров юстиции государств-участников СНГ. (Министр и 2 эксперта)</t>
  </si>
  <si>
    <t>Количество экспертизы подзаконных актов, количество проектов международных договоров.</t>
  </si>
  <si>
    <t>Уровень исполнительской дисциплины</t>
  </si>
  <si>
    <t>Количество экспертизы подзаконных актов, количество проектов международных договоров, принятие НПА</t>
  </si>
  <si>
    <t>Повышение качества экспертизы</t>
  </si>
  <si>
    <t>Количество разработанных проектов НПА</t>
  </si>
  <si>
    <t>Экспертиза проектов подзаконных актов и осуществление экспертизы проектов международных договоров и соглашений.</t>
  </si>
  <si>
    <t xml:space="preserve">Введение Государственного реестра НПА и формирование Централизованной базы данных правовой информации </t>
  </si>
  <si>
    <t>Включение в Государственный реестр нормативных правовых актов</t>
  </si>
  <si>
    <t>Формирование Централизованной базы данных (ЦБД) правовой информации</t>
  </si>
  <si>
    <t>Количество электронных версий нормативных правовых актов Кыргызской Республики в ЦБД</t>
  </si>
  <si>
    <t xml:space="preserve">Обеспечение качественной и своевременной  услугой </t>
  </si>
  <si>
    <t xml:space="preserve">Осуществление координации нотариальной деятельности  и в сфере апостилирования исходящих документов от КР, а также проставление штампа апостиля  </t>
  </si>
  <si>
    <t>Количество апостил-х документов</t>
  </si>
  <si>
    <t>Количество легализованных документов</t>
  </si>
  <si>
    <t>Осуществление нотариальной деятельности</t>
  </si>
  <si>
    <t>Количество гос.нот. действий</t>
  </si>
  <si>
    <t>Количество оказанной юридической помощи</t>
  </si>
  <si>
    <t>Повышение качества регистрации и залоговых сделок</t>
  </si>
  <si>
    <t>Исполнение уголовных наказаний, не связанных с изоляцией от общества, и принудительных мер уголовно-правового воздействия в порядке, установленном уголовно-исполнительным законодательством, а также осуществление надзора за лицами, условно-досрочно освобожденными от отбывания наказания в виде лишения свободы на определенный срок.</t>
  </si>
  <si>
    <t xml:space="preserve">Проведение единой государственной  регистрации юридических лиц, филиалов (представительств) </t>
  </si>
  <si>
    <t>Внедрение и функционирование онлайн-регистрации юридических лиц, филиалов (представительств)</t>
  </si>
  <si>
    <t>Разработка и внедрение программного обеспечения</t>
  </si>
  <si>
    <t>Проведение обучающих семинаров для сотрудников МЮ и территориальных органов юстиции, задействованных в процесс регистрации юридических лиц, филиалов (представительств)</t>
  </si>
  <si>
    <t>Обеспечение, усовершенствование и актуализация базы данных юридических лиц, филиалов (представительств)</t>
  </si>
  <si>
    <t>Закупка сервера для базы данных юридических лиц, филиалов (представительств)</t>
  </si>
  <si>
    <t>Привлечение специалистов по договору для инвентаризации архивных регистрационных документов юр.лиц, филиалов, представительств МЮ и территориальных органов</t>
  </si>
  <si>
    <t>Привлечение специалистов по договору для сканирования архивных регистрационных документов юр.лиц, филиалов, представительств МЮ и территориальных органов юстиции</t>
  </si>
  <si>
    <t>Закупка сканеров территориальным органам юстиции для оцифровки регистрационных документов</t>
  </si>
  <si>
    <t>Обеспечение сохранности архивных регистрационных дел юр.лиц, филиалов, представительств МЮ</t>
  </si>
  <si>
    <t>Закупка и установление сигнализации, бронирование дверей, стеллажа</t>
  </si>
  <si>
    <t xml:space="preserve">Проведение Государственной регистрации залоговых сделок движимого имущества </t>
  </si>
  <si>
    <t xml:space="preserve">Количество  залоговых сделок </t>
  </si>
  <si>
    <t>Исполнение уголовных наказаний, не связанных с изоляцией от общества, и принудительных мер уголовно-правового воздействия в порядке, установленном уголовно-исполнительным законодательством.</t>
  </si>
  <si>
    <t>Предоставление качественной Государственной гарантированной юридической помощи</t>
  </si>
  <si>
    <t>Обеспечение своевременной услуги в сфере обслуживания</t>
  </si>
  <si>
    <t>Осуществление обслуживания работниками МОП и ТОП</t>
  </si>
  <si>
    <t>Уровень своевременного и качественного обслуживания</t>
  </si>
  <si>
    <r>
      <t>Удельный вес школ, перешедших на нормативное бюджетное финансирование (</t>
    </r>
    <r>
      <rPr>
        <b/>
        <sz val="11"/>
        <rFont val="Times New Roman"/>
        <family val="1"/>
        <charset val="204"/>
      </rPr>
      <t>ППУР</t>
    </r>
    <r>
      <rPr>
        <sz val="11"/>
        <rFont val="Times New Roman"/>
        <family val="1"/>
        <charset val="204"/>
      </rPr>
      <t>)</t>
    </r>
  </si>
  <si>
    <t xml:space="preserve">Обеспечение деятельности Президента КР, Премьер-министра КР, Аппарата Президента КР и Аппарата Правительства КР  </t>
  </si>
  <si>
    <t>Количество обслуживаемых смет</t>
  </si>
  <si>
    <t>Обеспечение высокого уровня предоставления государственных услуг, а также обеспечение государственного протокола</t>
  </si>
  <si>
    <t>Количество организованных протокольных мероприятий</t>
  </si>
  <si>
    <t>Количество  государственных учреждений</t>
  </si>
  <si>
    <t>Кол-во изготовленных наград</t>
  </si>
  <si>
    <t>Количество лиц</t>
  </si>
  <si>
    <t>Количество мероприятий гос.значимых</t>
  </si>
  <si>
    <t>Удельный вес  в % от общей суммы годового бюджета</t>
  </si>
  <si>
    <t>Количество детей</t>
  </si>
  <si>
    <t>Обеспечение деятельности должностных лиц, возложенных на УДППКР</t>
  </si>
  <si>
    <t>Обеспечение высокого уровня предоставления государственных услуг</t>
  </si>
  <si>
    <t>Доля спецсредств к общей сумме организации</t>
  </si>
  <si>
    <t>Предоставление транспортных услуг в государственном секторе</t>
  </si>
  <si>
    <t>Количество обслуживаемых автомашин за счет республиканского бюджета, в т.ч., обслуживаемых</t>
  </si>
  <si>
    <t>- Аппарат Президента КР</t>
  </si>
  <si>
    <t>- Аппарат Правительства КР</t>
  </si>
  <si>
    <t>- Управление делами ППКР</t>
  </si>
  <si>
    <t>- АТО и гостевые</t>
  </si>
  <si>
    <t>Количество обслуживаемых автомашин за счет специальных средств, в т.ч.</t>
  </si>
  <si>
    <t>- министерства и ведомства</t>
  </si>
  <si>
    <t>- КБ УД</t>
  </si>
  <si>
    <t>Поддержание существующей сети государственных дошкольных образовательных организаций</t>
  </si>
  <si>
    <t xml:space="preserve">Повышение  качества  услуг и приобщение населения к профессиональному искусству </t>
  </si>
  <si>
    <t>Количество обслуживаемых мероприятий государственного протокола</t>
  </si>
  <si>
    <t>Отношение расходов по бюджетной мере к общим расходам республиканского бюджета</t>
  </si>
  <si>
    <t>Полнота обеспеченности</t>
  </si>
  <si>
    <t>Количество изданных распоряжений на оказание финансовой помощи</t>
  </si>
  <si>
    <t>Обеспечение бесперебойной работы процесса судопроизводства по местным судам КР и Судебному департаменту</t>
  </si>
  <si>
    <t>Процент исполнения бюджета Судебного департамента при ВС КР  без нарушений и неоправданных задержек</t>
  </si>
  <si>
    <t>1300-1400</t>
  </si>
  <si>
    <t>Доля своевременно реализованных мероприятий Государственной целевой прораммы запланированных на соответсвующий год</t>
  </si>
  <si>
    <t>индекс</t>
  </si>
  <si>
    <t>Независимый отбор судей Советом по отбору судей КР</t>
  </si>
  <si>
    <t>Внедрение автоматизированной информационной системы (АИС)</t>
  </si>
  <si>
    <t>Создание государственного реестра судебных актов</t>
  </si>
  <si>
    <t>Создание электронного архива</t>
  </si>
  <si>
    <t>Обеспечение безопасности и охрана зданий судов</t>
  </si>
  <si>
    <t xml:space="preserve">Обеспечение безопасности для участников сторон судебных процессов </t>
  </si>
  <si>
    <t>Обеспечение деятельности Совета судей КР и Дисциплинарной комиссии при Совете судей</t>
  </si>
  <si>
    <t>Внедрение системы аудио видеофиксации судебных процессов</t>
  </si>
  <si>
    <t>Осуществление правосудия</t>
  </si>
  <si>
    <t>Обеспечение надлежащего профессионального уровня судей, работников местных судов</t>
  </si>
  <si>
    <t>600</t>
  </si>
  <si>
    <t>1000</t>
  </si>
  <si>
    <t>2058</t>
  </si>
  <si>
    <t>Обеспечение деятельности служб судебных приставов</t>
  </si>
  <si>
    <t>Внедрение технических средств и системы безопасности зданий судов</t>
  </si>
  <si>
    <t>Обеспечение деятельности института исполнительного производства</t>
  </si>
  <si>
    <t xml:space="preserve">Создание необходимых условий труда для осуществления правосудия </t>
  </si>
  <si>
    <t>Доля граждан, считающих организацию работы судов неудовлетворительной, в том числе опрошенных</t>
  </si>
  <si>
    <t>Обеспечение оперативности процесса судопроизводства</t>
  </si>
  <si>
    <t>Обеспечен реальный доступ граждан к квалифицированной юридической помощи</t>
  </si>
  <si>
    <t>Разработка и внедрение системы для получения судебных актов в удаленном режиме (система электронного правосудия)</t>
  </si>
  <si>
    <t>Улучшение качества отправления правосудия</t>
  </si>
  <si>
    <t>Автоматизированное распределение судебных актов (АРД)</t>
  </si>
  <si>
    <t>Внедрение института присяжных заседателей</t>
  </si>
  <si>
    <t>Процент комплектования судейского корпуса местных судов</t>
  </si>
  <si>
    <t>Введение системы внешнего наблюдения</t>
  </si>
  <si>
    <t>Количество инцидентов в зале суда, повлиявших на ход прохождения судебного процесса (отложения, длительная пауза)</t>
  </si>
  <si>
    <t>Введение контрольно-пропускного режима</t>
  </si>
  <si>
    <t>Введение службы охраны (судебные приставы)</t>
  </si>
  <si>
    <t>Количество коррупционных проявлений в системе СД</t>
  </si>
  <si>
    <t>Обеспечение работы по повышению информированности населения, СМИ, НПО, гражданского общества</t>
  </si>
  <si>
    <t>Проведение информационной работы: выступления в СМИ (ТВ, радио, пресса)</t>
  </si>
  <si>
    <t>Внедрение системы аудио-видеофиксации судебных процессов</t>
  </si>
  <si>
    <t>Количество жалоб на несоблюдение процедур судопроизводства</t>
  </si>
  <si>
    <t>Внедрение механизма обеспечения прозрачности финансирования бюджетной системы</t>
  </si>
  <si>
    <t>Количество публикации в СМИ на едином сайте судебной ситемы: о финансировании бюджетной системы, о доходах судей и работников аппаратов судов</t>
  </si>
  <si>
    <t>Соотношение заявленных и удовлетворенных отводов судьям к общему количеству дел в году</t>
  </si>
  <si>
    <t>1/1</t>
  </si>
  <si>
    <t>Обеспечение надлежащей работы института исполнительного производства</t>
  </si>
  <si>
    <t>Доля реально и своевременно исполненных судебных постановлений (без возвращенных, направленных дел для исполнения)</t>
  </si>
  <si>
    <t>Количество судов, соответсвующих стандартам и санитарным нормам</t>
  </si>
  <si>
    <t>Количество дел, проведенных с соблюдением нормативных сроков судопроизводства</t>
  </si>
  <si>
    <t>Создание системы обмена информации и внедрения системы информационной и технической безопасности</t>
  </si>
  <si>
    <t>Расширение сферы действия и модернизация автоматизированной системы распределения судебных дел и материалов между судьями</t>
  </si>
  <si>
    <t>Конституционная палата Верховного суда Кыргызской Республики</t>
  </si>
  <si>
    <t>Судебному департаменту при Верховном суде Кыргызской Республики</t>
  </si>
  <si>
    <t>Отношение расходов на заработную плату по программе 001 к расходам по всем программам КП ВС КР</t>
  </si>
  <si>
    <t>Доля сотрудников служб обеспечения от общей численности сотрудников центрального аппарата, Конституционной палаты</t>
  </si>
  <si>
    <t>Количество рассмотренных дел по обеспечению конституционности</t>
  </si>
  <si>
    <t>Обеспечение деятельности судей по осуществлению конституционного правосудия</t>
  </si>
  <si>
    <t>Количество участий представителей КП на международных мероприятиях</t>
  </si>
  <si>
    <t>Количество участий в мероприятиях, организованных по линии международных и региональных организаций и объединений по конституционному правосудию (Всемирная конференция по конституционному правосудию, Венецианская комиссия Совета Европы, Ассоциация азиатских конституционных судов и эквивалентных институтов, Конференция органов конституционного контроля стран новой демократии)</t>
  </si>
  <si>
    <t>Количество размещенных материалов на сайте КП и других СМИ</t>
  </si>
  <si>
    <t>Количество выпущенной продукции</t>
  </si>
  <si>
    <t>Обеспечение доступа к качественным услугам дошкольного образования для всех групп населения</t>
  </si>
  <si>
    <t>Количество детей посещающих ясли-сад № 172 "Арген"</t>
  </si>
  <si>
    <t xml:space="preserve">Транспортное обеспечение </t>
  </si>
  <si>
    <t>Количество служебных автомашин</t>
  </si>
  <si>
    <t>Социальная поддержка</t>
  </si>
  <si>
    <r>
      <t xml:space="preserve">Выражение интересов и воли народа через представительную функцию Жогорку Кенеша Кыргызской Республики
</t>
    </r>
    <r>
      <rPr>
        <i/>
        <sz val="11"/>
        <rFont val="Times New Roman"/>
        <family val="1"/>
        <charset val="204"/>
      </rPr>
      <t xml:space="preserve">Цель программы: учет волеизъявления народа при принятии решений, определяющих приоритеты развития страны, высокий уровень защиты прав и интересов всех категорий граждан, прозрачность работы и подотчетность Жогорку Кенеша перед обществом </t>
    </r>
  </si>
  <si>
    <t>Доля законопроектов, инициированных депутатами в общем количестве принятых законопроектов</t>
  </si>
  <si>
    <t xml:space="preserve">Обеспечение механизмов межфракционного согласия при утверждении общегосударственных программ развития Кыргызской Республики </t>
  </si>
  <si>
    <t>Количество рабочих месяцев работы Жогорку Кенеша (без каникул и выходных)</t>
  </si>
  <si>
    <t xml:space="preserve">Обеспечение механизма постоянного и действенного диалога с избирателями </t>
  </si>
  <si>
    <t>Средний срок рассмотрения обращений избирателей</t>
  </si>
  <si>
    <t xml:space="preserve">Обеспечение прозрачности и подотчетности деятельности Жогорку Кенеша </t>
  </si>
  <si>
    <t>Доля расходов бюджета на парламент в номинальном объеме ВВП</t>
  </si>
  <si>
    <t>Количество штатных единиц на одного постоянно работающего депутата</t>
  </si>
  <si>
    <t xml:space="preserve">Обеспечение и поддержка деятельности консультативно-общественного совета при Торага Жогорку Кенеша </t>
  </si>
  <si>
    <t>Количество проведенных заседаний совета</t>
  </si>
  <si>
    <t>Доля подписанных Президентом законопроектов от количества принятых Жогорку Кенешем</t>
  </si>
  <si>
    <t>Законодательное обеспечение реформ, необходимых для устойчивого развития общества и государства</t>
  </si>
  <si>
    <t>Количество принятых постановлений на 100 депутато-дней</t>
  </si>
  <si>
    <t>Повышение качества разрабатываемых законопроектов</t>
  </si>
  <si>
    <t xml:space="preserve">Расходы бюджета на один нормативный акт, принятый парламентом </t>
  </si>
  <si>
    <t>Количество подписанных Президентом законов за 100 депутато-дней</t>
  </si>
  <si>
    <t>Усиление сотрудничества с парламентами иностранных государств и межпарламентскими организациями</t>
  </si>
  <si>
    <t>Количество подписанных документов о сотрудничестве</t>
  </si>
  <si>
    <r>
      <t xml:space="preserve">Обеспечение исполнения законов через контрольную функцию Жогорку Кенеша
</t>
    </r>
    <r>
      <rPr>
        <i/>
        <sz val="11"/>
        <rFont val="Times New Roman"/>
        <family val="1"/>
        <charset val="204"/>
      </rPr>
      <t>Цель программы: эффективное исполнение Конституции и законов Кыргызской Республики, высокий уровень подотчетности и прозрачности деятельности Правительства и других госорганов</t>
    </r>
  </si>
  <si>
    <t xml:space="preserve">Индекс доверия населения Правительству Кыргызской Республики </t>
  </si>
  <si>
    <t xml:space="preserve">Улучшение качества контроля над деятельностью Правительства и других подотчетных органов </t>
  </si>
  <si>
    <t>Исполнение постановлений</t>
  </si>
  <si>
    <t>Исполнение протокольных поручений</t>
  </si>
  <si>
    <t xml:space="preserve">Исполненные запросы депутатов </t>
  </si>
  <si>
    <t>Улучшение инструментов парламентского контроля</t>
  </si>
  <si>
    <t>Количество созданных депутатских Комиссий</t>
  </si>
  <si>
    <t>Количество депутатских комиссий, работа которых была завершена</t>
  </si>
  <si>
    <t>12 Аппарат Президента КР</t>
  </si>
  <si>
    <t>Количество принятых нормативно-правовых актов по инициативе Правительства КР</t>
  </si>
  <si>
    <t>Количество проведенных встреч по вопросам делимитации и демаркации госграниц</t>
  </si>
  <si>
    <t>14 Аппарат Правительства КР</t>
  </si>
  <si>
    <t>11 Жогорку Кенеш Кыргызской Республики</t>
  </si>
  <si>
    <r>
      <t xml:space="preserve">Формирование правовой системы государства через законодательную функцию Жогорку Кенеша 
</t>
    </r>
    <r>
      <rPr>
        <i/>
        <sz val="11"/>
        <rFont val="Times New Roman"/>
        <family val="1"/>
        <charset val="204"/>
      </rPr>
      <t>Цель программы: высокое качество и действенность принимаемых законов и решений</t>
    </r>
  </si>
  <si>
    <t>Обеспечение базовой части пенсии*</t>
  </si>
  <si>
    <r>
      <rPr>
        <b/>
        <sz val="11"/>
        <color theme="1"/>
        <rFont val="Times New Roman"/>
        <family val="1"/>
        <charset val="204"/>
      </rPr>
      <t xml:space="preserve">Индикатор результативности </t>
    </r>
    <r>
      <rPr>
        <sz val="11"/>
        <color theme="1"/>
        <rFont val="Times New Roman"/>
        <family val="1"/>
        <charset val="204"/>
      </rPr>
      <t>(</t>
    </r>
    <r>
      <rPr>
        <sz val="11"/>
        <color indexed="8"/>
        <rFont val="Times New Roman"/>
        <family val="1"/>
        <charset val="204"/>
      </rPr>
      <t>целевой индикатор по Программе) Количество нарушений по задержке выплаты пенсий, финансируемых за счёт республиканского бюджета.</t>
    </r>
  </si>
  <si>
    <t>не менее 36%</t>
  </si>
  <si>
    <t>не менее 37%</t>
  </si>
  <si>
    <t>не менее 38%</t>
  </si>
  <si>
    <t>Уровень исполнения индикаторов Плана реализации Стратегии развития Фонда ОМС на 2018-2022 годы</t>
  </si>
  <si>
    <t>Обеспечение планирования, утверждения и исполнения консолидированного бюджета системы Единого плательщика</t>
  </si>
  <si>
    <t xml:space="preserve">Количество ОЗ ПМСП, в которых проведена оценка качества деятельности ОЗ по оценочной карте </t>
  </si>
  <si>
    <t>абс ч.</t>
  </si>
  <si>
    <t xml:space="preserve"> не  менее 110</t>
  </si>
  <si>
    <t xml:space="preserve">Количество ОЗ , в которых проведена оценка качества деятельности ОЗ стационарного уровня по оценочной карте </t>
  </si>
  <si>
    <t>не менее 82,0</t>
  </si>
  <si>
    <t xml:space="preserve"> не менее 90%</t>
  </si>
  <si>
    <t>Развитие информационных технологий в рамках стратегических закупок медицинких услуг, интеграция и трансформация рабочих процессов в рамках общей цифровизации республики с целью усиления прозрачности и подотчетности</t>
  </si>
  <si>
    <t>Обеспечение деятельности организации и службы обеспечения</t>
  </si>
  <si>
    <t>не более 20%</t>
  </si>
  <si>
    <t>Соотношение фактического количества врачей (физических лиц) к утвержденным врачебным должностям по штатному расписанию в организации здравоохранения</t>
  </si>
  <si>
    <t>Уровень средней заработной платы семейных врачей к средней заработной плате врачей по республике</t>
  </si>
  <si>
    <t>Итого по Программе 1</t>
  </si>
  <si>
    <t>не менее 95,6%</t>
  </si>
  <si>
    <t>Доля новорожденных, обслуженных семейным  врачом(врача общей практики)  в первые 3 дня после выписки из родильного дома , %</t>
  </si>
  <si>
    <t>Доля детей в возрасте до 1-года, посетивших семейного врача (врача общей практики), %</t>
  </si>
  <si>
    <t>Число впервые зарегистрированных больных с ГБ на 100 тыс.населения</t>
  </si>
  <si>
    <t>Доля женщин, вставших на учет по поводу беременности в сроке до  12 недель, %</t>
  </si>
  <si>
    <t>Обеспечение доступности населению стоматологической помощи в рамках ПГГ</t>
  </si>
  <si>
    <t>Охват беременных женщин, вставших на учет по поводу беременности профилактическими осмотрами у стоматолога</t>
  </si>
  <si>
    <t>Доля санированных беременных женщин, вставших на учет по поводу беременности из числа выявленных при профилактическом осмотре</t>
  </si>
  <si>
    <t>не менее 100%</t>
  </si>
  <si>
    <t>Доля детей до 10 лет, прошедших профилактический осмотр из числа организованной группы (школы, детсады)</t>
  </si>
  <si>
    <t>Доля детей до 10 лет, прошедших санацию полости рта из числа выявленных при профилактическом осмотре</t>
  </si>
  <si>
    <t>Количество ОЗ , в которых проведены стимулирующию выплаты по достижению результатов</t>
  </si>
  <si>
    <t>Итого по Программе 2</t>
  </si>
  <si>
    <t>Уровень госпитализаций на 100 тыс. населения</t>
  </si>
  <si>
    <t>не более 13,0%</t>
  </si>
  <si>
    <t>не более 12,5%</t>
  </si>
  <si>
    <t>не менее 85,0%</t>
  </si>
  <si>
    <t>Доля прямых расходов на пациента в общих расходах консолидированного бюджета стационаров:</t>
  </si>
  <si>
    <t>Уровень необоснованных госпитализаций</t>
  </si>
  <si>
    <t>не более 100,0%</t>
  </si>
  <si>
    <t>Итого по Программе 3</t>
  </si>
  <si>
    <t xml:space="preserve">Соотношение  пациентов с терминальной стадией хронической почечной недостаточности охваченых льготным гемодиализным лечением к общему числу пациентов состоящих на учете </t>
  </si>
  <si>
    <t xml:space="preserve">Средства на формирование страхового запаса </t>
  </si>
  <si>
    <t xml:space="preserve">Доля обеспечения финансовой стабильности в объеме не менее месячного финансирования от общего объема средств, направляемых на финансирование медицинских и профилактических услуг, предоставляемых организациями здравоохранения </t>
  </si>
  <si>
    <t>Средства на поддержку и развитие здравоохранения</t>
  </si>
  <si>
    <t>Доля направляемая на поддержку и развитие здравоохранения для организаций здравоохранения</t>
  </si>
  <si>
    <t>Средства Общественного фонда "Фонд поддержки онкологической службы"</t>
  </si>
  <si>
    <t xml:space="preserve">Доля утвержденных средств на поддержку онкологической службы от общего объема консолидированного бюджета Фонда ОМС </t>
  </si>
  <si>
    <t xml:space="preserve">Количество договоров заключенных с поставщиками на поставку дорогостоящего оборудования </t>
  </si>
  <si>
    <t>Итого по Программе 4</t>
  </si>
  <si>
    <t>32. Государственная служба исполнения наказаний при Правительстве Кыргызской Республики</t>
  </si>
  <si>
    <t>Организация порядка и условий отбывания наказаний в УИС</t>
  </si>
  <si>
    <t>Строительство, реконструкция, ремонтно-восстановительные работы</t>
  </si>
  <si>
    <t>Обеспечение осужденных продуктами питания</t>
  </si>
  <si>
    <t>Нормы питания по категориям на количество осужденных</t>
  </si>
  <si>
    <t>Организация исполнения наказаний осужденных в лечебных учреждениях</t>
  </si>
  <si>
    <t>Повышение программы дошкольной подготовки детей от 2-х до 7-ми лет</t>
  </si>
  <si>
    <t>Улучшение материально-технической базы образовательных учреждений</t>
  </si>
  <si>
    <t>Обеспечение доступа к качественным услугам дошкольного образования</t>
  </si>
  <si>
    <t>Департамент по охране исправительных учреждений и конвоированию осужденных и лиц, заключенных под стражу, Государственной службы исполнения наказаний при Правительстве Кыргызской Республики</t>
  </si>
  <si>
    <t>Охрана и оборона  исправительных учреждений и конвоирование осужденных</t>
  </si>
  <si>
    <t>Обеспечение конвоированием судебных учреждений</t>
  </si>
  <si>
    <t>34. Министерство образования и науки Кыргызской Республики</t>
  </si>
  <si>
    <t>Обеспечение инфракструктуры учреждений и привлечение осужденных к труду</t>
  </si>
  <si>
    <t>Поддержание дошкольных учреждений и ее расширение</t>
  </si>
  <si>
    <t>Обеспечение прозрачности деятельности ГСИН при ПКР</t>
  </si>
  <si>
    <t>Привлечение осужденных к труду и создание условий для их моральной и материальной заинтересованности в результатах труда</t>
  </si>
  <si>
    <t>Количество осужденных, количество беглецов, количество убийств</t>
  </si>
  <si>
    <t>Оказание первичной медико-санитарной помощи осужденным</t>
  </si>
  <si>
    <t xml:space="preserve">количество отконвоированных  осужденных и подсудимых  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</si>
  <si>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программы:Исправления и содержание осужденных и подследственных</t>
    </r>
  </si>
  <si>
    <r>
      <t xml:space="preserve">Дошкольное образование
</t>
    </r>
    <r>
      <rPr>
        <i/>
        <sz val="11"/>
        <color indexed="8"/>
        <rFont val="Times New Roman"/>
        <family val="1"/>
        <charset val="204"/>
      </rPr>
      <t>Цель программы; Подготовка детей к школе</t>
    </r>
  </si>
  <si>
    <t>150/17500,0</t>
  </si>
  <si>
    <t>160/18000,0</t>
  </si>
  <si>
    <t>170/18500,0</t>
  </si>
  <si>
    <t>1000/16000,0</t>
  </si>
  <si>
    <t>1100/17000,0</t>
  </si>
  <si>
    <t>1200/18000,0</t>
  </si>
  <si>
    <t>250/13000,0</t>
  </si>
  <si>
    <t>300/14000,0</t>
  </si>
  <si>
    <t>350/15000,0</t>
  </si>
  <si>
    <t>Надзор за законностью издаваемых органами исполнительной власти НПА и исполнением законов.</t>
  </si>
  <si>
    <t>Противодействие коррупции. Координация деятельности госорганов по противодействию коррупции.</t>
  </si>
  <si>
    <t>Надзор за исполнением законов по защите прав детей.</t>
  </si>
  <si>
    <t>2618                                             96                                       140                                      115                            5444326000</t>
  </si>
  <si>
    <t>1818                                                                  100                                                                    50                                                       0                                                 45850555</t>
  </si>
  <si>
    <t>Количество нарушений законодательства о труде и финансовой дисциплины</t>
  </si>
  <si>
    <t>Количество нарушений законодательства в сфере финансовой дисциплины</t>
  </si>
  <si>
    <t>Количество нарушений законодательства о труде и в сфере государственной службы</t>
  </si>
  <si>
    <t>Количество обращений, поступивщих в КП и мероприятий, направленных на повышение профессионального уровня судей и сотрудников аппарата КП</t>
  </si>
  <si>
    <t>Осуществление конституционного правосудия</t>
  </si>
  <si>
    <t>Интеграция Конституционной палаты в систему международного правосудия</t>
  </si>
  <si>
    <t>Участие в работе международных и региональных организаций и объединений по конституционному правосудию, членами которых является Конституционная палата</t>
  </si>
  <si>
    <t>Проведение международных конференций, посвяшенных актуальным вопросам конституционализма</t>
  </si>
  <si>
    <t xml:space="preserve">Проведение международной конференции 1 раз в два года. </t>
  </si>
  <si>
    <t>Проведение национальных научно-практических конференций, посвященных актуальным вопросам конституционализма в Кыргызстане</t>
  </si>
  <si>
    <t xml:space="preserve">Проведение национальной конференции 1 раз в два года. </t>
  </si>
  <si>
    <t>Повышение квалификации работников аппарата Конституционной палаты, стажировки в конституционных судах зарубежных стран.</t>
  </si>
  <si>
    <t>Количество прошедших стажировки работников.</t>
  </si>
  <si>
    <t>Количество мероприятий, направленных на обеспечение открытости и празрачности деятельности КП и участников данных мероприятий</t>
  </si>
  <si>
    <t>Организация и проведение летних школ конституциализма, конкурсов среди студентов гостевых лекций</t>
  </si>
  <si>
    <t>Количество слушателей и участников</t>
  </si>
  <si>
    <t>Обеспечение системы аудио-видеофиксации судебных заседаний, сайта КП</t>
  </si>
  <si>
    <t>Функционирование всех систем автоматизации конституционного правосудия</t>
  </si>
  <si>
    <t>Внедрение системы информационной и технической безопасности.</t>
  </si>
  <si>
    <t>Поддержание систем автоматизации конституционного правосудия</t>
  </si>
  <si>
    <t>Отношение расходов на заработную плату по Программе 001 к сумме расходов на заработную плату по Центральному аппарату министерства/ведомства</t>
  </si>
  <si>
    <t>количество слушателей</t>
  </si>
  <si>
    <t>Своевременное представление проекта республиканского бюджета в Правительство КР и Жогорку Кенеш КР</t>
  </si>
  <si>
    <t xml:space="preserve">доля расходов республиканского бюджета,  представленные в програмном формате </t>
  </si>
  <si>
    <t xml:space="preserve">индекс бюджетной прозрачности   </t>
  </si>
  <si>
    <t>Количество заверешенных объектов, финансируемых из республиканского бюджета</t>
  </si>
  <si>
    <t xml:space="preserve">Доля ГРБС  (РБС, ПБС) и органов местного самоуправления, для которых органами казначейства осуществляется ведение лицевых счетов бюджетополучателей и предоставление других услуг, связанных с кассовым обслуживанием исполнения бюджета </t>
  </si>
  <si>
    <t>Доля средств ГРБС,ПБС и органов местного самоуправления, обслуживаемых органами казначейства через ЕКС</t>
  </si>
  <si>
    <t>размещение результатов мониторинга на официальном сайте МФ КР</t>
  </si>
  <si>
    <t>количество проведенных аудитов</t>
  </si>
  <si>
    <t>Количество мониторингов гос.программ</t>
  </si>
  <si>
    <t>количество принятых НПА</t>
  </si>
  <si>
    <t>своевременность  рассмотрения и подготовки заключений к проектам НПА по вопросам управления</t>
  </si>
  <si>
    <t>оценка PEFA "D"</t>
  </si>
  <si>
    <t xml:space="preserve">Доля объявлений о государственных закупках на Портале госзакупок от общего числа предоставленной информации в Департамент     </t>
  </si>
  <si>
    <t>Общее время бесперебойного функционирования Портала в течение года</t>
  </si>
  <si>
    <t>объем исполнения плановых показателей по возврату государственных заемных средств</t>
  </si>
  <si>
    <t>2 раза</t>
  </si>
  <si>
    <t>в т.ч. ассигновние из республиканского бюджета</t>
  </si>
  <si>
    <t>ВСЕГО ПО ФОМС при ПКР</t>
  </si>
  <si>
    <r>
      <t>Количество проведенных проверок (</t>
    </r>
    <r>
      <rPr>
        <b/>
        <u/>
        <sz val="11"/>
        <color theme="1"/>
        <rFont val="Times New Roman"/>
        <family val="1"/>
        <charset val="204"/>
      </rPr>
      <t>выявлено нарушений в 2018 году</t>
    </r>
    <r>
      <rPr>
        <b/>
        <sz val="11"/>
        <color theme="1"/>
        <rFont val="Times New Roman"/>
        <family val="1"/>
        <charset val="204"/>
      </rPr>
      <t>),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ущерба.</t>
    </r>
  </si>
  <si>
    <r>
      <t>Количество проведенных проверок (</t>
    </r>
    <r>
      <rPr>
        <u/>
        <sz val="11"/>
        <color theme="1"/>
        <rFont val="Times New Roman"/>
        <family val="1"/>
        <charset val="204"/>
      </rPr>
      <t>выявлено нарушений в 2018 году</t>
    </r>
    <r>
      <rPr>
        <sz val="11"/>
        <color theme="1"/>
        <rFont val="Times New Roman"/>
        <family val="1"/>
        <charset val="204"/>
      </rPr>
      <t>),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ущерба.</t>
    </r>
  </si>
  <si>
    <r>
      <t>Количество проведенных проверок</t>
    </r>
    <r>
      <rPr>
        <u/>
        <sz val="11"/>
        <color theme="1"/>
        <rFont val="Times New Roman"/>
        <family val="1"/>
        <charset val="204"/>
      </rPr>
      <t xml:space="preserve"> (выявлено нарушений в 2018 году)</t>
    </r>
    <r>
      <rPr>
        <sz val="11"/>
        <color theme="1"/>
        <rFont val="Times New Roman"/>
        <family val="1"/>
        <charset val="204"/>
      </rPr>
      <t>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ущерба.</t>
    </r>
  </si>
  <si>
    <r>
      <t>Количество проведенных проверок (</t>
    </r>
    <r>
      <rPr>
        <u/>
        <sz val="11"/>
        <color theme="1"/>
        <rFont val="Times New Roman"/>
        <family val="1"/>
        <charset val="204"/>
      </rPr>
      <t>выявлено нарушений в 2018 году)</t>
    </r>
    <r>
      <rPr>
        <sz val="11"/>
        <color theme="1"/>
        <rFont val="Times New Roman"/>
        <family val="1"/>
        <charset val="204"/>
      </rPr>
      <t>, внесенных актов прокурорского реагирования, наказанных в административном и дисциплинарном порядке лиц.</t>
    </r>
  </si>
  <si>
    <r>
      <rPr>
        <b/>
        <sz val="11"/>
        <color theme="1"/>
        <rFont val="Times New Roman"/>
        <family val="1"/>
        <charset val="204"/>
      </rPr>
      <t xml:space="preserve">Обеспечение прозрачности бюджета Судебного департамента </t>
    </r>
    <r>
      <rPr>
        <sz val="11"/>
        <color theme="1"/>
        <rFont val="Times New Roman"/>
        <family val="1"/>
        <charset val="204"/>
      </rPr>
      <t>/ бюджетные средства использованы на достижение поставленных целей</t>
    </r>
  </si>
  <si>
    <r>
      <rPr>
        <b/>
        <sz val="11"/>
        <color theme="1"/>
        <rFont val="Times New Roman"/>
        <family val="1"/>
        <charset val="204"/>
      </rPr>
      <t xml:space="preserve">Определение приоритетных направлений развития судебной системы Кыргызской Республики </t>
    </r>
    <r>
      <rPr>
        <sz val="11"/>
        <color theme="1"/>
        <rFont val="Times New Roman"/>
        <family val="1"/>
        <charset val="204"/>
      </rPr>
      <t>/ Усилен потенциал органов судейского самоуправления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</si>
  <si>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</si>
  <si>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Координация, экспертиза законопроектной деятельности государственных органов,   систематизации и кодификации нормативных актов. 
</t>
    </r>
    <r>
      <rPr>
        <i/>
        <sz val="11"/>
        <color theme="1"/>
        <rFont val="Times New Roman"/>
        <family val="1"/>
        <charset val="204"/>
      </rPr>
      <t>Цель программы: Нормативное правовое обеспечение, координация законопроектной деятельности и повышение качества экспертиз</t>
    </r>
  </si>
  <si>
    <r>
      <t xml:space="preserve">Оказание государственных нотариальных услуг, осуществление деятельности в сфере апостилирования. 
</t>
    </r>
    <r>
      <rPr>
        <i/>
        <sz val="11"/>
        <color theme="1"/>
        <rFont val="Times New Roman"/>
        <family val="1"/>
        <charset val="204"/>
      </rPr>
      <t>Цели программы: Координирующее воздействие на адвокатскую,  нотариальную деятельность и апостилирование</t>
    </r>
  </si>
  <si>
    <r>
      <t xml:space="preserve">Проведение единой государственной политики в области регистрации юридических лиц и залоговых сделок.
</t>
    </r>
    <r>
      <rPr>
        <i/>
        <sz val="11"/>
        <color theme="1"/>
        <rFont val="Times New Roman"/>
        <family val="1"/>
        <charset val="204"/>
      </rPr>
      <t>Цель программы: Обеспечение регистрации юридических лиц и залоговых сделок в пределах предоставленных полномочий</t>
    </r>
  </si>
  <si>
    <r>
      <t xml:space="preserve">Государственная гарантированная юридическая помощь
</t>
    </r>
    <r>
      <rPr>
        <i/>
        <sz val="11"/>
        <color theme="1"/>
        <rFont val="Times New Roman"/>
        <family val="1"/>
        <charset val="204"/>
      </rPr>
      <t>Цель программы: Государственная гарантированная юридическая помощь</t>
    </r>
  </si>
  <si>
    <r>
      <rPr>
        <b/>
        <sz val="11"/>
        <color theme="1"/>
        <rFont val="Times New Roman"/>
        <family val="1"/>
        <charset val="204"/>
      </rPr>
      <t>Осуществление функции обслуживания</t>
    </r>
    <r>
      <rPr>
        <sz val="11"/>
        <color theme="1"/>
        <rFont val="Times New Roman"/>
        <family val="1"/>
        <charset val="204"/>
      </rPr>
      <t xml:space="preserve">
</t>
    </r>
    <r>
      <rPr>
        <i/>
        <sz val="11"/>
        <color theme="1"/>
        <rFont val="Times New Roman"/>
        <family val="1"/>
        <charset val="204"/>
      </rPr>
      <t>Цель программы: Осуществление обслуживающей и технической деятельности, не связанной с функциями государственных служащих</t>
    </r>
  </si>
  <si>
    <t xml:space="preserve">
Пенсионное обеспечение и компенсации за счет бюджетных средств</t>
  </si>
  <si>
    <t xml:space="preserve">Обеспечение общего руководства </t>
  </si>
  <si>
    <t>Планирование, управление и администрирование</t>
  </si>
  <si>
    <t>Способствование продвижению экспорта отечественных товаров</t>
  </si>
  <si>
    <r>
      <t xml:space="preserve">Обеспечение доступа населения к качественному правосудию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справедливости, неотвративности и исполнения судебных решений</t>
    </r>
  </si>
  <si>
    <r>
      <t xml:space="preserve">Обеспечение независимости судей ВС КР                </t>
    </r>
    <r>
      <rPr>
        <i/>
        <sz val="11"/>
        <color theme="1"/>
        <rFont val="Times New Roman"/>
        <family val="1"/>
        <charset val="204"/>
      </rPr>
      <t xml:space="preserve">Цель программы: Обеспечение правосудия в Кыргызской Республике в соотвествии с руководящими принципами судопроизводства </t>
    </r>
  </si>
  <si>
    <r>
      <t xml:space="preserve">Обеспечение прозрачности работы Верховного суда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Борьба с коррупционными явлениями</t>
    </r>
  </si>
  <si>
    <r>
      <t xml:space="preserve">Обеспечение открытости и прозрачности деятельности Коституционной палаты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доверия общества к КП</t>
    </r>
  </si>
  <si>
    <r>
      <t xml:space="preserve">Обеспечение эффективности и доступности конституционного правосудия               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эффективности деятельности аппарата КП</t>
    </r>
  </si>
  <si>
    <r>
      <t xml:space="preserve">Повышение эффективности, прозрачности и независимости судебной системы Кырыгзской Республики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качественного правосудия в КР</t>
    </r>
  </si>
  <si>
    <r>
      <t xml:space="preserve">Обучение претендентов на должность судей местных судов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качественного правосудия в КР</t>
    </r>
  </si>
  <si>
    <r>
      <t xml:space="preserve">Обеспечение учебного процесса - прозрачности и эффективности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качества правосудия в КР</t>
    </r>
  </si>
  <si>
    <r>
      <t xml:space="preserve">Повышение квалификации работников ВШП ВС КР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высокого качества работы сотрудников ВШП ВС КР</t>
    </r>
  </si>
  <si>
    <r>
      <t xml:space="preserve">Обеспечение реальной независимости местных судов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правосудия в Кыргызской Республике в соответствии с руководящими принципами судопроизводства</t>
    </r>
  </si>
  <si>
    <r>
      <t xml:space="preserve">Обеспечение прозрачности и подотчетности  местных судов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Цель программы: борьба с коррупционными явлениями в судебной системе </t>
    </r>
  </si>
  <si>
    <r>
      <t xml:space="preserve">Эффективное и доступное правосудие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спрведливости и неотвративности судебных решений</t>
    </r>
  </si>
  <si>
    <r>
      <t xml:space="preserve">Гуманизация правосудия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избежание чрезмерно суровых судебных решений</t>
    </r>
  </si>
  <si>
    <r>
      <t xml:space="preserve">Реализация конституционных прав граждан на осуществление власти через участие в референдумах и выборах.                                                 </t>
    </r>
    <r>
      <rPr>
        <i/>
        <sz val="11"/>
        <rFont val="Times New Roman"/>
        <family val="1"/>
        <charset val="204"/>
      </rPr>
      <t>Цель : Высокий уровень явки избирателей на референдумах и выборах</t>
    </r>
  </si>
  <si>
    <t xml:space="preserve">Контроль за соблюдением свобод,прав человека и всех форм дискриминаций
</t>
  </si>
  <si>
    <r>
      <t xml:space="preserve">Планирование, управление, администрирование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</si>
  <si>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 xml:space="preserve">Формирование бюджета, и обеспечение  сбалансированности и устойчивости бюджета </t>
  </si>
  <si>
    <t>Цель программы: повышение бюджетной прозрачности и подготовка реалистичного бюджета, включая улучшение прогноза доходной части и определение стоимости бюджетных мероприятий</t>
  </si>
  <si>
    <t xml:space="preserve">Внедрение программно-целевых подходов бюджетирования и анализ расходов республиканского бюджета </t>
  </si>
  <si>
    <t xml:space="preserve">Обеспечение бюджетной прозрачности </t>
  </si>
  <si>
    <t>Среднесрочное прогнозирование бюджета</t>
  </si>
  <si>
    <t>Анализ и оценка ресурсной базы республиканского бюджета</t>
  </si>
  <si>
    <t>Планирование капитальных расходов и стимулирующих (долевых) грантов</t>
  </si>
  <si>
    <t>Планирование  и привлечение государственных инвестиций</t>
  </si>
  <si>
    <r>
      <t xml:space="preserve">Межбюджетные отношения  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Совершенствование системы межбюджетных отношений</t>
    </r>
  </si>
  <si>
    <t>Мониторинг планирования и исполнения местных бюджетов</t>
  </si>
  <si>
    <t>Проведение плановых, внеплановых и тематических проверок планирования и исполнения местных бюджетов</t>
  </si>
  <si>
    <t xml:space="preserve">Планирование капитальных расходов и стимулирующих (долевых) грантов </t>
  </si>
  <si>
    <t>Автоматизация бюджетной отчетности местных бюджетов</t>
  </si>
  <si>
    <r>
      <t xml:space="preserve">Управление государственным долгом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Устойчивость государственного долга Кыргызской Республики</t>
    </r>
  </si>
  <si>
    <t>Поддержание устойчивости внешнего долга в среднесрочной перспективе</t>
  </si>
  <si>
    <t>Наращивание потенциала рынка государственных ценных бумаг (ГЦБ) как источника государственных заимствований</t>
  </si>
  <si>
    <r>
      <t xml:space="preserve">Кассовое обслуживание исполнения бюджета по доходам и расходам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Совершенствование процесса исполнения бюджета и отчетности</t>
    </r>
  </si>
  <si>
    <t>Доведение до заинтересованных пользователей информации о бюджетных ассигнованиях, лимитах бюджетных обязательств и кассовых планах</t>
  </si>
  <si>
    <t>Санкционирование и осуществление платежей</t>
  </si>
  <si>
    <t>Формирование отчетности об исполнении государственного бюджета</t>
  </si>
  <si>
    <t>Ведение лицевых счетов и предоставление других услуг, связанных с кассовым обслуживанием исполнения бюджета Кыргызской Республики</t>
  </si>
  <si>
    <r>
      <t xml:space="preserve">Реализация госполитики по операциям с драгоценными металлами и драгоценными камнями и изделиями из них                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Организация эффективного государственного контроля и регулирования операций с драгоценными металлами и драгоценными камнями на территории Кыргызской Республики</t>
    </r>
  </si>
  <si>
    <t>Осуществление государственного контроля  и надзора за операциями с драгоценными металлами и драгоценными  камнями на территории  КР</t>
  </si>
  <si>
    <t>Оказание пробирных услуг по клеймению ювелирных и других изделий из драгоценных металлов и драгоценных камней</t>
  </si>
  <si>
    <t>Подготовка экспертных заключений на получение лицензии по экспорту, импорту драгоценных металлов и драгоценных камней в установленном порядке</t>
  </si>
  <si>
    <r>
      <t xml:space="preserve">Мониторинг и аудит управления государственными финансами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Совершенствование финансового управления и контроля</t>
    </r>
  </si>
  <si>
    <t>Осуществление внутреннего аудита</t>
  </si>
  <si>
    <t>Реализация плана мероприятий по противодействию коррупции на соответствующий год</t>
  </si>
  <si>
    <t>Оказание методологической и консультативной помощи закупающим организациям и поставщикам (подрядчикам)</t>
  </si>
  <si>
    <t>Мониторинг выполнения государственных программ, по вопросам Министерства финансов КР</t>
  </si>
  <si>
    <r>
      <t xml:space="preserve">Реализация бюджетной политики и совершенствование методологии                         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Реализация реформ в системе управления государственными финансами Кыргызской Республики.</t>
    </r>
  </si>
  <si>
    <t>Совершенствование методологической базы по программному бюджетированию</t>
  </si>
  <si>
    <t>Совершенствование и администрирование неналоговых  доходов</t>
  </si>
  <si>
    <t>Обеспечение эффективной системы закупок</t>
  </si>
  <si>
    <t>Развитие методологической и нормативной базы государственных закупок"</t>
  </si>
  <si>
    <t>Развитие официального Портала государственных закупок Кыргызской Республики</t>
  </si>
  <si>
    <t>Мероприятия по повышению квалификации и организация повышения квалификации специалистов по внутреннему аудиту и бухгалтерскому учету сектора государственного управления Кыргызской Республики.</t>
  </si>
  <si>
    <t>Оказание консультационной поддержки, мониторинг и оценка развития системы внутреннего аудита в государственном секторе Кыргызской Республики.</t>
  </si>
  <si>
    <r>
      <t xml:space="preserve">Формирование условий для экономического роста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Возврат государственных заемных средств</t>
    </r>
  </si>
  <si>
    <t>Осуществление мониторинга, учета и анализа государственных заемных средств</t>
  </si>
  <si>
    <r>
      <t xml:space="preserve">Предоставление услуг первичной медико-санитарной помощи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Цели программы: Раннее выявление, диагностика заболеваний, повышение качества и эффективности предоставления медицинской и профилактической помощи на уровне ПМСП</t>
    </r>
  </si>
  <si>
    <r>
      <t xml:space="preserve">Планирование, управление и администрирование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Цели программы: Институциональное усиление ФОМС в качестве Единого плательщика. Координирующее и организационное воздействие на реализацию других программ</t>
    </r>
  </si>
  <si>
    <t>Социальный фонд</t>
  </si>
  <si>
    <t>Наращивание внутреннего потенциала Министерства экономики КР.</t>
  </si>
  <si>
    <t>Обеспечение финансового менеджмента и учета в соответствии с передовыми практиками, правовая поддержка и экспертиза, а также поддержание связей с общественностью</t>
  </si>
  <si>
    <t>Обеспечение организационно-технической   деятельности министерства , а также обучение и повышение квалификации сотрудников</t>
  </si>
  <si>
    <t>Усиление потенциала министерства за счет создания знаний и разработки рекомендаций по совершенствованию экономической политики в приоритетных направлениях, участия в разработке программ и стратегий правительства</t>
  </si>
  <si>
    <t>Благоприятная нормативно-правовая среда  для активизации приоритетных сфер экономики</t>
  </si>
  <si>
    <t>Обеспечение благоприятного налогового климата для развития предпринимательства и совершенствование налогового администрирования.</t>
  </si>
  <si>
    <t xml:space="preserve">Проведение анализа влияния и оценки налоговых мер при изменении налогового законодательства. </t>
  </si>
  <si>
    <t>Имплементация требований таможенного законодательства Евразийского экономического союза, регулирующих вопросы упрощения таможенных процедур</t>
  </si>
  <si>
    <t xml:space="preserve">Обеспечение мероприятий по проведению переговоров, связанных с имущественными вопросами (спорами) с Республикой Казахстан </t>
  </si>
  <si>
    <t>Осуществление мер по применению оздоровительных процедур банкротства с целью сохранения производства должника</t>
  </si>
  <si>
    <t xml:space="preserve">Повышение инвестиционной привлекательности и продвижение проектов в рамках ГЧП, а также улучшение инвестиционного климата страны. </t>
  </si>
  <si>
    <t>Улучшение позиций страны в международных рейтингах</t>
  </si>
  <si>
    <t>Создание благоприятной предпринимательской среды путем принятия соответствующих НПА в сфере предпринимательской деятельности (Развитие и поддержка предпринимательской деятельности, внедрение новых подходов в системе анализа АРВ, лицензионно-разрешительной и контрольно-надзорной сферах)</t>
  </si>
  <si>
    <t>Совершенствование НПА в сфере антимонопольного регулирования, защите и развитии конкуренции, защиты прав потребителей, рекламы, ценового регулирования)</t>
  </si>
  <si>
    <t>Макроэкономическая  политика , стратегическое планирование и  координация донорской помощи</t>
  </si>
  <si>
    <t>Совершенствование нормативной правовой базы в сфере государственного материального резерва. Ежегодное уточнение номенклатуры и норм накопления материальных ценностей государственного материального резерва</t>
  </si>
  <si>
    <t>Обеспечение стратегического планирования. Разработка мер государственной политики, направленных на обеспечение устойчивого развития экономики страны и регионов</t>
  </si>
  <si>
    <t>Продвижение принципов зеленой экономики</t>
  </si>
  <si>
    <t>Cодействие в разработке и реализации единой государственной политики комплексного развития регионов, в том числе составление экономических прогнозов;</t>
  </si>
  <si>
    <t>Мониторинг и оценка эффективности проектов международной грантовой и технической помощи в КР</t>
  </si>
  <si>
    <t xml:space="preserve">Устойчивый рост экспорта с расширением его географии, а также номенклатуры товаров. </t>
  </si>
  <si>
    <t>Обеспечить развитие внешнеэкономического сотрудничества путем проведения заседаний межправительственных комиссий по торгово-экономическому сотрудничеству КР с зарубежными странами</t>
  </si>
  <si>
    <t>Формирование благоприятной нормативно-правовой среды  для сокращения технических барьеров и активизации экспортного потенциала. Развитие Халал индустрии</t>
  </si>
  <si>
    <t>Повышение уровня гармонизации  национальных стандартов с международными и европейскими нормами  и защита интересов государства и граждан от последствий недостоверных результатов измерений</t>
  </si>
  <si>
    <t>Подтверждение соответствия КЦА на соответствие ИСО/МЭК 17011</t>
  </si>
  <si>
    <t xml:space="preserve">Внедрение системы оценки  качества государственного управления, ориентированного на результат госорганов, руководителей госорганов, структурных подразделений госорганов </t>
  </si>
  <si>
    <t xml:space="preserve">Обеспечение дальнейшей оптимизации системы предоставления госуслуг и формирование Единого реестра функций государственных органов </t>
  </si>
  <si>
    <t xml:space="preserve">Координация деятельности министерств и ведомств, связанных с выполнением условий и обязательств по Договору о Евразийском экономическом союзе от 29 мая 2014 г. </t>
  </si>
  <si>
    <t>Проведение комплексной оценки экономических и социальных эффектов от вступления Кыргызской Республики в ЕАЭС</t>
  </si>
  <si>
    <t>Проведение информационных кампаний и обучающих семинаров, мероприятий по информированию населения по  вопросам адаптации Кыргызстана к условиям интеграции в ЕАЭС</t>
  </si>
  <si>
    <r>
      <t xml:space="preserve">Обеспечение здоровья спецконтингента
</t>
    </r>
    <r>
      <rPr>
        <i/>
        <sz val="11"/>
        <color indexed="8"/>
        <rFont val="Times New Roman"/>
        <family val="1"/>
        <charset val="204"/>
      </rPr>
      <t>Цели программы: Предоставления необходимых медицинских услуг осужденным и подследственным</t>
    </r>
  </si>
  <si>
    <r>
      <t xml:space="preserve">Поддержка и развитие дошкольного, школьного и внешкольного  образования и подготовка детей к школе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Цели программы: Обеспечение доступа к качественным услугам дошкольного, школьного и внешкольного образования для всех групп населения</t>
    </r>
  </si>
  <si>
    <r>
      <t xml:space="preserve">Предоставление высшего профессионального образования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Подготовка кадров в ВУЗах в соответствии с потребностями рынка труда </t>
    </r>
  </si>
  <si>
    <r>
      <rPr>
        <b/>
        <sz val="11"/>
        <rFont val="Times New Roman"/>
        <family val="1"/>
        <charset val="204"/>
      </rPr>
      <t>Развитие начального  и среднего профессионального образования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 xml:space="preserve">Цель программы: Создание эффективной системы управления и механизмов финансирования
</t>
    </r>
  </si>
  <si>
    <r>
      <t xml:space="preserve">Реализация Государственной программы развития системы интеллектуальной собственности в КР                          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програмы: создание условий для функционирования рынка ИС к 2021 году</t>
    </r>
  </si>
  <si>
    <r>
      <t xml:space="preserve">Реализация Концепции  научно-инновационного развития  КР на период до 2022 года                                        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Выстраивание системы целей, приоритетов и инструментов государственной инновационной политики</t>
    </r>
  </si>
  <si>
    <t>прогнозе на 2021-2022 годы»</t>
  </si>
  <si>
    <t>15. Управление делами Презилента и Правительства Кыргызской Республики</t>
  </si>
  <si>
    <t xml:space="preserve">Высшая школа правосудия при Верховном суде Кыргызской Республики </t>
  </si>
  <si>
    <r>
      <rPr>
        <b/>
        <sz val="11"/>
        <color indexed="8"/>
        <rFont val="Times New Roman"/>
        <family val="1"/>
        <charset val="204"/>
      </rPr>
      <t xml:space="preserve">Охрана в исправительных учреждениях и  конвоирование осужденных    </t>
    </r>
    <r>
      <rPr>
        <sz val="11"/>
        <color indexed="8"/>
        <rFont val="Times New Roman"/>
        <family val="1"/>
        <charset val="204"/>
      </rPr>
      <t xml:space="preserve">                                                                              </t>
    </r>
    <r>
      <rPr>
        <i/>
        <sz val="11"/>
        <color indexed="8"/>
        <rFont val="Times New Roman"/>
        <family val="1"/>
        <charset val="204"/>
      </rPr>
      <t xml:space="preserve">Цель: обеспечение соблюдения заключенными и осужденными режима в исправительных учреждениях. </t>
    </r>
  </si>
  <si>
    <t xml:space="preserve">0                           2                        7                              0                          1   </t>
  </si>
  <si>
    <t>1                           2                        5                             1                          2</t>
  </si>
  <si>
    <t>1                           2                        5                             1                         5</t>
  </si>
  <si>
    <t xml:space="preserve">1                          2                        5                             1                         5    </t>
  </si>
  <si>
    <t>1                           2                            5                              1                         5</t>
  </si>
  <si>
    <t>27. Национальный центр информационных технологий</t>
  </si>
  <si>
    <t>Отношение расходов на заработную плату по Программе 001 к сумме полученных доходов от организации курсов повышения квалификации</t>
  </si>
  <si>
    <t>Подготовка содержания краткосрочных курсов повышения квалификации</t>
  </si>
  <si>
    <t>Отношение обновленных материалов курсов к общему числу организованных курсов</t>
  </si>
  <si>
    <t>Организация учебного процесса повышения квалификации</t>
  </si>
  <si>
    <t>Общее число участников курсов повышения квалификации</t>
  </si>
  <si>
    <t>Управление преподавательскими ресурсами</t>
  </si>
  <si>
    <t>Обеспечение бесперебойного функционирования и сохранности сетевого и компьютерного оборудования</t>
  </si>
  <si>
    <t>Число чрезвычайных и аварийных ситуаций, повлиявших на сохранность и бесперебойное функционирование оборудования</t>
  </si>
  <si>
    <t>Повышение квалификации преподавателей краткосрочных курсов повышения квалификации</t>
  </si>
  <si>
    <t>Число полученных сертификатов международного образца инструкторами</t>
  </si>
  <si>
    <t>Число участников сертификационных экзаменов</t>
  </si>
  <si>
    <t>Ежегодная сертификация администраторов проведения экзаменов</t>
  </si>
  <si>
    <t>Число сертифицированных администраторов проведения экзаменов</t>
  </si>
  <si>
    <t>Организация экзаменов по профессиональной сертификации от авторизованных международных тестовых центров</t>
  </si>
  <si>
    <t>Обеспечение бесперебойного функционирования и сохранности тестового компьютерного оборудования</t>
  </si>
  <si>
    <t>Процент бесперебойного функционирования</t>
  </si>
  <si>
    <t>Отношение отказов к бесперебойному обеспечению интернетом</t>
  </si>
  <si>
    <t>Организация круглосуточной деятельности Сетевого операционного центра Центрально-Азиатской научно-образовательной сети</t>
  </si>
  <si>
    <t>Развитие и внедрение международного роумингового сервиса для лиц, занятых в сфере научно-исследовательской деятельности, высшего образования и дополнительного профессионального образования</t>
  </si>
  <si>
    <t>Число научно-образовательных учреждений, подключенных к eduroam</t>
  </si>
  <si>
    <t>Число научно-образовательных учреждений, подключенных к edugain</t>
  </si>
  <si>
    <t>Повышение квалификации сотрудников, ответственных за деятельность Сетевого операционного центра</t>
  </si>
  <si>
    <t>Число полученных сертификатов международного образца сотрудниками Сетевого операционного центра</t>
  </si>
  <si>
    <t>Организация курсов повышения квалификации для сетевых администраторов и инженеров вузов-членов Кыргызской научно-образовательной компьютерной сети</t>
  </si>
  <si>
    <t>Число участников курсов повышения квалификации</t>
  </si>
  <si>
    <t>Отношение расходов на заработную плату по Программе 004 к сумме расходов на заработную плату по всем программам</t>
  </si>
  <si>
    <t>Обеспечение мониторинга,анализа и стратегического планирования</t>
  </si>
  <si>
    <t>Процент увеличения доходов</t>
  </si>
  <si>
    <r>
      <t xml:space="preserve">Оказание услуг по сертификации в области ИКТ и организация экзаменов от авторизованных международных тестовых центров
</t>
    </r>
    <r>
      <rPr>
        <i/>
        <sz val="11"/>
        <color indexed="8"/>
        <rFont val="Times New Roman"/>
        <family val="1"/>
        <charset val="204"/>
      </rPr>
      <t>Цель программы: усиление человеческого потенциала государственных ведомств, организаций, компаний и населения посредством организации профессиональной сертификации без необходимости выезда за пределы страны</t>
    </r>
  </si>
  <si>
    <r>
      <rPr>
        <b/>
        <sz val="11"/>
        <color indexed="8"/>
        <rFont val="Times New Roman"/>
        <family val="1"/>
        <charset val="204"/>
      </rPr>
      <t>Оказание услуг по обслуживанию сетевой и компьютерной инфраструктуры</t>
    </r>
    <r>
      <rPr>
        <sz val="11"/>
        <color indexed="8"/>
        <rFont val="Times New Roman"/>
        <family val="1"/>
        <charset val="204"/>
      </rPr>
      <t xml:space="preserve">                      </t>
    </r>
    <r>
      <rPr>
        <i/>
        <sz val="11"/>
        <color indexed="8"/>
        <rFont val="Times New Roman"/>
        <family val="1"/>
        <charset val="204"/>
      </rPr>
      <t>Цель программы: развитие аутсорсинга ИТ-услуг</t>
    </r>
  </si>
  <si>
    <r>
      <t xml:space="preserve">Предоставление услуг Сетевого операционного центра для Центрально-Азиатской научно-образовательной сети (CAREN) - проекта ЕС и интернет-услуг согласно лицензии ГАС КР № 17-0157-КР от 23 мая 2017 года
</t>
    </r>
    <r>
      <rPr>
        <i/>
        <sz val="11"/>
        <color indexed="8"/>
        <rFont val="Times New Roman"/>
        <family val="1"/>
        <charset val="204"/>
      </rPr>
      <t>Цель программы: Содействие развитию высокоскоростных сетей передачи данных, предназначенных для удовлетворения потребностей образовательных и научно-исследовательских сообществ, что обеспечивает возможность надежного и быстрого электронного обмена информацией для эффективной совместной работы исследователей, преподавателей и студентов</t>
    </r>
  </si>
  <si>
    <r>
      <t xml:space="preserve">Предоставление услуг медицинскими учреждениями на стационарном уровне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Повышение качества и эффективности предоставления гарантированной медицинской помощи на стационарном уровне</t>
    </r>
  </si>
  <si>
    <r>
      <t xml:space="preserve">Государственная поддержка развития  приоритетных отраслей  науки                                </t>
    </r>
    <r>
      <rPr>
        <i/>
        <sz val="11"/>
        <rFont val="Times New Roman"/>
        <family val="1"/>
        <charset val="204"/>
      </rPr>
      <t xml:space="preserve">Цель: Развитие прикладной (вузовской) науки и повышение качества вузовской науки, увеличение в вузах количества НИР, направленных на получение практического применения.  </t>
    </r>
    <r>
      <rPr>
        <b/>
        <i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</t>
    </r>
  </si>
  <si>
    <t>Встречные фонды Японии</t>
  </si>
  <si>
    <t>Организация деятельности и службы обеспечения Архива Президента КР согласно Указу Президента КР от 10.06.2001г. УП №194</t>
  </si>
  <si>
    <t>Обеспечение сохранности и госучет документов, находящихся на постоянном госхранении Архивного фонда Президента КР согласно Закону КР "О Нацирнальном архивном фонде КР"</t>
  </si>
  <si>
    <t>Создание и совершенствование автоматизированной информационно-поисковой системы док-в (электронный архив) Архивного фонда Президента КР)</t>
  </si>
  <si>
    <t xml:space="preserve"> Организация деятельности и службы обеспечения</t>
  </si>
  <si>
    <t>29.  Госудаственное агенство по земельным ресурсам при ПКР</t>
  </si>
  <si>
    <t xml:space="preserve">Экспертно-аналитическое  информационное  правовое  протокольное  организационное  документационное  обеспечение функционирования Президента КР </t>
  </si>
  <si>
    <t xml:space="preserve">Оказание государственной поддержки в случае возникновения  непредвиденных  расходов по экономическим  социально-культурным и другим мероприятиям  а также  чрезвычайным событиям, </t>
  </si>
  <si>
    <t>Обеспечение деятельности Президента КР согласно Закону КР "О гарантиях деятельности Президента КР /  Обеспечение высокго уровня предоставления государственных услуг а также обеспечение государственного протокола,</t>
  </si>
  <si>
    <t xml:space="preserve">Обеспечение деятельности Правительства КР путем координации госорганов исполнительной власти и осуществление мониторинга реализации ими своих полномочий   а также  реализации полномочий Премьер министра КР </t>
  </si>
  <si>
    <t xml:space="preserve">Координация и принятие решений в вопросах делимитации и демаркации  государственной границы КР </t>
  </si>
  <si>
    <t>Оказание государственной  поддержки в случае  возникновения непредвиденных  расходов  связанных  с социально-культурными и другими мероприятиями проводимыми в республике</t>
  </si>
  <si>
    <t>Программное и техническое обеспчение единого канала связи государственных учреждений и обеспечение прозрачности выборов референдумов</t>
  </si>
  <si>
    <t>Обеспчение и организация мероприятий по нараждению государственными наградами лиц внесших вклад в защиту и укрепление государства и демократического общества единства народа а также заслуг в различных видах деятельности перед государством и народом,</t>
  </si>
  <si>
    <t>Трансопортное обеспечение экс Президента КР и бывшим руководителей Кыргызской ССР</t>
  </si>
  <si>
    <t>Обеспечение организация саммитов и других госзначимых мероприятий</t>
  </si>
  <si>
    <t>Управление делами Президента и Правительства Кыргызской Республики</t>
  </si>
  <si>
    <r>
      <t xml:space="preserve">Предоставление трансопортных услуг в государственном секторе
</t>
    </r>
    <r>
      <rPr>
        <i/>
        <sz val="11"/>
        <rFont val="Times New Roman"/>
        <family val="1"/>
        <charset val="204"/>
      </rPr>
      <t>Цель: Поддержка инициатив в области развития гуманного, научного и кадрового потенциала</t>
    </r>
  </si>
  <si>
    <t xml:space="preserve">Оказание поддержки в обучении талатнливых и одаренных детей и моодежи в том числе за рубежем; </t>
  </si>
  <si>
    <t>Оказание адресной поддержки детям находящимся  в трудной жизненной ситуации</t>
  </si>
  <si>
    <t xml:space="preserve">Поддержка инициатив в области образования  и науки и других проектов направленных на развитие  личностных качеств молодежи, </t>
  </si>
  <si>
    <t>Аудит и аудит ээфективности: оценка исполнения республиканского бюджета составления и исполнения местного бюджета внебюджетных  и специальных средств использования государственной  и муниципальной собственности обеспечение и реализация международных стандартов государственного аудита.</t>
  </si>
  <si>
    <t>59</t>
  </si>
  <si>
    <t>60</t>
  </si>
  <si>
    <t>Вовлечение в процесс создания объектов интеллектуальной собственности  государственных научно-исследовательских и частных предприятий</t>
  </si>
  <si>
    <t>Проведение единой согласованной макроэкономической политики при улучшении координации министерств и административных ведомств полномочных представительств Правительства КР в областях мэрии гг, Бишкек и Ош по вопросам макроэкономического анализа и прогнозирования</t>
  </si>
  <si>
    <t xml:space="preserve">Повышение инвестиционной привлекательности и продвижение проектов в рамках ГЧП </t>
  </si>
  <si>
    <t>Повышение эффективности координации мониторинга и оценки  донорской помощи</t>
  </si>
  <si>
    <t>Создание благоприятной предпринимательской среды путем принятия соответствующих НПА в сфере предпринимательской деятельности (Развитие и поддержка предпринимательской деятельности внедрение новых подходов в системе анализа регулятивного воздействия (АРВ) лицензионно-разрешительной и контрольно-надзорной сферах)</t>
  </si>
  <si>
    <t>Совершенствование антимонопольного (конкурентного) законодательства законодательства в области защиты прав потребителей и рекламы проведение работы покоординации защиты прав потребителей</t>
  </si>
  <si>
    <t>Единый реестр государственных услуг, система оценки деятельности органов исполнительной власти/Единый реестр государственных услуг система оценки деятельности органов исполнительной власти</t>
  </si>
  <si>
    <t>Обеспечение территории КР и ее регионов в топографо-геодезическом и картографическом отношении</t>
  </si>
  <si>
    <t>Реконструкция и поддержание государственной геодезической сети  пограничных знаков; спутниковые измерения на пограничных знаках и исходных пунктах</t>
  </si>
  <si>
    <t>Обновление и издание топографических карт масштабного ряда</t>
  </si>
  <si>
    <t>Выполнение проектно-изыскательских и обследовательских работ по землеустройству</t>
  </si>
  <si>
    <t>Корректировка почвенных обследований мотиторинг пахотных земель проектно-изыскательные обследовательские работы по землеустройству</t>
  </si>
  <si>
    <t>Делимитация и демаркация государственной границы Кыргызской Республики</t>
  </si>
  <si>
    <t>Рекогнацовка и установка пограничных знаков; измерения на пограничных знаках и исходных пунктах</t>
  </si>
  <si>
    <t>Обновление топографичнских карт на пограничные территории</t>
  </si>
  <si>
    <r>
      <t xml:space="preserve">Планирование, управление и администрирование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Верховного суда, координация реализации других программ ведомства</t>
    </r>
  </si>
  <si>
    <r>
      <t xml:space="preserve">Планирование, управление и администрирование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Конституционной палаты, координация реализации других программ ведомства</t>
    </r>
  </si>
  <si>
    <r>
      <t xml:space="preserve">Планирование, управление и администрирование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Конституционной палаты, координация реализации других программ ведомства</t>
    </r>
  </si>
  <si>
    <r>
      <t xml:space="preserve">Планирование, управление и администрирование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судебного департамента, координация реализации других программ ведомства</t>
    </r>
  </si>
  <si>
    <t>Проведение государственного аудита</t>
  </si>
  <si>
    <t xml:space="preserve">Выпуск Вестника, публикация годового доклада, профайла, календаря, создание видеороликов и трансляции на ТВ </t>
  </si>
  <si>
    <t>Осуществление конституцонного правосудия</t>
  </si>
  <si>
    <t>Количество коррупционных проявлений в среди сотрудников аппарата ВС КР</t>
  </si>
  <si>
    <t>Поддержка систем аудио-видео фиксации судебных процессов</t>
  </si>
  <si>
    <t>Развитие международных связей (СНГ, страны дальнего зарубежья) Высшей школы правосудия и Совета судей в сфере профессиональной подготовки судей, проведение тематических конференций и семинаров</t>
  </si>
  <si>
    <r>
      <t xml:space="preserve">Повышение эффективности, прозрачности и независимости местных судов Кыргызской Республики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доверия к судебной системе Кыргызской Республики</t>
    </r>
  </si>
  <si>
    <t>Место Кыргызстана в рейтинге Глобального индекса конкурентоспособности Всемирного экономического форума (в т.ч. по показателю "независимость судов")</t>
  </si>
  <si>
    <t>Количество судов оснащенных системами аудио видео фиксации и протоколирования судебных заседаний</t>
  </si>
  <si>
    <r>
      <rPr>
        <b/>
        <sz val="11"/>
        <color theme="1"/>
        <rFont val="Times New Roman"/>
        <family val="1"/>
        <charset val="204"/>
      </rPr>
      <t xml:space="preserve">Создание условий для участников сторон судебных процессов / </t>
    </r>
    <r>
      <rPr>
        <sz val="11"/>
        <color theme="1"/>
        <rFont val="Times New Roman"/>
        <family val="1"/>
        <charset val="204"/>
      </rPr>
      <t xml:space="preserve">количество модернизированных и построенных новых зданий для местных судов Кыргызской Республики отвечающих утвержденным нормативам для служебных помещений судов </t>
    </r>
  </si>
  <si>
    <t>Количество межрайонных судов, рассматривающие судебные дела с участием присяжных заседателей</t>
  </si>
  <si>
    <t>Количество судов, в которых внедрены информационные технологии, обеспечивающее быстрое разрешение судебных дел</t>
  </si>
  <si>
    <t>Доля решений, вынесенных под давлением общественного мнения, политических партий, лиц в общем объеме, рассмотренных дел (оценка)</t>
  </si>
  <si>
    <t>Количество судов к которым нанесен ущерб (участники процесса судебных заседаний, митингующие у ворот здании судов)</t>
  </si>
  <si>
    <t>Доля решений, принятых и исполненных в общем количестве, рассмотренных дел</t>
  </si>
  <si>
    <t>Доля отмененных и измененных судебных постановлений из-за нарушения процессуальных норм в общем количестве</t>
  </si>
  <si>
    <t>Количество нарушений, связанных с должностными обязанностями</t>
  </si>
  <si>
    <t>Доля дел, распределенных автоматизированной системой распределения судебных дел и материалов между судьями в общем  количестве дел</t>
  </si>
  <si>
    <t>Доля, вынесенных решений судами присяжных заседателей в общем количестве, рассмотренных дел</t>
  </si>
  <si>
    <t>Доля сотрудников, прошедших оценку деятельности с высоким баллом (4,1-5) от общего количества сотрудников</t>
  </si>
  <si>
    <t>Доля сотрудников, повысивших квалификацию от общего количества сотрудников</t>
  </si>
  <si>
    <t>Количество, рассмотренных проектов  нормативно-правовых актов, проектов межведомственных соглашений</t>
  </si>
  <si>
    <t>Количество, рассмотренных проектов постановлений Совета Счетной палаты</t>
  </si>
  <si>
    <t>Количество, рассмотренных запросов правоохранительных органов, органов прокуратуры</t>
  </si>
  <si>
    <t>Количество, запланированных аудиторских мероприятий</t>
  </si>
  <si>
    <t xml:space="preserve"> % фактического  исполнения, запланированных аудиторских мероприятий</t>
  </si>
  <si>
    <t>18. Центральная избирательная комиссия по выборам и проведению референдумов Кыргызской Республики</t>
  </si>
  <si>
    <t>Координация и обеспечение деятельности аппарата ЦИК по выборам и проведению референдумов Кыргызской Республики</t>
  </si>
  <si>
    <t>Организация подготовки и проведение выборов Президента Кыргызской Республики, депутатов Жогорку Кенеша Кыргызской Республики, депутатов местных кенешей, глав исполнительных органов местного самоуправления и референдумов.</t>
  </si>
  <si>
    <t>Подведение итогов голосований и определение результата выборов</t>
  </si>
  <si>
    <t xml:space="preserve">Доля, выигранных судебных процессов по трудовым спорам </t>
  </si>
  <si>
    <t>Количество проведенных проверок, количество проверенных материалов об отказе в возбуждении уголовных дел, количество выявленных укрытых пресуплений,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 привлеченных к уголовной ответственности.</t>
  </si>
  <si>
    <t>Количество проведенных проверок, количество проверенных материалов об отказе в возбуждении уголовных дел, количество выявленных укрытых пресуплений,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органов, привлеченных к уголовной ответственности.</t>
  </si>
  <si>
    <t>Надзор за точным и единообразным исполнением законов органами исполнительной власти, органами местного самоуправления, их должностными лицами, а также другими государственными органами, перечень которых определяется конституционным законом.</t>
  </si>
  <si>
    <t>Количество, принятых участий на судебных процессах. Количество, обвинительных приговоров первой инстанции. Количество, внесенных аппеляционных, кассационных и надзорных представлений. Сумма возмещенного по искам ущерба.</t>
  </si>
  <si>
    <t xml:space="preserve">Количество, принятых участий на судебных процессах. Количество, обвинительных приговоров. Количество, внесенных аппеляционных, кассационных и надзорных представлений. </t>
  </si>
  <si>
    <t>Количество, принятых участий на судебных процессах. Количество, внесенных аппеляционных, кассационных и надзорных представлений. Сумма возмещенного по искам ущерба.</t>
  </si>
  <si>
    <t>Количество, выигранных судебных процессов</t>
  </si>
  <si>
    <t>Количество, проведённых проверок по несоблюдению военного законодательства</t>
  </si>
  <si>
    <t>Количество, раскрытых уголовных дел в Вооруженных силах</t>
  </si>
  <si>
    <t>Количество государственных обвинений, поддержанные решением суда</t>
  </si>
  <si>
    <t xml:space="preserve">Надзор за соответствием, издаваемых в Вооруженных силах, нормативных актов </t>
  </si>
  <si>
    <t>Предупреждения и раскрытия уголовных дел в Вооруженных силах</t>
  </si>
  <si>
    <r>
      <rPr>
        <b/>
        <sz val="11"/>
        <rFont val="Times New Roman"/>
        <family val="1"/>
        <charset val="204"/>
      </rPr>
      <t xml:space="preserve">Увеличение количества, удовлетворенных заявителей услугами Аппарата Омбудсмена (Акыйкатчы) Кыргызской Республики (к общему количеству заявителей </t>
    </r>
    <r>
      <rPr>
        <sz val="11"/>
        <rFont val="Times New Roman"/>
        <family val="1"/>
        <charset val="204"/>
      </rPr>
      <t>(целевой индикатор по Программе)</t>
    </r>
  </si>
  <si>
    <t>Из обращений граждан, положительно решенных вопросов, в местах лишения и ограничения свободы</t>
  </si>
  <si>
    <t xml:space="preserve">22 Министерство юстиции Кыргызской Республики </t>
  </si>
  <si>
    <t>Замещение вакантных административных, государственных, гражданских должностей</t>
  </si>
  <si>
    <t>Проведение заседаний Совещания министров юстиции государств-членов ШОС (2018 год) и Совета министров юстиции государств-участников СНГ (2020 год) в Кыргызской Республике.</t>
  </si>
  <si>
    <t>Обеспечение функции  и реализация государственной политики в области нормативного правового регулирования, судебно-экспертной, адвокатской, нотариально- пробационной деятельности</t>
  </si>
  <si>
    <t>Осуществление государственной регистрации, перерегистрации и регистрации прекращения деятельности юридических лиц и координации нотариальной деятельности и апостилирование исходящих документов от Кыргызской Республики</t>
  </si>
  <si>
    <t xml:space="preserve">Количество гос.регистрации, перерегистрации и прекращение деятельности юридических лиц, количество совершенных нотариальных действий                   </t>
  </si>
  <si>
    <t>Исправление и переобучение граждан, совершивших правонарушение, а также социальная интеграция осужденных лиц</t>
  </si>
  <si>
    <t>Осуществление государственной регистрации, перерегистрации и регистрации прекращения деятельности юридических лиц и филиалов (представительств), средств массовой информации, создаваемых на территории области, а также предоставление нотариальных услуг населению</t>
  </si>
  <si>
    <t xml:space="preserve">Координация исполнения плана законопроектных работ, разработка и экспертиза проектов нормативных правовых актов  </t>
  </si>
  <si>
    <t xml:space="preserve">Количество гос.регистрации, перерегистрации и прекращение                   </t>
  </si>
  <si>
    <t>Привлечение IT - специалиста по договору для оказания работ по базе данных юридических лиц, филиалов (представительств)</t>
  </si>
  <si>
    <t>Осуществление государственной гарантированной юридической помощи</t>
  </si>
  <si>
    <t>Переподготовка и повышение квалификации сотрудников госуправления и органов МСУ по вопросам  эффективного управления госфинансами</t>
  </si>
  <si>
    <t>Доля местных бюджетов, не получающих межбюджетные трансферты</t>
  </si>
  <si>
    <t>Количество проверок ОМСУ в год</t>
  </si>
  <si>
    <t>Количество районных фин.подразделений (доля) и ОМСУ, в которых применяется автоматизированное программное обеспечение</t>
  </si>
  <si>
    <t>Доля просроченной кредиторской задолженности в расходах местных бюджетов (на 01.01.15 г 183,2 млн. от 16751,1 млн утверждены)</t>
  </si>
  <si>
    <t xml:space="preserve">Доля ПБС республиканского бюджета, до которых органами казначейства доводится информация о бюджетных ассигнованиях, лимитах бюджетных средств и кассовых планах </t>
  </si>
  <si>
    <t>Установленный срок предоставления годовой консолидированной бухгалтерской отчетности по государственному  бюджету</t>
  </si>
  <si>
    <t>Обеспечение работы по повышению информированности населения о правах при получении медицинских услуг в рамках, реализуемых Фондом ОМС программ</t>
  </si>
  <si>
    <t xml:space="preserve">Соотношение выполненных ОЗ рекомендаций к общему числу рекомендаций, указанных в заключении внутреннего аудита </t>
  </si>
  <si>
    <t>Средний показатель индекса доверия населения</t>
  </si>
  <si>
    <t>Доля организаций ПМСП, внедривших сервис "Электронная очередь"</t>
  </si>
  <si>
    <r>
      <t xml:space="preserve">Обеспечение доступности  медицинских и иных услуг, оказываемых сверх объема ПГГ населению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Цели программы: Повышение удовлетворенности граждан посредством предоставления расширенного спектра услуг организациями здравоохранения, независимо от формы собственности.</t>
    </r>
  </si>
  <si>
    <t>ГП "Центр электронного взаимодействия" при ГКИТиС</t>
  </si>
  <si>
    <r>
      <t xml:space="preserve">Организация краткосрочных курсов повышения квалификации в области ИКТ согласно лицензии LE 150001548 МОН КР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усиление человеческого потенциала государственных ведомств, организаций, компаний и населения посредством организации курсов повышения квалификации, востребованных рынком труда в области ИКТ и цифровой трансформации</t>
    </r>
  </si>
  <si>
    <t>Процент обеспеченности преподавательским составом, запланированных курсов повышения квалификации</t>
  </si>
  <si>
    <t>Обслуживание компьютерного оборудования и администрирование сетевой инфраструктуры Японского агентства международного сотрудничества</t>
  </si>
  <si>
    <t>Развитие и внедрение международной межфедеральной службы, объединяющей исследовательские и образовательные федерации идентичности</t>
  </si>
  <si>
    <t>Подготовка аналитических записок для министерства, Аппарата Правительства Кыргызской Республики и Аппарата Президента Кыргызской Республики</t>
  </si>
  <si>
    <t>Обеспечение избежания двойного налогообложения между Кыргызской Республикой и другими государствами</t>
  </si>
  <si>
    <t>Проведение информационно-разъяснительной работы среди субъектов предприниательства, потребителей продукции о требованиях и правилах, устанавливаемых техническими регламентами ТС/ЕАЭС</t>
  </si>
  <si>
    <t>Обеспечить соблюдение международных обязательств Кыргызской Республики перед Всемирной торговой организацией и эффективное использование преимуществ участия Кыргызской Республики в рамках многосторонней торговой системы</t>
  </si>
  <si>
    <t>Развитие предоставления услуг по внешнеэкономической деятельности по принципу "Единого окна"</t>
  </si>
  <si>
    <t>Обеспечение единства измерений и прослеживаемости измерений для соблюдения требований ТР ТС путем рекалибровки дополнительных единиц эталонов по видам измерений в национальных институтах других стран и участие в сличениях эталонов по видам измерений в рамках регионального органа по метрологии</t>
  </si>
  <si>
    <t>Руководство и контроль за обеспечением деятельности ГСИН и организация деятельности подразделения</t>
  </si>
  <si>
    <t>Организация деятельности и служба обеспечения подразделений ГСИН</t>
  </si>
  <si>
    <r>
      <t>Содержание осужденных и подследственных</t>
    </r>
    <r>
      <rPr>
        <sz val="11"/>
        <color indexed="8"/>
        <rFont val="Times New Roman"/>
        <family val="1"/>
        <charset val="204"/>
      </rPr>
      <t xml:space="preserve"> </t>
    </r>
    <r>
      <rPr>
        <i/>
        <sz val="11"/>
        <color indexed="8"/>
        <rFont val="Times New Roman"/>
        <family val="1"/>
        <charset val="204"/>
      </rPr>
      <t xml:space="preserve">Цели: Создание и поддержание условий отбывания наказания, обеспечивающих достижение целей наказания и способствующих ресоциализации осужденных после освобождения от наказания </t>
    </r>
  </si>
  <si>
    <t>Организация деятельности по исполнению наказаний осужденных на местах лишения свободы</t>
  </si>
  <si>
    <t>Снижение общей заболиваемости в лечебных учреждениях</t>
  </si>
  <si>
    <t>Повышение  умственного и физического развития детей дошкольного возраста</t>
  </si>
  <si>
    <t>Улучшение процента финансирования дошкольных учреждений</t>
  </si>
  <si>
    <t>Обеспечение осужденных продуктами питания в лечебных учреждениях</t>
  </si>
  <si>
    <t>Обеспечение инфракструктуры в лечебных учреждениях в ГСИН</t>
  </si>
  <si>
    <t>Расширение вариативных дошкольных образовательных учреждений</t>
  </si>
  <si>
    <t>Примечание: бюджет в программном формате по Государственной службе исполнения наказаний не включают расходы на Департамент по охране исправительных учреждений и конвоированию осужденных и лиц, заключенных под стражу в сумме 194 296,8 тыс. сом, которое финансируется как самостоятельное бюджетное учреждение</t>
  </si>
  <si>
    <t xml:space="preserve">*  количество побегов                                             *  кол-во предотвр.  побега осужденных                                     *кол-во  проникн.  во внутрен. зону                                                 * количество нападений на часового                   * кол-во проник. во внеш. запрет. зону </t>
  </si>
  <si>
    <t xml:space="preserve"> *количество обеспечения процессов                </t>
  </si>
  <si>
    <t xml:space="preserve">Взаимодействие  с администрациями  исправительных учреждений, судами, органами внутренних дел  и национальной безопасности, учреждениями Министерства обороны </t>
  </si>
  <si>
    <t>Расширение сети государственных и муниципальных дошкольных образовательных организаций (спец. средства)</t>
  </si>
  <si>
    <t>Кол-во общеобразовательных и специальных школ, в которых созданы условия для обучения детей с особыми нуждами.</t>
  </si>
  <si>
    <t>Информирование населения о системе среднего профессионального образования республики, направленное на повышение имиджа среднего профессионального образования, привлечение работодателей к формированию квалификационной характеристики и процессу оценки квалификации выпускников и оптимизация системы среднего профессионального образования (спец. средства)</t>
  </si>
  <si>
    <t xml:space="preserve">Доля бюджетных мест, выделяемых на специальности, соответствующие страновым приоритетам и экономическим стратегиям </t>
  </si>
  <si>
    <t xml:space="preserve">Доля специальностей СПО (по которым осуществляется бюджетный набор), соответствующих потребностям рынка труда </t>
  </si>
  <si>
    <t>Доля образовательных организаций, получающих заказ на подготовку специалистов от работодателей</t>
  </si>
  <si>
    <t>Изменение структуры подготовки кадров с высшим профессиональным образованием на основе анализа страновых приоритетов и экономических стратегий регионов (спец. средства)</t>
  </si>
  <si>
    <r>
      <t xml:space="preserve">Предоставление образования для взрослых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Цели программы: Удовлетворение потребностей населения в повышении уровня образования путем создания условий для непрерывного образования в течение всей жизни и адаптации экономически активного населения к быстро меняющимся требованиям рынка труда </t>
    </r>
  </si>
  <si>
    <r>
      <t>Развитие институционального потенциала и повышение качества вузовской науки, увеличение в ВУЗах количества НИР, направленных на получение практического применения (</t>
    </r>
    <r>
      <rPr>
        <b/>
        <sz val="11"/>
        <rFont val="Times New Roman"/>
        <family val="1"/>
        <charset val="204"/>
      </rPr>
      <t>ППУР</t>
    </r>
    <r>
      <rPr>
        <sz val="11"/>
        <rFont val="Times New Roman"/>
        <family val="1"/>
        <charset val="204"/>
      </rPr>
      <t>) (спец. средства)</t>
    </r>
  </si>
  <si>
    <t>Доля молодых специалистов, привлеченных к выполнение исследований и разработок</t>
  </si>
  <si>
    <t xml:space="preserve">Доля электронных ресурсов Государственной патентно-технической библиотеки </t>
  </si>
  <si>
    <r>
      <rPr>
        <b/>
        <sz val="11"/>
        <color theme="1"/>
        <rFont val="Times New Roman"/>
        <family val="1"/>
        <charset val="204"/>
      </rPr>
      <t>Количество судов оснащенные информационными системами (видео запись и трансляция судебных процессов, аудио и видео протоколирование и т.д.) /</t>
    </r>
    <r>
      <rPr>
        <sz val="11"/>
        <color theme="1"/>
        <rFont val="Times New Roman"/>
        <family val="1"/>
        <charset val="204"/>
      </rPr>
      <t xml:space="preserve"> Обеспечена полная гласность и прозрачность судебных разбирательств</t>
    </r>
  </si>
  <si>
    <r>
      <rPr>
        <b/>
        <sz val="11"/>
        <color theme="1"/>
        <rFont val="Times New Roman"/>
        <family val="1"/>
        <charset val="204"/>
      </rPr>
      <t>Совершенствование взаимодействия модели исполнения судебных решений</t>
    </r>
    <r>
      <rPr>
        <sz val="11"/>
        <color theme="1"/>
        <rFont val="Times New Roman"/>
        <family val="1"/>
        <charset val="204"/>
      </rPr>
      <t xml:space="preserve"> / Увеличение доли исполнения судебных решений</t>
    </r>
  </si>
  <si>
    <t>38 Министерство труда и социального развития Кыргызской Республики</t>
  </si>
  <si>
    <r>
      <t xml:space="preserve">Планирование, управление и администрирование
</t>
    </r>
    <r>
      <rPr>
        <i/>
        <sz val="11"/>
        <rFont val="Times New Roman"/>
        <family val="1"/>
        <charset val="204"/>
      </rPr>
      <t>Цель программы: Координация и организация для обеспечения эффективной реализации бюджетных программ, включенных в настоящую стратегию</t>
    </r>
  </si>
  <si>
    <t>31</t>
  </si>
  <si>
    <t>Обеспечение своевременного и качественного предоставления государственных пособий, денежных компенсаций взамен льгот и других социальных выплат, социального обслуживания лиц с ограниченными возможностями здоровья и пожилым гражданам</t>
  </si>
  <si>
    <t>32</t>
  </si>
  <si>
    <t>Предоставление своевременных и качественных социальных услуг, обеспечение эффективной социальной защиты социально незащищенных категорий граждан, семей и детей, находящихся в трудной жизненной ситуации.</t>
  </si>
  <si>
    <r>
      <rPr>
        <b/>
        <sz val="11"/>
        <rFont val="Times New Roman"/>
        <family val="1"/>
        <charset val="204"/>
      </rPr>
      <t xml:space="preserve">Семья и дети, находящиеся в трудной жизненной ситуации                                                                       </t>
    </r>
    <r>
      <rPr>
        <sz val="11"/>
        <rFont val="Times New Roman"/>
        <family val="1"/>
        <charset val="204"/>
      </rPr>
      <t xml:space="preserve">Цель: </t>
    </r>
    <r>
      <rPr>
        <i/>
        <sz val="11"/>
        <rFont val="Times New Roman"/>
        <family val="1"/>
        <charset val="204"/>
      </rPr>
      <t>1. Повышение благосостояния лиц, находящихся в трудной жизненной ситуации (ТЖС), включая лиц с ограниченными возможностями здоровья и пожилых граждан, а также обеспечение детей государственными пособиями; 2. Развитие института приемной семьи, оказавщихся в ТЖС; 3. Возвращение в КР детей граждан КР, оставшихся без попечения родителей на территории иностранного государства.</t>
    </r>
  </si>
  <si>
    <t>Обеспечение пособиями детей: при рождении ребенка и нуждающихся семей, имеющих детей в возрасте до 16 лет</t>
  </si>
  <si>
    <t>Соотношение размера единовременной выплаты при рождении ребенка - "балага сүйүнчү" текущего года по отношению к базовому году</t>
  </si>
  <si>
    <t>1( 2700 сом)</t>
  </si>
  <si>
    <t>Соотношение размера гарантированного минимального дохода текущего года по отношению к базовому году</t>
  </si>
  <si>
    <t>900 сом</t>
  </si>
  <si>
    <t>не менее 10</t>
  </si>
  <si>
    <t>Уровень размера ежемесячного пособия нуждающимся гражданам (семьям), имеющим детей в возрасте до 16 лет - "үй-бүлөгө көмөк" текущего года по отношению к базовому году</t>
  </si>
  <si>
    <t>810 сом</t>
  </si>
  <si>
    <t>Обеспечение лиц, не имеющих права на пенсионное обеспечение, ежемесячными социальными пособиями</t>
  </si>
  <si>
    <t>соотношение размера пособий для детей с ОВЗ к базовой части пенсии</t>
  </si>
  <si>
    <t>соотношение размеров пособий для ЛОВЗ с детства  к базовой части пенсии</t>
  </si>
  <si>
    <t>112,3-168,5</t>
  </si>
  <si>
    <t>151,7-224,7</t>
  </si>
  <si>
    <t>Соотношение размера ЕСП пожилых граждан к базовой части пенсии</t>
  </si>
  <si>
    <t xml:space="preserve">Выплата дополнительного ежемесячного социального пособия членам семей погибших и пострадавшим лицам в результате событий, произошедших в апреле-июне 2010 года на уровне базового года </t>
  </si>
  <si>
    <t>Размер дополнительного ежемесячного социального пособия</t>
  </si>
  <si>
    <t>количество расчетных показателей</t>
  </si>
  <si>
    <t>Выплата дополнительного социального пособия членам семей погибших и пострадавшим лицам в результате событий, произошедших в 2002 году в Аксыйском районе Джалал-Абадской области</t>
  </si>
  <si>
    <t xml:space="preserve">Размер дополнительного социального пособия </t>
  </si>
  <si>
    <t>расчетный показатель</t>
  </si>
  <si>
    <t xml:space="preserve">Развитие социальных услуг для детей, находящихся в трудной жизненной ситуации (в ст.5 Кодекса КР о детях, определены категории детей ТЖС), в рамках государственного социального заказа </t>
  </si>
  <si>
    <t xml:space="preserve">Наличие центра </t>
  </si>
  <si>
    <t>количество центров</t>
  </si>
  <si>
    <t>Поддержка созданных ранее центров</t>
  </si>
  <si>
    <t>Повышение потенциала сотрудников территориальных и подведомственных подразделений МТСР КР</t>
  </si>
  <si>
    <t>Охвачены обучением не менее 100 сотрудников отделов защиты семьи и детей РМГУТСР</t>
  </si>
  <si>
    <t>Охвачены обучением не менее 35 сотрудников отделов содействия занятости РМГУТСР и УСЗ</t>
  </si>
  <si>
    <t>Увеличение численности приемных (фостерных) семей</t>
  </si>
  <si>
    <t>Численность подготовленных  приемных семей</t>
  </si>
  <si>
    <t>Численность размещенных детей в приемных семьях</t>
  </si>
  <si>
    <t>Возвращение (репатриация) детей, оставщихся без попечения родителей, являющихся гражданами КР на территории иностранного государства</t>
  </si>
  <si>
    <t>Численность возвращенных детей</t>
  </si>
  <si>
    <t xml:space="preserve">Оказание консультативно-психологической помощи абонентам по телефону, в том числе детям </t>
  </si>
  <si>
    <t>Количество поступивших звонков от абонентов, в том числе от детей</t>
  </si>
  <si>
    <t>абонент</t>
  </si>
  <si>
    <r>
      <rPr>
        <b/>
        <sz val="11"/>
        <rFont val="Times New Roman"/>
        <family val="1"/>
        <charset val="204"/>
      </rPr>
      <t>Социальная защита лиц с ограничеными возможностями здоровья (ЛОВЗ) и пожилых граждан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Цель: Обеспечение равноправного доступа к базовым услугам и создание доступной среды жизнедеятельности для лиц с ограниченными возможностями здоровья в целях эффективной интеграции их в общество</t>
    </r>
  </si>
  <si>
    <t>Оптимизация административной, функциональной структуры и инфраструктуры системы медико-социальной экспертизы (МСЭ)</t>
  </si>
  <si>
    <t xml:space="preserve">1. Разработана обновленая методика МКФ </t>
  </si>
  <si>
    <t>документ</t>
  </si>
  <si>
    <t>2. Количество обученных врачей-экспертов по МКФ</t>
  </si>
  <si>
    <t>Реабилитация лиц с ограниченными возможностями здоровья (ЛОВЗ)</t>
  </si>
  <si>
    <t xml:space="preserve">Количество ЛОВЗ охваченых реабилитацией </t>
  </si>
  <si>
    <t xml:space="preserve">Предоставление услуг в социальных стационарных  учреждениях 
</t>
  </si>
  <si>
    <t>1. Количество обслуживаемых</t>
  </si>
  <si>
    <t>2. Общая сумма расходов (респ.бюджет)</t>
  </si>
  <si>
    <t>3. Сумма на обслуживание одного получателя услуг в месяц</t>
  </si>
  <si>
    <t>Предоставление социальных услуг пожилым гражданам и лицам с ограниченными возможностями здоровья (ЛОВЗ), в рамках государственного социального заказа</t>
  </si>
  <si>
    <t>1. Разработка подзаконных актов по внедрению госсоцзаказа в новой редакции</t>
  </si>
  <si>
    <t>1. Разработка национальной комплексной программы по повышению качества жизни пожилых граждан в КР</t>
  </si>
  <si>
    <t>2. Количество ЛОВЗ, охваченых через госсоцзаказ к общему количеству ЛОВЗ</t>
  </si>
  <si>
    <t>человек</t>
  </si>
  <si>
    <t>3. Количество пожилых граждан, охваченых  через госсоцзаказ к общему количеству пожилых граждан в системе МТСР</t>
  </si>
  <si>
    <t>Обеспечение ЛОВЗ техническими средствами для реабилитации (протезно-ортопедические изделия, технические вспомогательные средства и иные специализированные средства)</t>
  </si>
  <si>
    <t>1. Количество ЛОВЗ, обеспеченных техническими средствами, (чел.) и потребность в единицах</t>
  </si>
  <si>
    <t>2. Количество обученных специалистов</t>
  </si>
  <si>
    <t>3. Количество изготовленных протезно-ортопедических изделий (ед.) и потребность в единицах.</t>
  </si>
  <si>
    <t>Обеспечение ЛОВЗ путевками на санаторно-курортное лечение</t>
  </si>
  <si>
    <t>1. Количество ЛОВЗ, обеспеченных путевками на санаторно-курортное лечение на количество обращений</t>
  </si>
  <si>
    <t>Социальная поддержка матерям ухаживающим за детьми с ОВЗ, нуждающихся в постоянном уходе и надзоре</t>
  </si>
  <si>
    <t>Разработан проект постановления Правительства КР</t>
  </si>
  <si>
    <t>Количество детей/ребенка с ОВЗ, охваченных альтернативными видами услуг</t>
  </si>
  <si>
    <r>
      <rPr>
        <b/>
        <sz val="11"/>
        <rFont val="Times New Roman"/>
        <family val="1"/>
        <charset val="204"/>
      </rPr>
      <t xml:space="preserve">Предоставление денежных компенсаций отдельным категориям граждан и социальные гарантии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Сохранение размера денежных компенсаций 25 категориям граждан на уровне базового года. Обеспечение выплат ежегодных единовременных денежных пособий к 9 мая и ежемесячной пожизненной стипендии ветеранам ВОВ, а также ритуальных пособий</t>
    </r>
  </si>
  <si>
    <t xml:space="preserve">Обеспечение выплат денежных компенсаций 25 категориям граждан  </t>
  </si>
  <si>
    <t xml:space="preserve">Сохранение размера денежных компенсаций 25 категориям граждан на уровне базового года </t>
  </si>
  <si>
    <t>1000-7000</t>
  </si>
  <si>
    <t>Обеспечение выплат ежегодного единовременного денежного пособия к 9 мая ветеранам Великой Отечественной войны</t>
  </si>
  <si>
    <t xml:space="preserve">Размеры денежного пособия </t>
  </si>
  <si>
    <t>100-600</t>
  </si>
  <si>
    <t>Обеспечение выплат ежегодного дополнительного единовременного денежного пособия к 9 мая  ветеранам Великой Отечественной войны</t>
  </si>
  <si>
    <t xml:space="preserve">Размеры дополнительного денежного пособия  </t>
  </si>
  <si>
    <t>10000-15000</t>
  </si>
  <si>
    <t>Обеспечение выплат ежемесячной пожизненной стипендии ветеранам Великой Отечественной войны</t>
  </si>
  <si>
    <t xml:space="preserve">Размеры пожизненной стипендии </t>
  </si>
  <si>
    <t xml:space="preserve">Обеспечение выплат ритуального пособия (на погребение) </t>
  </si>
  <si>
    <t>Соотношение среднего размера ритуального пособия к установленному среднемесячной заработной плате постановлением ПКР (в %)</t>
  </si>
  <si>
    <r>
      <rPr>
        <b/>
        <sz val="11"/>
        <rFont val="Times New Roman"/>
        <family val="1"/>
        <charset val="204"/>
      </rPr>
      <t>Труд и занятость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1. Эффективное содействие занятости населения (реализация мер активной политики занятости), оказание услуг по поиску подходящей работы и соц.поддержки безработных граждан и лиц ищущих работу через органы гос.службы занятости; 2. Создание эффективной системы оплаты труда с иерархией должностей и с результатами деятельности служащих; 3. Обеспечение выплат пособий по беременности и родам.</t>
    </r>
  </si>
  <si>
    <t>Пассивные меры политики занятости (выплата пособий по безработице)</t>
  </si>
  <si>
    <t>Количество получающих пособия</t>
  </si>
  <si>
    <t>Обучение безработных граждан профессиям, востребованным на рынке труда</t>
  </si>
  <si>
    <t>Доля безработных граждан, трудоустроенных после обучения, переобучения повышения квалификации</t>
  </si>
  <si>
    <t xml:space="preserve">Расширение временной занятости </t>
  </si>
  <si>
    <t>Количество безработных,  охваченных по линии оплачиваемых общественных работ (ООР)</t>
  </si>
  <si>
    <t>тыс.чел.</t>
  </si>
  <si>
    <t>Самостоятельная занятость</t>
  </si>
  <si>
    <t>Количество охваченных самозанятостью</t>
  </si>
  <si>
    <t xml:space="preserve">Интеграция безработных в число занятого населения </t>
  </si>
  <si>
    <t>Количество безработных, трудоустроенных в результате посещения Ярмарки вакансий</t>
  </si>
  <si>
    <t xml:space="preserve">Трудоустройство </t>
  </si>
  <si>
    <t xml:space="preserve">Обеспечение выплат пособия по беременности и родам с одиннадцатого рабочего дня </t>
  </si>
  <si>
    <t>Соотношение среднемесячного размера пособия по беременности и родам к среднемесячной заработной плате в %</t>
  </si>
  <si>
    <t>006</t>
  </si>
  <si>
    <r>
      <rPr>
        <b/>
        <sz val="11"/>
        <rFont val="Times New Roman"/>
        <family val="1"/>
        <charset val="204"/>
      </rPr>
      <t xml:space="preserve">Реализация Национальной Стратегии по достижению гендерного равенства до 2020 года </t>
    </r>
    <r>
      <rPr>
        <i/>
        <sz val="11"/>
        <rFont val="Times New Roman"/>
        <family val="1"/>
        <charset val="204"/>
      </rPr>
      <t>Цель: Создание институциональной базы для обеспечения равных прав и возможностей граждан страны, независимо от пола, возраста, социального статуса, возможностей здоровья, гендерной идентичности и других оснований дискриминации, для полноценной реализации человеческого потенциала населения Кыргызской Республики</t>
    </r>
  </si>
  <si>
    <t>Организация на местном уровне мероприятия по профессиональной ориентации и мотивации для экономически неактивного населения в трудоспособном возрасте с целью уменьшения  численности экономически неактивных женщин</t>
  </si>
  <si>
    <t>Увеличение экономически активных женщин в трудоспособном возрасте</t>
  </si>
  <si>
    <t>Развитие услуг  социальных служб/кризисных центров  по оказанию помощи лицам, пострадавшим от гендерного и семейного насилия и внедрение коррекционных программ по работе с виновниками семейного насилия</t>
  </si>
  <si>
    <t xml:space="preserve">Число кризисных центров, оказывающих услуги пострадавшим </t>
  </si>
  <si>
    <t>единица</t>
  </si>
  <si>
    <t>39.  Академия государственного управления при Президенте Кыргызской Республики</t>
  </si>
  <si>
    <t>39. Академия государственного управления При Президенте КР</t>
  </si>
  <si>
    <t>Обьем финансовых и научных работ прошедших анализ и экспертизу</t>
  </si>
  <si>
    <r>
      <t xml:space="preserve">Предоставление высшего профессионального образования Академией Государственного управления при Президенте Кыргызской Республики
</t>
    </r>
    <r>
      <rPr>
        <i/>
        <sz val="11"/>
        <rFont val="Times New Roman"/>
        <family val="1"/>
        <charset val="204"/>
      </rPr>
      <t>Цель программы:</t>
    </r>
    <r>
      <rPr>
        <b/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Подготовка кадров с высшим профессиональным образованием в соответствии с потребностями рынка труда</t>
    </r>
  </si>
  <si>
    <t xml:space="preserve">Доля выпускников высшего профессионального образования, успешно окончивших академию </t>
  </si>
  <si>
    <t>Реализация учебных программ</t>
  </si>
  <si>
    <t>Годовой обьем обучающихся студентов</t>
  </si>
  <si>
    <t>Подготовка квалифицированного кадрового персонала ВПО</t>
  </si>
  <si>
    <t>Доля студентов, занявших призовые места на соревнованиях, конкурсах республиканского и международного уровней</t>
  </si>
  <si>
    <r>
      <t xml:space="preserve">Повышение квалификации государственных и муниципальных служащих
</t>
    </r>
    <r>
      <rPr>
        <i/>
        <sz val="11"/>
        <rFont val="Times New Roman"/>
        <family val="1"/>
        <charset val="204"/>
      </rPr>
      <t>Цель программы: Подготовка, переподготовка и повышение квалификации государственных и муниципальных служащих</t>
    </r>
  </si>
  <si>
    <t>Количество государственных и муниципальных служащих, получивших сертификаты</t>
  </si>
  <si>
    <t>Проведение тренингов</t>
  </si>
  <si>
    <t>Количество привлеченных государственных служащих на повышение квалификации</t>
  </si>
  <si>
    <r>
      <t xml:space="preserve">Предоставление среднего профессионального образования Академией Государственного управления при Президенте Кыргызской Республики
</t>
    </r>
    <r>
      <rPr>
        <i/>
        <sz val="11"/>
        <rFont val="Times New Roman"/>
        <family val="1"/>
        <charset val="204"/>
      </rPr>
      <t>Цель программы: Подготовка кадров со средне-профессиональным образованием в соответствии с потребностями рынка труда</t>
    </r>
  </si>
  <si>
    <t>Доля выпускников среднего профессионального образования, успешно окончивших техникум</t>
  </si>
  <si>
    <t>Подготовка квалифицированного кадрового персонала СПО</t>
  </si>
  <si>
    <t>Доля обучающихся, занявших призовые места на соревнованиях, конкурсах республиканского и международного уровней</t>
  </si>
  <si>
    <t>Контрольные цифры ВСЕГО</t>
  </si>
  <si>
    <t>40. Общественное объединение «Организация ветеранов (пенсионеров) войны, труда, Вооруженных Сил, правоохранительных органов Кыргызской Республики»</t>
  </si>
  <si>
    <t>Внесение предложений по защите материальных и социальных прав ветеранов и ветеранских организаций</t>
  </si>
  <si>
    <t>Внесение предложений в государственные органы по повышению жизненного уровня ветеранов,  а также совершенствованию законодательства в области социальной защиты ветеранов и ветеранских организаций</t>
  </si>
  <si>
    <t>41. Министерство сельского хозяйства, пищевой промышленности  и мелиорации Кыргызской Республики</t>
  </si>
  <si>
    <r>
      <t xml:space="preserve">Планирование, управление и администрирование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Цели программы: Координирующее и организационное воздействие на реализацию других программ. </t>
    </r>
  </si>
  <si>
    <t>Соотношение расходов на заработную плату по мере 001 к сумме расходов на заработную плату по всем программам</t>
  </si>
  <si>
    <t>66</t>
  </si>
  <si>
    <t xml:space="preserve">Управление и общая координация  развития сельскохозяйственной отрасли </t>
  </si>
  <si>
    <t>Индекс производительности труда в сельском хозяйстве</t>
  </si>
  <si>
    <t xml:space="preserve">ВВП сельского хозяйства </t>
  </si>
  <si>
    <t>млрд.сом</t>
  </si>
  <si>
    <t>Индекс физического обьема, в % к предыдущему году</t>
  </si>
  <si>
    <t>ВВП пищевой промыщленности</t>
  </si>
  <si>
    <t>ВВП продукции растениводства</t>
  </si>
  <si>
    <t>ВВП продукции животноводства</t>
  </si>
  <si>
    <t>Рост экспорта продукции продовольственных товаров</t>
  </si>
  <si>
    <t>Объем импорта продовольственных товаров</t>
  </si>
  <si>
    <t>67</t>
  </si>
  <si>
    <t>Планирование, обеспечение, по экономическому , социальному прогнозированию  и инвестиций внешних связей в сфере развития сельского хозяйства, также формирование и мониторинга  финансовых ресурсов, бухгалтерских учетов, отчетностей и контроля</t>
  </si>
  <si>
    <t>Соотношение расходов на заработную плату по мере 02 к сумме расходов на заработную плату повсем программам</t>
  </si>
  <si>
    <t>Степень выполнения проектов концепций стратегий государственных и ведомственных целевых программ в  сфере развития экономики сельского хозяйства</t>
  </si>
  <si>
    <t>Количество подписанных международных соглашений для сотрудничества и развития экономики сельского хозяйства</t>
  </si>
  <si>
    <t>Разработка технических регламентов Евразийского экономического союза в сфере АПК</t>
  </si>
  <si>
    <t>кол.</t>
  </si>
  <si>
    <t xml:space="preserve">Качество финансового менеджмента главных распорядителей бюджетных средств, участвующих в  сфере развития экономики сельского хозяйства
</t>
  </si>
  <si>
    <t>бал</t>
  </si>
  <si>
    <t>Представление качественной годовой бюджетной отчетности в установленные сроки</t>
  </si>
  <si>
    <t>Количество проведенных мероприятий по внутреннему аудиту</t>
  </si>
  <si>
    <t>68</t>
  </si>
  <si>
    <t>Обеспечение  правовой, кадровой, антикорруппционной организационной работы и делопроизводства</t>
  </si>
  <si>
    <t>Соотношение расходов на заработную плату по мере 03 к сумме расходов на заработную плату по всем программам</t>
  </si>
  <si>
    <t xml:space="preserve">Доля выигранных судебных процессов по трудовым спорам
</t>
  </si>
  <si>
    <t xml:space="preserve">Отношение выигранных судебных дел к их общему количеству
</t>
  </si>
  <si>
    <t>5/56</t>
  </si>
  <si>
    <t>Доля государственных служащих Минсельхоза, прошедших повышение квалификации</t>
  </si>
  <si>
    <t>кол</t>
  </si>
  <si>
    <t xml:space="preserve">Количество положительных упоминаний министерства в средствах массовой информации
</t>
  </si>
  <si>
    <t xml:space="preserve">Доля сотрудников служб обеспечения от общей численности сотрудников центрального аппарата
</t>
  </si>
  <si>
    <t>33</t>
  </si>
  <si>
    <t>Общая координация аграрного развития</t>
  </si>
  <si>
    <t>Соотношение расходов на заработную плату по мере 04 к сумме расходов на заработную плату по всем программам</t>
  </si>
  <si>
    <t>Государственная поддержка сельского хозяйства.</t>
  </si>
  <si>
    <t>Обеспечение безопасного обращения с пестицидами и агрохимикатами, сокращение потерь сельскохозяйственного производства, наносимых некарантинными вредными организмами, а также повышение продуктивности растениеводства и качества растительной продукции</t>
  </si>
  <si>
    <t>Площади химической обработки сельскохозяйственных угодий против саранчовых вредителей</t>
  </si>
  <si>
    <t>тыс.га</t>
  </si>
  <si>
    <t>Площади химической обработки сельскохозяйственных угодий против карантинного вредителя АББ</t>
  </si>
  <si>
    <t>1,8/145,5</t>
  </si>
  <si>
    <t>3,0/180,3</t>
  </si>
  <si>
    <t>3,0/189,3</t>
  </si>
  <si>
    <t>3,0/198,2</t>
  </si>
  <si>
    <t>Площадь обследования сельхозугодий на выявление саранчовых вредителей</t>
  </si>
  <si>
    <t>Площадь обследования сельхозугодий на выявление карантинного  вредителя АББ</t>
  </si>
  <si>
    <t>Потребность и обеспеченность в пестицидах</t>
  </si>
  <si>
    <t>тыс.тонн</t>
  </si>
  <si>
    <t>Обеспечение фитосанитарной и агрохимической безопасности</t>
  </si>
  <si>
    <t>14835,9</t>
  </si>
  <si>
    <t>Количество лабораторных исседований</t>
  </si>
  <si>
    <t>309/ 7392</t>
  </si>
  <si>
    <t>300/ 3000</t>
  </si>
  <si>
    <t>Площадь обследования на выявление карантинного вредителя АББ</t>
  </si>
  <si>
    <t>Биологическая борьба с вредителями сельскохозяйственных культур.</t>
  </si>
  <si>
    <t>18788,9</t>
  </si>
  <si>
    <t>19792,3</t>
  </si>
  <si>
    <t xml:space="preserve"> Площадь обработанных земель сельскохозяйственного назначения биологическими средствами по КР</t>
  </si>
  <si>
    <t xml:space="preserve"> Объем производства биологических средств</t>
  </si>
  <si>
    <t>Биолигнин</t>
  </si>
  <si>
    <t>тонн</t>
  </si>
  <si>
    <t>Триходермин</t>
  </si>
  <si>
    <t>кг/литр</t>
  </si>
  <si>
    <t>Амблисейус</t>
  </si>
  <si>
    <t>тыс. особ</t>
  </si>
  <si>
    <t>Трихограмма</t>
  </si>
  <si>
    <t>грамм</t>
  </si>
  <si>
    <t>Развитие механизации сельского хозяйства</t>
  </si>
  <si>
    <t>Количество сельскохозяйственной техники, выданных сельхозсубьектам по лизинговым кредитным проектам</t>
  </si>
  <si>
    <t>Общее количество обновлен.машинно-тракторного парка</t>
  </si>
  <si>
    <t>Полевая инспекция, проведение апробации и сортоиспытаний, тестирование проб семян</t>
  </si>
  <si>
    <t>Общая посевная площадь сельскохозяйственных культур</t>
  </si>
  <si>
    <t>Площадь полевых инспекций семенных посевов</t>
  </si>
  <si>
    <t>Удельный вес площади, засеваемой элитными семенами</t>
  </si>
  <si>
    <t>Наличие сертифицированных семян</t>
  </si>
  <si>
    <t>Объем сертифицированных семян</t>
  </si>
  <si>
    <t>Проведение экспертизы зерна и хлебных продуктов его переработки</t>
  </si>
  <si>
    <t>Площадь выбороч.обследования образцов зерна фермерских и крестьянских хозяйств, на комбинатах хлебных продуктов</t>
  </si>
  <si>
    <t>Обьем анализа образцов  зерна,  поступающих из госрезерва, комбинатов хлебных продуктов</t>
  </si>
  <si>
    <t>Сортоопыт, официальные испытания, сохранение генетических ресурсов растений</t>
  </si>
  <si>
    <t>Проведение официальных испытаний сортов и гибридов с/х культур</t>
  </si>
  <si>
    <t>сорто-опыт</t>
  </si>
  <si>
    <t>Проведение качественной  оценки, испытываемых сортов и гибридов с/х культур</t>
  </si>
  <si>
    <t>анализ</t>
  </si>
  <si>
    <t>Сохранение генетических ресурсов растений</t>
  </si>
  <si>
    <t>образец</t>
  </si>
  <si>
    <t>Инвентаризация земельного фонда и установление границ в разрезе районов/айыл аймаков</t>
  </si>
  <si>
    <t xml:space="preserve"> в разрезе районов/айыл аймаков</t>
  </si>
  <si>
    <t>10 район,116-айыл аймаки.</t>
  </si>
  <si>
    <t>11 район,116 айыл аймаки.</t>
  </si>
  <si>
    <t xml:space="preserve">2 район,23 а.аймаки, 7городов,земли гос.резерва,местрожден. </t>
  </si>
  <si>
    <t xml:space="preserve">2района,90 нас.пунктов земли гос.резерва,местрожден.  </t>
  </si>
  <si>
    <t xml:space="preserve">2района,85 нас.пунктов земли гос.резерва,местрожден.  </t>
  </si>
  <si>
    <t>Корректировка почвенных обследований, мотиторинг пахотных земель</t>
  </si>
  <si>
    <t xml:space="preserve">Кооректировка материалов почвенного и геоботанического обследования </t>
  </si>
  <si>
    <t>2-район,24айыл аймаки</t>
  </si>
  <si>
    <t>3-район,36-айыл аймаки</t>
  </si>
  <si>
    <t xml:space="preserve">   1-район,12-айыл аймаки</t>
  </si>
  <si>
    <t xml:space="preserve"> 1-район,12-айыл аймаки</t>
  </si>
  <si>
    <t>Площадь земель, охваченных почвенными обследованиями</t>
  </si>
  <si>
    <t>тыс.гектар</t>
  </si>
  <si>
    <t>Площадь земель, охваченных почвенными обследованиями для паспортизации земель</t>
  </si>
  <si>
    <t>Площадь земель, охваченных геоботаническими обследованиями</t>
  </si>
  <si>
    <t>Площадь земель сельскохозяйственного назначения для определения бонитета почв</t>
  </si>
  <si>
    <t>Реализация проекта "Финансирование поставок сельскохозяйственной техники в КР" (АКФ ЕврАзЭС)</t>
  </si>
  <si>
    <t>Количество  техники, выданных сельхозсубьектам по лизинговым кредитным проектам</t>
  </si>
  <si>
    <t>темп роста  сельскохозяйственной техники</t>
  </si>
  <si>
    <t>Поддержка развития племенного дела</t>
  </si>
  <si>
    <t>темп реального роста КРС в % к предыдущему году</t>
  </si>
  <si>
    <t>Осеменение КРС</t>
  </si>
  <si>
    <t>голов</t>
  </si>
  <si>
    <t>Осеменение МРС</t>
  </si>
  <si>
    <t>Открытие исскуственного осеменения КРС (Турецкий кредит)</t>
  </si>
  <si>
    <t xml:space="preserve">Создание  племенных хозяйств </t>
  </si>
  <si>
    <t>Получение приплода от закупленных КРС по линии ЮСАИД</t>
  </si>
  <si>
    <t>Учет и контроль за качеством и безопасностью ветеринарных  лекарственных средств</t>
  </si>
  <si>
    <t>Государственная регистрация и сертификация ветеринарных лекарственных средств</t>
  </si>
  <si>
    <t>Экспертиза качества ветеринарных лекарственных средств</t>
  </si>
  <si>
    <t>Содержание и увеличение рыбных запасов</t>
  </si>
  <si>
    <t>Количество выданных рыболовных карточек</t>
  </si>
  <si>
    <t>Количество проведенных мероприятий по выявлениям факта наруш.</t>
  </si>
  <si>
    <t>Выпуск молоди (зарыбление) в водоемы Кыргызской Республики</t>
  </si>
  <si>
    <t>млн. шт.</t>
  </si>
  <si>
    <t>Темп роста производства товарной рыбы</t>
  </si>
  <si>
    <t>тыс. тонн</t>
  </si>
  <si>
    <t>Мониторинг над состоянием и использованием пастбищ и пастбищного хозяйства</t>
  </si>
  <si>
    <t>Площадь пастбищ  по республике</t>
  </si>
  <si>
    <t>Площадь пастбищ, земель сельскохозяйственного назначения</t>
  </si>
  <si>
    <t>Количество экологически устойчивых жайыт комитетов</t>
  </si>
  <si>
    <t>Количество нормативных правовых  баз, регулирующие управление, использование  и улучшение пастбищ</t>
  </si>
  <si>
    <t>Реализация проекта "Развитие животноводства и рынка- 1,2" донор МФСР</t>
  </si>
  <si>
    <t>Обьем производительности животноводства</t>
  </si>
  <si>
    <t xml:space="preserve"> Заболеваемость животных  бруцеллезом и эхинококкозом</t>
  </si>
  <si>
    <t>Количество оказанных укслуг по повышению потенциала мелких владельцев скота по вопросам животноводства;</t>
  </si>
  <si>
    <t>Количество планов по контролю здоровья животных и возможностей для улучшения пород и селекции скота</t>
  </si>
  <si>
    <t>Реализация проекта "Обеспечения доступа к рынкам"</t>
  </si>
  <si>
    <t xml:space="preserve">стоимость продукции животноводства, продаваемая целевыми фермерами в зоне реализации проекта
</t>
  </si>
  <si>
    <t xml:space="preserve">Создание постоянных рабочих мест (40% женщин) за счет работы на фермерском хозяйстве
</t>
  </si>
  <si>
    <t xml:space="preserve">увеличение числа пунктов переработки и новых сельских предприятий
</t>
  </si>
  <si>
    <t>Реализация проекта "Улучшение управлением пастбищами"- донор ВБ</t>
  </si>
  <si>
    <t xml:space="preserve">Количество планов сообщества по  управлению пастбищами (ПСУП), подготовленных и реализованных должным образом с учетом критерий эффективности работы ОПП, установленных проектом.
</t>
  </si>
  <si>
    <t>Проект завершен</t>
  </si>
  <si>
    <t xml:space="preserve">Повышение площади используемых пастбищ
</t>
  </si>
  <si>
    <t>кол.га</t>
  </si>
  <si>
    <t xml:space="preserve">Процент пастбищепользователей, довольных услугами по управлению пастбищами, которые предоставляют ОПП относительно базового показателя
</t>
  </si>
  <si>
    <t xml:space="preserve">Реализация проекта "Комплексное развитие производительности молочного сектора" (ВБ) </t>
  </si>
  <si>
    <t>Оказания поддержки сельскохозяйственного сектора с финансированием</t>
  </si>
  <si>
    <t>Контроль за производством и оборотом этилового спирта, алкогольной продукции и спиртосодержащей продукции</t>
  </si>
  <si>
    <t>Пересечение нелегального оборота  (изъятие алкогольной продукции)</t>
  </si>
  <si>
    <t>шт (0,5 бут)</t>
  </si>
  <si>
    <t xml:space="preserve">Обьем производства алкогольной продукции                                                                     </t>
  </si>
  <si>
    <t>тыс.дал</t>
  </si>
  <si>
    <t xml:space="preserve">   Лицензирование субьектов предпринимательства</t>
  </si>
  <si>
    <t>Научно-исследовательская деятельность в области животноводства</t>
  </si>
  <si>
    <t>Научно-исследовательского работа в области земледелия, почвоведения, агрохимии и растениеводства</t>
  </si>
  <si>
    <t xml:space="preserve">Поддержка и развитие государственного ирригационного фонда и мелиорации. </t>
  </si>
  <si>
    <t>Содержание аппарата</t>
  </si>
  <si>
    <t>16119,6</t>
  </si>
  <si>
    <t>20091,1</t>
  </si>
  <si>
    <t xml:space="preserve">Обьем орошаемых земель 
</t>
  </si>
  <si>
    <t xml:space="preserve">Доля сброса нормативно очищенных вод к сброшенным сточным водам всего
</t>
  </si>
  <si>
    <t xml:space="preserve">Процент потери воды при транспортировке
</t>
  </si>
  <si>
    <t xml:space="preserve">Процент забора на производственные, хозяйственно-питьевые нужды, орошение и сельскохозяйственное водоснабжение и др
</t>
  </si>
  <si>
    <r>
      <t xml:space="preserve">Содержание и капитальный ремонт государственных ирригационных и мелиоративных  сооружений, за исключением насосных станций и скважин и  подача поливной воды
</t>
    </r>
    <r>
      <rPr>
        <b/>
        <sz val="11"/>
        <color theme="1"/>
        <rFont val="Calibri"/>
        <family val="2"/>
        <charset val="204"/>
        <scheme val="minor"/>
      </rPr>
      <t/>
    </r>
  </si>
  <si>
    <t>Повышение водобеспеченности земель</t>
  </si>
  <si>
    <t>Улучшение мелиоративного состояния земель</t>
  </si>
  <si>
    <t xml:space="preserve"> га</t>
  </si>
  <si>
    <t>Проведение капитальных и текущих ремонтов на крупные каналы протяженностью</t>
  </si>
  <si>
    <t>км</t>
  </si>
  <si>
    <t>Ремонт ГВС, ГТС, улучшение урегулирования объема подачи воды</t>
  </si>
  <si>
    <t>Ремонт ГП улучшения учета объема воды</t>
  </si>
  <si>
    <t>Очистка каналов</t>
  </si>
  <si>
    <t xml:space="preserve">  Восстановление ирригационных каналов</t>
  </si>
  <si>
    <t>Подача поливной воды на орошение</t>
  </si>
  <si>
    <t>млн.куб.м</t>
  </si>
  <si>
    <t>Площадь орошаемой пашни от подачи поливной воды</t>
  </si>
  <si>
    <t>4.1.5   Ремонт ГП улучшения учета объема воды</t>
  </si>
  <si>
    <t>4.1.3  Капитальный ремонт и замена насосных агрегатов</t>
  </si>
  <si>
    <t>м.куб.</t>
  </si>
  <si>
    <t xml:space="preserve">Реализация проекта «Улучшения сельскохозяйственной производительности и питания (Глобальный фонд по с/х и продовольственной безопасности)
</t>
  </si>
  <si>
    <t xml:space="preserve">Увеличение числа ассоциаций водопользователей (АВП) и обслуживание ими земель
</t>
  </si>
  <si>
    <t>кол-во ед/тыс. га</t>
  </si>
  <si>
    <t xml:space="preserve">Реализация Проекта «Управления национальными водными ресурсами, фаза 1» (Швейцарское бюро по развитию и сотрудничеству)
</t>
  </si>
  <si>
    <t>Водные ресурсы</t>
  </si>
  <si>
    <t xml:space="preserve">Развитие ирригационной сети Сарымсак в КР (ИБР)
</t>
  </si>
  <si>
    <t xml:space="preserve">Площадь новых орошаемых земель </t>
  </si>
  <si>
    <t>Повышение водобеспеченности земель Кара-Бууринском  районе Таласской области</t>
  </si>
  <si>
    <t xml:space="preserve">42. Государственное агентство водных ресурсов при Правительстве Кыргызской Республики </t>
  </si>
  <si>
    <t>Объем орошаемых земель</t>
  </si>
  <si>
    <t>тыс. га</t>
  </si>
  <si>
    <t>Площадь орошаемых земель по территории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</si>
  <si>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г.Ош-2,5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</si>
  <si>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г.Ош-2,6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</si>
  <si>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г.Ош-2,7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</si>
  <si>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г.Ош-2,8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</si>
  <si>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г.Ош-2,9</t>
  </si>
  <si>
    <t>Процент потери воды при транспортировке</t>
  </si>
  <si>
    <t>Процент забора на производственные, хозяйственно-питьевые нужды, орошение и сельскохозяйственное водоснабжение и др</t>
  </si>
  <si>
    <t>произ.-0,9%, хоз.питье.-2%, орош.-62%, с\х водснаб.-0,7%</t>
  </si>
  <si>
    <t>69</t>
  </si>
  <si>
    <t>70</t>
  </si>
  <si>
    <r>
      <t xml:space="preserve">Содержание и капитальный ремонт государственных водохозяйственных объектов
</t>
    </r>
    <r>
      <rPr>
        <b/>
        <sz val="11"/>
        <color theme="1"/>
        <rFont val="Calibri"/>
        <family val="2"/>
        <charset val="204"/>
        <scheme val="minor"/>
      </rPr>
      <t/>
    </r>
  </si>
  <si>
    <t>га</t>
  </si>
  <si>
    <t>Восстановление ирригационных каналов</t>
  </si>
  <si>
    <t>Капитальный ремонт и замена насосных агрегатов</t>
  </si>
  <si>
    <t>млн.куб.</t>
  </si>
  <si>
    <r>
      <rPr>
        <b/>
        <sz val="11"/>
        <rFont val="Times New Roman"/>
        <family val="1"/>
        <charset val="204"/>
      </rPr>
      <t>Устойчивое развитие водоснабжения и водоотведения</t>
    </r>
    <r>
      <rPr>
        <sz val="11"/>
        <rFont val="Times New Roman"/>
        <family val="1"/>
        <charset val="204"/>
      </rPr>
      <t xml:space="preserve">
</t>
    </r>
  </si>
  <si>
    <t>Создание условий для устойчивого развития питьевого водоснабжения и водоотведения населенных пунктов</t>
  </si>
  <si>
    <t>Государственная инвестиция</t>
  </si>
  <si>
    <t>Реализация проекта "Улучшение упраления национальными водными ресурсами"</t>
  </si>
  <si>
    <t>Увеличение числа ассоциаций водопользователей (АВП) и обслуживание ими земель</t>
  </si>
  <si>
    <t>Реализация проекта "Улучшение сельскохозяйственной производительности и питания"</t>
  </si>
  <si>
    <t>Реализация  проекта "Развитие ирригационной сети Сарымсак"</t>
  </si>
  <si>
    <t>Увеличение урожайности основных культур, увеличить доходы фермеров, повышение эффективности ирригационных каналов.</t>
  </si>
  <si>
    <t>Реализация проекта "Повышения устойчивости водных ресурсов к изминению климата к стихийным бедствиям"</t>
  </si>
  <si>
    <t>44. Министерство культуры, информации и туризма КР</t>
  </si>
  <si>
    <t xml:space="preserve">Поддержание внешних связей </t>
  </si>
  <si>
    <t>Количество проведеннных  совещаний и заседаний министров культуры</t>
  </si>
  <si>
    <t>Обеспечение связей с общественностью и контроля  документооборота</t>
  </si>
  <si>
    <t>Доля  своевременно рассмотренных обращений граждан к общему числу</t>
  </si>
  <si>
    <t>Доля своевременно исполненных поручений к общему числу</t>
  </si>
  <si>
    <t>Управление развития искусства</t>
  </si>
  <si>
    <t xml:space="preserve">Количество разработанных проектов НПА </t>
  </si>
  <si>
    <t xml:space="preserve">степень выполнения национальных и государственных программ  странового уровня </t>
  </si>
  <si>
    <t xml:space="preserve">Разработка проектов НПА по сохранению, охране и использованию ИКН </t>
  </si>
  <si>
    <t>Количество утвержденных проектов охранной зоны территории объектов историко-культурного наследия</t>
  </si>
  <si>
    <r>
      <t xml:space="preserve">Сохранение историко-культурного наследия           </t>
    </r>
    <r>
      <rPr>
        <i/>
        <sz val="11"/>
        <rFont val="Times New Roman"/>
        <family val="1"/>
        <charset val="204"/>
      </rPr>
      <t>Цель: выстраивать систему надежного сохранения, гарантированной охраны, рационального использования и общественной популяризации, а также международного продвижения культурного наследия</t>
    </r>
    <r>
      <rPr>
        <b/>
        <sz val="11"/>
        <rFont val="Times New Roman"/>
        <family val="1"/>
        <charset val="204"/>
      </rPr>
      <t xml:space="preserve">
</t>
    </r>
  </si>
  <si>
    <t>Индикатор результативности (целевой индикатор по Программе)</t>
  </si>
  <si>
    <t>Повышение доступности и качества услуг библиотек</t>
  </si>
  <si>
    <t>Количество посетителей библиотек</t>
  </si>
  <si>
    <t>Охват населения услугами библиотек (% посетителей библиотек от общей численности  жителей обслуживаемой территории)</t>
  </si>
  <si>
    <t>Количество произведений, переведенных на цифровые носители</t>
  </si>
  <si>
    <t>Повышение качества доступности услуг музеев</t>
  </si>
  <si>
    <t>Количество музейных экспонатов</t>
  </si>
  <si>
    <t>Количество посетителей музеев</t>
  </si>
  <si>
    <t>тыс чел</t>
  </si>
  <si>
    <t>Количество выставок  по изобразительному искусству</t>
  </si>
  <si>
    <t>Расширение  возможностей доступа к культурным  ценностям</t>
  </si>
  <si>
    <t>Количество проведенных мероприятий республиканского и регионального значения</t>
  </si>
  <si>
    <t>раз</t>
  </si>
  <si>
    <t>Создание условий по обеспечению сохранности и защите объектов историко-культурного наследия</t>
  </si>
  <si>
    <t>Количество отреставрированных памятников истории и культуры</t>
  </si>
  <si>
    <t>Количество обследованных и документированных объектов историко-культурного наследия</t>
  </si>
  <si>
    <t>Количество проведенных мероприятий  международного и республиканского значения</t>
  </si>
  <si>
    <r>
      <t xml:space="preserve">Профессиональное искусство                              </t>
    </r>
    <r>
      <rPr>
        <i/>
        <sz val="11"/>
        <rFont val="Times New Roman"/>
        <family val="1"/>
        <charset val="204"/>
      </rPr>
      <t xml:space="preserve">Цель: Создание  благоприятных условий для активного развития отечественного професиионального искусства и заинтересованного приобщения населения страны к ее произведениям            </t>
    </r>
    <r>
      <rPr>
        <b/>
        <sz val="11"/>
        <rFont val="Times New Roman"/>
        <family val="1"/>
        <charset val="204"/>
      </rPr>
      <t xml:space="preserve"> </t>
    </r>
  </si>
  <si>
    <t>Повышение качества  услуг театрально-зрелищных учреждений (ТЗУ) и приобщения населения  к профессиональному искусству</t>
  </si>
  <si>
    <t>Количество проведенных гастролей</t>
  </si>
  <si>
    <t>Количество новых постановок</t>
  </si>
  <si>
    <t>Количество зрителей  ТЗУ</t>
  </si>
  <si>
    <t>тыс/чел</t>
  </si>
  <si>
    <t>количество мастер классов для работников ТЗП</t>
  </si>
  <si>
    <t>Повышение творческой активности и потенциала творческих деятелей культуры</t>
  </si>
  <si>
    <r>
      <t xml:space="preserve">Образование в сфере культуры и искусства          </t>
    </r>
    <r>
      <rPr>
        <i/>
        <sz val="11"/>
        <rFont val="Times New Roman"/>
        <family val="1"/>
        <charset val="204"/>
      </rPr>
      <t>Цель: Ориентировать политику образования  и занятости кадров в сфере культуры в  сторону реальных потребнотсей учреждений искусства</t>
    </r>
  </si>
  <si>
    <t xml:space="preserve">Обеспечение условий для повышения качества образования в сфере культуры </t>
  </si>
  <si>
    <t>Количество выпускников</t>
  </si>
  <si>
    <t>Обеспечние отрасли профессиональными кадрами</t>
  </si>
  <si>
    <t>Доля выпускников от общего количества, продолжающих трудовую деятельность в сфере культуры</t>
  </si>
  <si>
    <t>Количество обучающихся  в образовательных учреждений</t>
  </si>
  <si>
    <t>Повышение уровня педагогической готовности детей к школе</t>
  </si>
  <si>
    <t>Количество педагогов, участвовавших в программах повышения квалификации</t>
  </si>
  <si>
    <r>
      <t xml:space="preserve">Сохранение, развитие и популяризация национальной кинематографии                           </t>
    </r>
    <r>
      <rPr>
        <i/>
        <sz val="11"/>
        <rFont val="Times New Roman"/>
        <family val="1"/>
        <charset val="204"/>
      </rPr>
      <t>Цель:  Обеспечение прогрессивной динамики роста потенциала и возможностей, а также зрительской популярности кыргызского кинематографа</t>
    </r>
  </si>
  <si>
    <t>Реализация государственной политики в сфере  кинематографии</t>
  </si>
  <si>
    <t>количество реализованных кинопроектов</t>
  </si>
  <si>
    <t>количество реализованных киномероприятий республиканского и международного значения</t>
  </si>
  <si>
    <t>Обеспечение условий для создания национальных фильмов</t>
  </si>
  <si>
    <t>количество выпущенных национальных фильмов</t>
  </si>
  <si>
    <t>Создание условий для доступа граждан к произведениям мирового и отечественного киноискусства</t>
  </si>
  <si>
    <t>Уровень посещаемости зрителей от общего  населения страны</t>
  </si>
  <si>
    <t>количество бесплатных сеансов для социально уязвимых слоев населения</t>
  </si>
  <si>
    <t>валовый сбор</t>
  </si>
  <si>
    <r>
      <t xml:space="preserve">Развитие туристической отрасли                         </t>
    </r>
    <r>
      <rPr>
        <i/>
        <sz val="11"/>
        <rFont val="Times New Roman"/>
        <family val="1"/>
        <charset val="204"/>
      </rPr>
      <t>Цель: Кыргызстан должен стать одним из региональных центров туризма в Центральной Азии</t>
    </r>
  </si>
  <si>
    <t>Разработка и реализация образовательных и маркетинговых мероприятий, способствующих пропаганде туризма</t>
  </si>
  <si>
    <t>количество прибывших из стран дальнего и ближнего зарубежья, попадающих под классификацию Всемирной Туристской Организации</t>
  </si>
  <si>
    <t>Пропаганда туристических возможностей Кыргызстана</t>
  </si>
  <si>
    <t>доля сферы туристической деятельности в ВВП</t>
  </si>
  <si>
    <t>экспорт туристических услуг (доходы от приема иностранных граждан)</t>
  </si>
  <si>
    <t>млн.долл.</t>
  </si>
  <si>
    <t>Инвестиции в основной капитал в сферу туризма</t>
  </si>
  <si>
    <t>007</t>
  </si>
  <si>
    <r>
      <t xml:space="preserve">Развитие  информационной среды                               </t>
    </r>
    <r>
      <rPr>
        <i/>
        <sz val="11"/>
        <rFont val="Times New Roman"/>
        <family val="1"/>
        <charset val="204"/>
      </rPr>
      <t>Цель: Сформировать государственную  информационную политику</t>
    </r>
  </si>
  <si>
    <t>Разработка и реализация государственной политики в сфере  информации</t>
  </si>
  <si>
    <t>Создание благоприятных условий для развития государственных региональных  СМИ</t>
  </si>
  <si>
    <t>Техническое оснащение медиа-центров, подготовка и переподготовка кадров государственных региональных СМИ</t>
  </si>
  <si>
    <t>Формирование Социального пакета телеканалов и его бесперебойное эфирное наземное цифровое и спутниковое вещание</t>
  </si>
  <si>
    <t>Количество телерадиоорганизаций Социального пакета телеканалов</t>
  </si>
  <si>
    <t>Примечание: расходы по Министерству культуры, информации и туризма в программном формате не включают расходы  Комитета по госпремиям им. Токтогула -1194,7 тыс. сом; Кыргызского национального информационного агентства "Кабар" - 21 946,5 ты.с сом,  и Кыргызского национального комплекса «Манас Ордо» на сумму 17157,6 тыс. сом, которые финансируются как самостоятельные бюджетные учреждения</t>
  </si>
  <si>
    <t>Комитет по  государственным премиям КР по имени Токтогула</t>
  </si>
  <si>
    <t>Отношение расходов на заработную плату по Программе 001 к сумме расходов на заработную плату по всему Комитету</t>
  </si>
  <si>
    <r>
      <rPr>
        <b/>
        <sz val="11"/>
        <rFont val="Times New Roman"/>
        <family val="1"/>
        <charset val="204"/>
      </rPr>
      <t xml:space="preserve">Предоставление государственных премий в области литературы, искусства и архитектуры          </t>
    </r>
    <r>
      <rPr>
        <sz val="11"/>
        <rFont val="Times New Roman"/>
        <family val="1"/>
        <charset val="204"/>
      </rPr>
      <t xml:space="preserve">                         </t>
    </r>
  </si>
  <si>
    <t>Вручение государственной премии Кыргызской Республики им. Токтогула в области литературы, искусства и архитектуры</t>
  </si>
  <si>
    <t>Количество участников, получивших государственную премию</t>
  </si>
  <si>
    <t>КНИА "Кабар"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</si>
  <si>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</si>
  <si>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009</t>
  </si>
  <si>
    <r>
      <t xml:space="preserve">Название программы-Информационные услуги
</t>
    </r>
    <r>
      <rPr>
        <i/>
        <sz val="11"/>
        <color indexed="8"/>
        <rFont val="Times New Roman"/>
        <family val="1"/>
        <charset val="204"/>
      </rPr>
      <t>Цель программы-Информационные услуги населению КР и зарубежной аудитории от официальных источников государственной власти</t>
    </r>
  </si>
  <si>
    <r>
      <rPr>
        <b/>
        <sz val="11"/>
        <color indexed="8"/>
        <rFont val="Times New Roman"/>
        <family val="1"/>
        <charset val="204"/>
      </rPr>
      <t xml:space="preserve">Индикатор результативности </t>
    </r>
    <r>
      <rPr>
        <sz val="11"/>
        <color indexed="8"/>
        <rFont val="Times New Roman"/>
        <family val="1"/>
        <charset val="204"/>
      </rPr>
      <t>(</t>
    </r>
    <r>
      <rPr>
        <i/>
        <sz val="11"/>
        <color indexed="8"/>
        <rFont val="Times New Roman"/>
        <family val="1"/>
        <charset val="204"/>
      </rPr>
      <t>целевой индикатор по Программе</t>
    </r>
    <r>
      <rPr>
        <sz val="11"/>
        <color indexed="8"/>
        <rFont val="Times New Roman"/>
        <family val="1"/>
        <charset val="204"/>
      </rPr>
      <t>) общее количество выпускаемых информаций агентством</t>
    </r>
  </si>
  <si>
    <t>Бесперебойная подготовка информации о жизни Кыргызстана и работе Президента КР</t>
  </si>
  <si>
    <t>Хронометраж созданных ежедневных информаций, выпускаемых каждым журналистом 9-12 информаций на кыргызском и русском языках</t>
  </si>
  <si>
    <t>инф</t>
  </si>
  <si>
    <t>Доведение информации о нашей стране до зарубежного читателя</t>
  </si>
  <si>
    <t>Перевод информаций и аналитических материалов на английский и турецкий языки</t>
  </si>
  <si>
    <t>Проведение анализа</t>
  </si>
  <si>
    <t>Хронометраж посещаемости сайта в среднем в год</t>
  </si>
  <si>
    <t>Кыргызский национальный комплекс "Манас Ордо"</t>
  </si>
  <si>
    <t>Укрепление национального самосознания, активного содействия развитию и взаимообогащению духовных, культурных ценностей и традиций, единства и межнационального согласия народов Кыргызской Республики, активизация пропоганды духовно-нравственного наследия эпоса "Манас"</t>
  </si>
  <si>
    <t>количество посетителей комплекса</t>
  </si>
  <si>
    <t>тыс.чел</t>
  </si>
  <si>
    <t>Организация экскурсионной, туристической, гостиничной деятельности, научно-просветительской и культурно-массовой работы на территории комплекса</t>
  </si>
  <si>
    <t>количество экспонатов</t>
  </si>
  <si>
    <t>количество экскурсий</t>
  </si>
  <si>
    <t>количество видов публикуемой информации (деловые папки, настенный календарь , блокнот, буклет, брошюры( на русском и на кыргызском языке), книги</t>
  </si>
  <si>
    <t>тыс.шт</t>
  </si>
  <si>
    <t>количество публикаций</t>
  </si>
  <si>
    <t>экз.</t>
  </si>
  <si>
    <t>45. Министерство чрезвычайных ситуаций Кыргызской Республики</t>
  </si>
  <si>
    <t>Соотношение фонда заработной платы по программе "Планирование, управление и администрирование" к фонду заработной платы всего министерства</t>
  </si>
  <si>
    <t xml:space="preserve">Процент исполнения бюджета без нарушений </t>
  </si>
  <si>
    <t xml:space="preserve">Отношение выигранных судебных дел к их общему количеству </t>
  </si>
  <si>
    <t>Количество положительных упоминаний мин/ва вед/ва в средствах массовой информации</t>
  </si>
  <si>
    <t>Кол-во</t>
  </si>
  <si>
    <t>Доля сотрудников служб обеспечения от общей численности сотрудников ЦА</t>
  </si>
  <si>
    <t>Обеспечение внутреннего мониторинга и контроля (служба внутреннего аудита)</t>
  </si>
  <si>
    <t>Обеспечение и координация деятельности Министерства по реализации единой государственной политики</t>
  </si>
  <si>
    <t>Процент исполнения и реализация программ</t>
  </si>
  <si>
    <r>
      <t xml:space="preserve">Прогнозирование опасных природных процессов и явлений 
</t>
    </r>
    <r>
      <rPr>
        <i/>
        <sz val="11"/>
        <rFont val="Times New Roman"/>
        <family val="1"/>
        <charset val="204"/>
      </rPr>
      <t>Цель программ: Совершенствование оценки риски и раннего предупреждения чрезвычайных ситуаций в Кыргызкой Республике</t>
    </r>
  </si>
  <si>
    <t>Оправдываемость прогноза</t>
  </si>
  <si>
    <t xml:space="preserve">Осуществление мониторинга и анализа опасных природных, техногенных процессов и явлений, выполнение научно-исследовательской работы на отдельных опасных участках </t>
  </si>
  <si>
    <t>Оправдываемость прогнозов по проведению мониторинга первоочередных, предупредительных работ</t>
  </si>
  <si>
    <t xml:space="preserve">Выпуск всех видов прогнозов и представление специализированной метеоролигической, агрометеорологической и гидрометеорологической информации </t>
  </si>
  <si>
    <t xml:space="preserve">Оправдываемость прогнозов опасных природных явлений и процессов </t>
  </si>
  <si>
    <t xml:space="preserve">Государственные инвестиции по сокращению риска стихийных бедствий </t>
  </si>
  <si>
    <t xml:space="preserve">Освоение </t>
  </si>
  <si>
    <r>
      <t xml:space="preserve">Предупреждение, проведение превентивных и защитных мероприятий от ЧС 
</t>
    </r>
    <r>
      <rPr>
        <i/>
        <sz val="11"/>
        <rFont val="Times New Roman"/>
        <family val="1"/>
        <charset val="204"/>
      </rPr>
      <t>Цель программы: Минимизация рисков и негативных последствий чрезвычайных ситуаций с помощью проведения плановых превентивных и защитных мероприятий.</t>
    </r>
  </si>
  <si>
    <t>Объем выполненных работ по предотвращению ЧС</t>
  </si>
  <si>
    <t>К-во завершенных объектов</t>
  </si>
  <si>
    <t>К-во защищенных дворов</t>
  </si>
  <si>
    <t>К-во защищенных сельхозугодий</t>
  </si>
  <si>
    <t>га.</t>
  </si>
  <si>
    <t>Проведение первоочередных  превентивных, аварийно-восстнановительных, защитных мероприятий; строительство и эксплуатация селезащитных инженерных сооружений.</t>
  </si>
  <si>
    <t xml:space="preserve">Объем выполненных работ </t>
  </si>
  <si>
    <t>Проведение комплексного мониторинга хвостохранилищ и горных отвалов бывшего уранодобывающего производства, предупредительных защитных аварийно-восстановительных и реабилитационных работ.</t>
  </si>
  <si>
    <r>
      <t xml:space="preserve">Организация и тушение пожаров, поисково-спасательные, аварийно-востановительные и другие неотложные работы, ликвидация последствий ЧС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Своевременное реагирование на чрезвычайные сиуации,  проведение поисковых, аварийно-спасательных работ по ликвидации последствий ЧС. </t>
    </r>
  </si>
  <si>
    <t>Кол-во спасенных людей при ЧС</t>
  </si>
  <si>
    <t>Снижение уровня смертности</t>
  </si>
  <si>
    <t>Снижения уровня материального ущерба, причиненного пожарами</t>
  </si>
  <si>
    <t xml:space="preserve">Проведение поисково-спасательных, аварийно-востановительных и других неотложных работ, ликвидация последствий ЧС,  организация тушения пожаров и связанных с ними спасательных работ. </t>
  </si>
  <si>
    <r>
      <t xml:space="preserve">Подготовка органов самоуправления, сил Гражданской защиты и населения к действиям в чрезвычайных ситуациях.                                            </t>
    </r>
    <r>
      <rPr>
        <i/>
        <sz val="11"/>
        <rFont val="Times New Roman"/>
        <family val="1"/>
        <charset val="204"/>
      </rPr>
      <t>Цель программы: Минимизация рисков и негативных последствий чрезвычайных ситуаций за счет повышения уровня осведомленности и подготовки органов управления, сил Гражданской защиты и населения.</t>
    </r>
  </si>
  <si>
    <t xml:space="preserve">Кол-во подготовленных специалистов </t>
  </si>
  <si>
    <t>Подготовка и переподготовка специалистов ГЗ, органов самоуправления и населения к действиям в ЧС</t>
  </si>
  <si>
    <t>Кол-во подготовленных специалистов по ГЗ</t>
  </si>
  <si>
    <t>Подготовка и переподготовка специалистов по водолазному делу, проведение подводно-технических, поисково-спасательных, научно-исследовательских и экспертных работ на всех водных объектах</t>
  </si>
  <si>
    <t>Кол-во подготовленных специалистов по водолазному делу</t>
  </si>
  <si>
    <t>46. Центрально-Азиатский институт прикладных исследований Земли</t>
  </si>
  <si>
    <t>Количество  разрешенных   трудовых споров</t>
  </si>
  <si>
    <t xml:space="preserve">Капитальный ремонт лабораторного корпуса </t>
  </si>
  <si>
    <t xml:space="preserve">Исследование опасных природных ресурсов, климата и водных ресурсов и геоэкологии и создание системы мониторинга
</t>
  </si>
  <si>
    <r>
      <rPr>
        <b/>
        <sz val="11"/>
        <color theme="1"/>
        <rFont val="Times New Roman"/>
        <family val="1"/>
        <charset val="204"/>
      </rPr>
      <t xml:space="preserve">Индикатор результативности </t>
    </r>
    <r>
      <rPr>
        <sz val="11"/>
        <color theme="1"/>
        <rFont val="Times New Roman"/>
        <family val="1"/>
        <charset val="204"/>
      </rPr>
      <t>(</t>
    </r>
    <r>
      <rPr>
        <i/>
        <sz val="11"/>
        <color indexed="8"/>
        <rFont val="Times New Roman"/>
        <family val="1"/>
        <charset val="204"/>
      </rPr>
      <t>целевой индикатор по Программе</t>
    </r>
    <r>
      <rPr>
        <sz val="11"/>
        <color indexed="8"/>
        <rFont val="Times New Roman"/>
        <family val="1"/>
        <charset val="204"/>
      </rPr>
      <t>)</t>
    </r>
  </si>
  <si>
    <t>Исследование геодинамических процессов и георисков в Кыргызстане и трансграничных регионах со странами Центрально-Азиатскими странами</t>
  </si>
  <si>
    <t>1  Данные публикации</t>
  </si>
  <si>
    <t>Публ.</t>
  </si>
  <si>
    <t>2  Данные мониторинга</t>
  </si>
  <si>
    <t>Реком.</t>
  </si>
  <si>
    <t>Изучение опорных ледников Кыргызстана  и бассейна озера Иссык-Куль</t>
  </si>
  <si>
    <t xml:space="preserve">3 Тренинги и семинары </t>
  </si>
  <si>
    <t>Конф.</t>
  </si>
  <si>
    <t>4  Расширение и модернизация  сети мониторинга(станции)</t>
  </si>
  <si>
    <t xml:space="preserve">Станция </t>
  </si>
  <si>
    <t>Разработка системы мониторинга и базы геоданных опасных природных процессов</t>
  </si>
  <si>
    <t>5-Пополнение базы данных в реальном времени</t>
  </si>
  <si>
    <t>БД</t>
  </si>
  <si>
    <t>Изучение рисков  стихийных бедствий и  методология социально -экономической оценки уязвимости и адаптации сельских обществ.</t>
  </si>
  <si>
    <t>47. Государственная налоговая служба</t>
  </si>
  <si>
    <r>
      <t xml:space="preserve">Планирование, управление и администрирование                                                </t>
    </r>
    <r>
      <rPr>
        <sz val="11"/>
        <color theme="1"/>
        <rFont val="Times New Roman"/>
        <family val="1"/>
        <charset val="204"/>
      </rPr>
      <t>Цели прог</t>
    </r>
    <r>
      <rPr>
        <i/>
        <sz val="11"/>
        <color theme="1"/>
        <rFont val="Times New Roman"/>
        <family val="1"/>
        <charset val="204"/>
      </rPr>
      <t>раммы: Координирующее и организационное воздействие на реализацию других программ</t>
    </r>
  </si>
  <si>
    <t>10,8</t>
  </si>
  <si>
    <t>11,6</t>
  </si>
  <si>
    <t xml:space="preserve">Управление  человеческими ресурсами </t>
  </si>
  <si>
    <t xml:space="preserve">Правовая поддержка </t>
  </si>
  <si>
    <t>ед./ед.</t>
  </si>
  <si>
    <t>74/80</t>
  </si>
  <si>
    <t>Организация детятельности и службы обеспечения</t>
  </si>
  <si>
    <t>не более 20</t>
  </si>
  <si>
    <t>Обеспечение полноты сбора налогов,неналоговых платежей и страховых взносов</t>
  </si>
  <si>
    <t>Темп прироста налоговых сборов</t>
  </si>
  <si>
    <t>Обеспечение полноты сбора налогов, неналоговых платежей и страховых взносов</t>
  </si>
  <si>
    <t>% выполнения плановых показателей сбора налогов</t>
  </si>
  <si>
    <t xml:space="preserve">Мероприятия, направленные на упрощение налогообложения  . </t>
  </si>
  <si>
    <t xml:space="preserve">Количество  налогоплательщиков сдающих отчетность в электронном виде: </t>
  </si>
  <si>
    <t>Проведение комплекса мероприятий по сокращению недоимки</t>
  </si>
  <si>
    <t>Доля недоимки в общем объеме налоговых поступлений</t>
  </si>
  <si>
    <t>Внедрение электронной системы  фискализации налоговых процедур</t>
  </si>
  <si>
    <t>Налоговая нагрузка (включая социальные отчисление),%</t>
  </si>
  <si>
    <t>Переход ко всеобщему декларированию доходов и проведение кампании по легализации доходов</t>
  </si>
  <si>
    <t>Вывод из тени незадекларированного имущества и доходов</t>
  </si>
  <si>
    <t>48. Государственная таможенная служба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</si>
  <si>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 xml:space="preserve">Цели программы:Организация и обеспечение деятельности </t>
    </r>
  </si>
  <si>
    <t xml:space="preserve">Обеспечение финансового менеджмента и учета </t>
  </si>
  <si>
    <t>Процент исполнения  расходной части бюджета без нарушений</t>
  </si>
  <si>
    <t xml:space="preserve">Управление человеческими ресурсами </t>
  </si>
  <si>
    <t xml:space="preserve">Поддержание внешних связей и связей с общественностью </t>
  </si>
  <si>
    <t xml:space="preserve">Организация деятельности и службы обеспечения </t>
  </si>
  <si>
    <t xml:space="preserve">Доля сотрудников служб обеспечения от общей численности сотрудников центрального аппарата и подведомственных органов </t>
  </si>
  <si>
    <t xml:space="preserve">Обеспечение мониторинга, анализа и стратегического планирования </t>
  </si>
  <si>
    <t xml:space="preserve">Мониторинг, анализ и стратегическое планирование деятельности развития таможенной службы </t>
  </si>
  <si>
    <r>
      <t xml:space="preserve">Фискальная программа 
</t>
    </r>
    <r>
      <rPr>
        <i/>
        <sz val="11"/>
        <rFont val="Times New Roman"/>
        <family val="1"/>
        <charset val="204"/>
      </rPr>
      <t xml:space="preserve">Цель программы.Таможенный контроль </t>
    </r>
  </si>
  <si>
    <r>
      <rPr>
        <b/>
        <sz val="12"/>
        <color theme="1"/>
        <rFont val="Times New Roman"/>
        <family val="1"/>
        <charset val="204"/>
      </rPr>
      <t xml:space="preserve">Индикатор результативности </t>
    </r>
    <r>
      <rPr>
        <sz val="12"/>
        <color theme="1"/>
        <rFont val="Times New Roman"/>
        <family val="1"/>
        <charset val="204"/>
      </rPr>
      <t>(</t>
    </r>
    <r>
      <rPr>
        <sz val="12"/>
        <color indexed="8"/>
        <rFont val="Times New Roman"/>
        <family val="1"/>
        <charset val="204"/>
      </rPr>
      <t>целевой индикатор по Программе)</t>
    </r>
  </si>
  <si>
    <t xml:space="preserve">Сбор таможенных платежей и осуществление таможенных процедур  </t>
  </si>
  <si>
    <t>Процент пополнения доходной части республиканского бюджета %</t>
  </si>
  <si>
    <t xml:space="preserve">Обустройство, оснащение пунктов пропуска </t>
  </si>
  <si>
    <t>Количество построенных/ реконструированных пунктов пропуска таможенных органов</t>
  </si>
  <si>
    <t>количество пунктов пропусков 18 из них:</t>
  </si>
  <si>
    <r>
      <t xml:space="preserve">Предупреждение и пересечение таможенных правонарушений   
</t>
    </r>
    <r>
      <rPr>
        <i/>
        <sz val="11"/>
        <color theme="1"/>
        <rFont val="Times New Roman"/>
        <family val="1"/>
        <charset val="204"/>
      </rPr>
      <t xml:space="preserve">Цель программы.Обеспечение соблюдения таможенных процедур </t>
    </r>
  </si>
  <si>
    <t xml:space="preserve">Выявление правонарушений </t>
  </si>
  <si>
    <t xml:space="preserve">Предупреждение и пересечение таможенных правонарушений </t>
  </si>
  <si>
    <t xml:space="preserve">Количество переданных материалов  в компетентные органы </t>
  </si>
  <si>
    <t xml:space="preserve">Количество дел об административных правонарушений </t>
  </si>
  <si>
    <t>49. Центральное правление "Кыргызское общество слепых и глухих"</t>
  </si>
  <si>
    <r>
      <t xml:space="preserve">Обеспечение равных прав и возможностей в обществе для инвалидов по зрению и слуху. </t>
    </r>
    <r>
      <rPr>
        <i/>
        <sz val="12"/>
        <color theme="1"/>
        <rFont val="Times New Roman"/>
        <family val="1"/>
        <charset val="204"/>
      </rPr>
      <t>Цель программы : Социальная реабилитация лиц с ограниченными возможностями здоровья</t>
    </r>
  </si>
  <si>
    <t>Обеспечение книжного фонда для инвалидов по зрению и слуху спецбиблиотеки КОС и КОГ, что позволяет их обучению и трудоустройству.</t>
  </si>
  <si>
    <t>Общий книжный фонд, в т.ч. обеспеченность спецбиблиотеки необходимой литературой по системе Брайля рельефно-точечным шрифтом.</t>
  </si>
  <si>
    <t>шт.         шт.</t>
  </si>
  <si>
    <t>23098     10346</t>
  </si>
  <si>
    <t>26400          10200</t>
  </si>
  <si>
    <t>26500           10300</t>
  </si>
  <si>
    <t>27000    10400</t>
  </si>
  <si>
    <t>27500         10500</t>
  </si>
  <si>
    <t>Содержание библиотеки</t>
  </si>
  <si>
    <t>Создание передвижных спецбиблиотек по Кыргызскому обществу слепых и глухих</t>
  </si>
  <si>
    <t xml:space="preserve">шт.        </t>
  </si>
  <si>
    <t>Посещение цифрового зала</t>
  </si>
  <si>
    <t xml:space="preserve"> Приобретение тифлосурдосредств инвалидам по зрению и слуху для реабилитации  и интеграции в здоровое общество</t>
  </si>
  <si>
    <t>Оцифровано и озвучено кыргизским синтезатором речи</t>
  </si>
  <si>
    <t xml:space="preserve">т.шт.        </t>
  </si>
  <si>
    <t>Студия звукозаписи создание  книжного фонда аудио книгами на СД и жестких дисках на кыргызском и русском языках</t>
  </si>
  <si>
    <t>Обеспеченность тифлосурдосредствами -тифлоплеерами инвалидов по зрению и слуху</t>
  </si>
  <si>
    <r>
      <rPr>
        <b/>
        <sz val="12"/>
        <color theme="1"/>
        <rFont val="Times New Roman"/>
        <family val="1"/>
        <charset val="204"/>
      </rPr>
      <t xml:space="preserve">Социальная защита работающих инвалидов по зрению и слуху.       </t>
    </r>
    <r>
      <rPr>
        <sz val="12"/>
        <color theme="1"/>
        <rFont val="Times New Roman"/>
        <family val="1"/>
        <charset val="204"/>
      </rPr>
      <t xml:space="preserve">                                     </t>
    </r>
    <r>
      <rPr>
        <i/>
        <sz val="12"/>
        <color theme="1"/>
        <rFont val="Times New Roman"/>
        <family val="1"/>
        <charset val="204"/>
      </rPr>
      <t>Цели программы : приобщение к труду, создание благоприятных условий</t>
    </r>
  </si>
  <si>
    <t xml:space="preserve"> Занятость инвалидов работой на учебно-производственных предприятиях Кыргызского общества слепых и глухих</t>
  </si>
  <si>
    <t>Рост объемов  производства на учебно-производственных предприятиях Кыргызского общества слепых и глухих к фактически выпущенной в 2018 году</t>
  </si>
  <si>
    <t>Возмещение налогов и сборов, НДС по Кыргызскому обществу слепых и глухих</t>
  </si>
  <si>
    <t>Рост среднемесячной оплаты труда инвалидов по зрению и слуху  к 2018 году</t>
  </si>
  <si>
    <t>Получение прибыли от производства в учебно-производственных предприятиях, организациях Кыргызского общества слепых и глухих</t>
  </si>
  <si>
    <t>Возмещение отчислений в Социальный фонд от работодателя (17,25%) по Кыргызскому обществу слепых и глухих</t>
  </si>
  <si>
    <t>50. Национальная комиссия по государственному языку при ПКР</t>
  </si>
  <si>
    <r>
      <rPr>
        <b/>
        <sz val="11"/>
        <color rgb="FF000000"/>
        <rFont val="Times New Roman"/>
        <family val="1"/>
        <charset val="204"/>
      </rPr>
      <t xml:space="preserve">Планирование, управление и администрирование                                                 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</si>
  <si>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54</t>
  </si>
  <si>
    <t xml:space="preserve">Создание и развитие Национального корпуса кыргызского языка </t>
  </si>
  <si>
    <t xml:space="preserve">Создание и развитие Национального корпуса кыргызского языка , формирование и развитие научного стиля кыргызского языка </t>
  </si>
  <si>
    <t>Цель программы стандартизация и совершенствование  технологий преподавния языков</t>
  </si>
  <si>
    <t>Издание учебно-методической литературы по изучению языка: кыргызский язык для русскоязычных групп, издание на конкурсной основе детской и юношеской литературы на госязыке, литература для детей 5-6 лет, книги "Кыргыз эл жомоктору"</t>
  </si>
  <si>
    <t>500 экз</t>
  </si>
  <si>
    <t>Издание печатной продукции "Словари народов мира"</t>
  </si>
  <si>
    <t>Издание печатной продукции "Художественные каталоги"</t>
  </si>
  <si>
    <t>Создание специальных программ, социальных рекламных роликов, направленных на повышение престижа языка</t>
  </si>
  <si>
    <t>согл программам передач</t>
  </si>
  <si>
    <t>Перевод на государственный язык новых образцов мировой литературы и их издание: произведения лауреатов Нобелевской премии, классическая литература Востока и Запада, лингвистический справочник кыргызского языка</t>
  </si>
  <si>
    <r>
      <t>Индикатор результативности (</t>
    </r>
    <r>
      <rPr>
        <sz val="11"/>
        <color indexed="8"/>
        <rFont val="Times New Roman"/>
        <family val="1"/>
        <charset val="204"/>
      </rPr>
      <t>целевой индикатор по Программе)</t>
    </r>
  </si>
  <si>
    <t>Издание словарей кыргызского языка</t>
  </si>
  <si>
    <r>
      <t>Индикатор результативности (</t>
    </r>
    <r>
      <rPr>
        <sz val="11"/>
        <color indexed="8"/>
        <rFont val="Times New Roman"/>
        <family val="1"/>
        <charset val="204"/>
      </rPr>
      <t>индикатор результатов по мере)</t>
    </r>
  </si>
  <si>
    <t>Издание переводных словарей</t>
  </si>
  <si>
    <t>Выпуск методических изданий по стилистическим нормам и реквизитам деловых бумаг на госязыке</t>
  </si>
  <si>
    <t>каждая по 500 экз</t>
  </si>
  <si>
    <t>010</t>
  </si>
  <si>
    <t>Перевод Интернет порталов и сайтов на госязык, применение Интернет-ресурсов для обучения</t>
  </si>
  <si>
    <t>011</t>
  </si>
  <si>
    <t>Создание веб-портала для электронной формы терминов и наукиазвание бюджетной меры</t>
  </si>
  <si>
    <t>1 вебпортал</t>
  </si>
  <si>
    <t>51. Государственное агенство по делам местного самоуправления и межэтнических отношений при ПКР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</si>
  <si>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</si>
  <si>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 xml:space="preserve">Поддержка внешних связей и связей с общественностью.           </t>
  </si>
  <si>
    <t xml:space="preserve">Развитие местного самоуправления, создание и укрепление межэтнического  согласия </t>
  </si>
  <si>
    <t xml:space="preserve">Развитие местного самоуправления в Кыргызской Республике </t>
  </si>
  <si>
    <t>Полнота реализации государственных программ в сфере местного самоуправления</t>
  </si>
  <si>
    <t xml:space="preserve">Межэтнические отношения </t>
  </si>
  <si>
    <t xml:space="preserve">Сокращение конфликтов в сфере межэтнических отношений </t>
  </si>
  <si>
    <t>52. Государственное агенство охраны окружающей среды и лесного хозяйства при ПКР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</si>
  <si>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Цели программы: координирование и формирование условий для эффективной работы ГАООСЛХ</t>
    </r>
  </si>
  <si>
    <t>Отношение расходов на заработную плату по  Программе 001 к сумме расходов на заработную плату по Центральному аппарату ГАООСЛХ</t>
  </si>
  <si>
    <t xml:space="preserve">Пропаганда бережного отношения к окружающей среде и рационального природопользования </t>
  </si>
  <si>
    <t xml:space="preserve">Количество мероприятий, акций, публикаций в СМИ по пропаганде бережного отношения к окружающей среде и рационального природопользования </t>
  </si>
  <si>
    <t>40</t>
  </si>
  <si>
    <t xml:space="preserve">Проведение мероприятий за счет средств РФОП </t>
  </si>
  <si>
    <t xml:space="preserve">количество одобренных проектов (с описанием при отчетности) </t>
  </si>
  <si>
    <r>
      <t xml:space="preserve">Обеспечение экологической безопасности
</t>
    </r>
    <r>
      <rPr>
        <i/>
        <sz val="11"/>
        <rFont val="Times New Roman"/>
        <family val="1"/>
        <charset val="204"/>
      </rPr>
      <t xml:space="preserve">Цель программы: предотвращение воздействия возможных негативных последствий от хозяйственной и иной деятельности на здоровье населения и окружающую среду, в том числе с учетом изменения климата. </t>
    </r>
  </si>
  <si>
    <t xml:space="preserve">Позиция Кыргызской Республики в рейтинге «Индекс экологической эффективности» </t>
  </si>
  <si>
    <t>Координация деятельности по экологической политике</t>
  </si>
  <si>
    <t xml:space="preserve">Количество заседаний межведомственных координационных механизмов в области охраны окружающей среды и изменения климата  </t>
  </si>
  <si>
    <t xml:space="preserve">Количество специализированных разделов по охране окружающей среды и/или снижению негативного воздействия на нее в принятых национальных и секторальных стратегических документах </t>
  </si>
  <si>
    <t>Проведение государственной экологической экспертизы и регулирование природопользования</t>
  </si>
  <si>
    <t>Количество выданных заключений к объектам, поступивших на  государственную экологическую экспертизу</t>
  </si>
  <si>
    <t>по мере поступления</t>
  </si>
  <si>
    <t>Количество положительных заключений, выданных по итогам проведения государственной экологической экспертизы</t>
  </si>
  <si>
    <t>по итогам экспертизы</t>
  </si>
  <si>
    <t xml:space="preserve">Количество отрицательных заключений, выданных по итогам проведения государственной экологической экспертизы </t>
  </si>
  <si>
    <t>Количество рассмотренных заявлений на выбросы загрязняющих атмосферу веществ от стационарных источников</t>
  </si>
  <si>
    <t>Количество рассмотренных заявлений на разрешение на сброс загрязненных сточных вод</t>
  </si>
  <si>
    <t xml:space="preserve">Количество  рассмотренных заявлений на разрешение на озоноразрушающие вещества </t>
  </si>
  <si>
    <t>Количество рассмотренных заявлений на утилизацию, хранение, захоронение, уничтожение отходов токсич.матер.и веществ, в том числе радиоактивных</t>
  </si>
  <si>
    <t>Развитие системы мониторинга за состоянием окружающей среды</t>
  </si>
  <si>
    <t xml:space="preserve">Количество  отобранных проб на качество компонентов окружающей среды  </t>
  </si>
  <si>
    <t xml:space="preserve">Количество  проведенных лабораторных  исследований  </t>
  </si>
  <si>
    <t xml:space="preserve">Количество проведенных комиссионных обследований участков </t>
  </si>
  <si>
    <t>Количество точек наблюдения за загрязнением прибрежных вод на оз. Иссык-Куль</t>
  </si>
  <si>
    <t>Количество индикаторов, отслеживаемых в информационной системе "Кереге"</t>
  </si>
  <si>
    <t xml:space="preserve">Координация деятельности по радиационной, биологической и химической безопасности. </t>
  </si>
  <si>
    <t>Количество сниженных рисков для окружающей среды и здоровья населения от стойких органических загрязнителей  - могильников устаревших пестицидов</t>
  </si>
  <si>
    <t>Количество сниженных рисков для окружающей среды и здоровья населения от стойких органических загрязнителей - складов устаревших пестицидов</t>
  </si>
  <si>
    <t xml:space="preserve">Количество сниженных рисков для окружающей среды и здоровья населения от радиоактивных хвостохранилищ и источников ионизирующего излучения </t>
  </si>
  <si>
    <t xml:space="preserve">Управление отходами производства и потребления. </t>
  </si>
  <si>
    <t>Обеспеченность контейнерами для твердых бытовых отходов, % от потребности</t>
  </si>
  <si>
    <t>Обеспеченность спецтехникой для вывоза твердых бытовых отходов, % от потребности</t>
  </si>
  <si>
    <t>Количество очищенного мусора</t>
  </si>
  <si>
    <t xml:space="preserve">куб.м </t>
  </si>
  <si>
    <t>Обеспеченность пылеулавливателями , % от потребности</t>
  </si>
  <si>
    <t xml:space="preserve">шт. </t>
  </si>
  <si>
    <t xml:space="preserve">Количество одобренных проектов (с описанием при отчетности) </t>
  </si>
  <si>
    <r>
      <t xml:space="preserve">Развитие лесных экосистем                                     </t>
    </r>
    <r>
      <rPr>
        <i/>
        <sz val="11"/>
        <rFont val="Times New Roman"/>
        <family val="1"/>
        <charset val="204"/>
      </rPr>
      <t>Цель программы: сохранение лесных экосистем, увеличение лесов и рациональное лесопользование.</t>
    </r>
  </si>
  <si>
    <t xml:space="preserve">Покрытая лесом площадь государственного лесного фонда </t>
  </si>
  <si>
    <t>Охрана лесов от лесонарушений и пожара</t>
  </si>
  <si>
    <t>Площадь государственного лесного фонда, подлежащий к охране от лесонарушений и пожаров</t>
  </si>
  <si>
    <t>Отношение количества во время потушенных лесных пожаров к общему количеству пожаров</t>
  </si>
  <si>
    <t>Защита лесов от вредителей и болезней</t>
  </si>
  <si>
    <t xml:space="preserve">Отношение площади обработанных против вредителей лесов к общей площади зараженных вредителями лесов </t>
  </si>
  <si>
    <t>Воспроизводство лесных ресурсов</t>
  </si>
  <si>
    <t>Приживаемость лесных культур, %</t>
  </si>
  <si>
    <t>Площадь ежегодной посадки лесных культур на землях государственного лесного фонда</t>
  </si>
  <si>
    <t>Количество выращенных посадочных материалов</t>
  </si>
  <si>
    <t>Сохранение и повышение продуктивности лесов</t>
  </si>
  <si>
    <t>Площадь, пройденная рубками ухода</t>
  </si>
  <si>
    <t>Организация лесопользования</t>
  </si>
  <si>
    <t>Количество лесопользователей, сдающих государственную статистическую отчетность в НСК</t>
  </si>
  <si>
    <t>тыс. человек</t>
  </si>
  <si>
    <t xml:space="preserve">Численность населения, получающая доход от леса  </t>
  </si>
  <si>
    <t>Координация и организация ведения лесного хозяйства</t>
  </si>
  <si>
    <t xml:space="preserve">Доля сотрудников руководства, бухгалтерии, кадров, ТОП и МОП от общей численности сотрудников Департамента лесных хозяйств </t>
  </si>
  <si>
    <t>Организация ведения лесного хозяйства на региональном уровне</t>
  </si>
  <si>
    <t xml:space="preserve">Доля сотрудников руководства, бухгалтерии,ТОП и МОП лесных хозяйств от общей численности сотрудников лесных хозяйств </t>
  </si>
  <si>
    <r>
      <t xml:space="preserve">Учет лесных, охотничьих ресурсов, планирование ведения лесного хозяйства и охотхозяйственной деятельности  
</t>
    </r>
    <r>
      <rPr>
        <i/>
        <sz val="11"/>
        <rFont val="Times New Roman"/>
        <family val="1"/>
        <charset val="204"/>
      </rPr>
      <t>Цель программы: обеспечение актуальной информацией, о качественной и количественной характеристике лесных ресурсов, охотничьих угодий,  оценка, прогнозирование, планирование и учет</t>
    </r>
  </si>
  <si>
    <t>Охват базами данных по инвентаризации леса, по планированию лесохозяйственных мероприятий, по учету диких животных, по типологии и бонитировке, цифровые модели картографических материалов, лесоустроительные проекты, стратегический план охотхозяйственной деятельности, проекты межхозяйственного охотустройства, %</t>
  </si>
  <si>
    <t>Управление и организация лесоохотустроительных работ</t>
  </si>
  <si>
    <t>Доля сотрудников руководства, бухгалтерии, кадров, ТОП и МОП от общей численности сотрудников ГУ "Лесохотустройство"</t>
  </si>
  <si>
    <t>Проведение инвентаризации лесов</t>
  </si>
  <si>
    <t>Площадь, пройденная Национальной инвентаризацией лесов</t>
  </si>
  <si>
    <t>Проведение лесоустройства</t>
  </si>
  <si>
    <t>Площадь, пройденная лесоустройством</t>
  </si>
  <si>
    <t>Оценка выделов</t>
  </si>
  <si>
    <t>Количество пробных площадей инвентаризации лесов</t>
  </si>
  <si>
    <t>Лесоустроительные проекты</t>
  </si>
  <si>
    <t>Проведение охотустройства</t>
  </si>
  <si>
    <t>Площадь, пройденная межхозяйственным охотустройством</t>
  </si>
  <si>
    <t>Наблюдательные пункты учета диких животных</t>
  </si>
  <si>
    <t>Длина пройденных маршрутов по учету диких животных</t>
  </si>
  <si>
    <t>км.</t>
  </si>
  <si>
    <t xml:space="preserve">Проекты межхозяйственного охотустройства </t>
  </si>
  <si>
    <t xml:space="preserve"> Проведение камеральных работ</t>
  </si>
  <si>
    <t>Камеральные работы (цифрование)</t>
  </si>
  <si>
    <t xml:space="preserve">Ввод карточки, оценка выделов и инвентаризация лесов </t>
  </si>
  <si>
    <t>Выпуск таксационных описаний</t>
  </si>
  <si>
    <t>Выпуск картографических материалов</t>
  </si>
  <si>
    <r>
      <t xml:space="preserve">Сохранение биоразнообразия  
</t>
    </r>
    <r>
      <rPr>
        <i/>
        <sz val="11"/>
        <rFont val="Times New Roman"/>
        <family val="1"/>
        <charset val="204"/>
      </rPr>
      <t>Цель программы: Сохранение и улучшение биоразнообразия, в т.ч. восстановление численности популяций редких и исчезающих видов животного и растительного мира; устойчивое использование биоразнообразия Кыргызской Республики.</t>
    </r>
  </si>
  <si>
    <t xml:space="preserve">Число охраняемых видов зверей (позвоночных и беспозвоночных), занесенных в Красную книгу </t>
  </si>
  <si>
    <t xml:space="preserve">Число охраняемых видов птиц, занесенных в Красную книгу </t>
  </si>
  <si>
    <t>Число охраняемых видов растений и грибов, занесенных в Красную книгу</t>
  </si>
  <si>
    <t xml:space="preserve">Координация деятельности ООПТ и пропаганда вопросов по сохранению экосистем  </t>
  </si>
  <si>
    <t xml:space="preserve">Количество ООПТ, на которых внедрена международная оценка эффективности управления </t>
  </si>
  <si>
    <t xml:space="preserve">Доля особо охраняемых природных территорий к общей площади страны </t>
  </si>
  <si>
    <t xml:space="preserve">%  </t>
  </si>
  <si>
    <t>Площадь природных национальных парков и заповедников</t>
  </si>
  <si>
    <t>Количество разработанных экологических троп в ООПТ</t>
  </si>
  <si>
    <t>Количество информационных центров в ООПТ</t>
  </si>
  <si>
    <t xml:space="preserve">Количество проведенных мероприятий по пропаганде вопросов сохранения биоразнообразия </t>
  </si>
  <si>
    <t xml:space="preserve">Мероприятия по сохранению биоразнообразия на территории ООПТ  </t>
  </si>
  <si>
    <t>Количество устроенных солонцов для охотничьих животных в ООПТ</t>
  </si>
  <si>
    <t>Количество очищенных родников на территории охотничьих хозяйств в ООПТ</t>
  </si>
  <si>
    <t>Количество пожаров</t>
  </si>
  <si>
    <t xml:space="preserve">Отношение площади деградированных экосистем к общей площади ООПТ (заповедники и нацпарки) </t>
  </si>
  <si>
    <t>Отношение раскрытых нарушений на территории ООПТ (браконьерство, лесонарушения, незаконная пастьба скота, нарушения режима ООПТ и др.) к количеству случаев</t>
  </si>
  <si>
    <t xml:space="preserve">Проведение научно-исследовательских работ в ООПТ </t>
  </si>
  <si>
    <t xml:space="preserve">Количество проведенных научных работ  </t>
  </si>
  <si>
    <t>Ведение мониторинга, учёта и кадастра объектов животного мира и национальной базы данных диких животных</t>
  </si>
  <si>
    <t xml:space="preserve">Количество  охотничьих видов/подвидов диких животных, охватываемых учетом  </t>
  </si>
  <si>
    <t xml:space="preserve">Количество  видов/подвидов диких животных, занесенных в Красную книгу КР, охватываемых учетом  </t>
  </si>
  <si>
    <t>Количество мониторинговых площадок</t>
  </si>
  <si>
    <t xml:space="preserve">Количество  видов/подвидов диких животных, сведения о которых занесены в базу данных диких животных Кыргызстана  </t>
  </si>
  <si>
    <t>Поддержание, сохранение и воспроизводство объектов животного мира</t>
  </si>
  <si>
    <t xml:space="preserve">Количество добытых "вредных" животных </t>
  </si>
  <si>
    <t xml:space="preserve">Количество устроенных солонцов для охотничьих животных </t>
  </si>
  <si>
    <t xml:space="preserve">Количество очищенных родников на территории охотничьих хозяйств </t>
  </si>
  <si>
    <t xml:space="preserve">Количество мероприятий по выявлению и предотвращению распространения заболеваний диких животных </t>
  </si>
  <si>
    <t>Охрана природных ресурсов животного и растительного мира и среду их обитания/произрастания, координация и контроль использования</t>
  </si>
  <si>
    <t>Количество установленных информационных  аншлагов и панно за год/всего</t>
  </si>
  <si>
    <t>18/52</t>
  </si>
  <si>
    <t>18/70</t>
  </si>
  <si>
    <t>20/90</t>
  </si>
  <si>
    <t>20/91</t>
  </si>
  <si>
    <t>Отношение раскрытых нарушений правил охоты и случаев браконьерства к количеству случаев</t>
  </si>
  <si>
    <t>Отношение  взысканных сумм к предъявленным на возмещение причиненного ущерба</t>
  </si>
  <si>
    <t>Количество рассмотренных заявок на предоставление права ведения охотхозяйственной деятельности</t>
  </si>
  <si>
    <t>Количество местных сообществ, вовлеченных в совместную охрану ресурсов животного мира</t>
  </si>
  <si>
    <t>Координация деятельности охотпользователей</t>
  </si>
  <si>
    <t>кол-во охотпользователей</t>
  </si>
  <si>
    <t>Количество выданных государственных охотничьих удостоверений</t>
  </si>
  <si>
    <t>53. Государственная регистрационная служба при ПКР</t>
  </si>
  <si>
    <t>Процент исполнения бюджета</t>
  </si>
  <si>
    <t>11/33 (из них 22 в процессе)</t>
  </si>
  <si>
    <t>Количество информационных сообщений о деятельности Службы</t>
  </si>
  <si>
    <t>Реализация стратегии развития ГРС при ПКР</t>
  </si>
  <si>
    <t>Регистрация населения и актов гражданского состояния</t>
  </si>
  <si>
    <t>Индикатор результативности</t>
  </si>
  <si>
    <t>Регистрация населения</t>
  </si>
  <si>
    <t>Кол-во персонифицированных паспортов</t>
  </si>
  <si>
    <t>тыс. шт.</t>
  </si>
  <si>
    <t>Регистрация актов гражданского состояния</t>
  </si>
  <si>
    <t>Количество зарегистрированных актов гражданского состояния</t>
  </si>
  <si>
    <t>Регистрация транспортных средств и водительского состава</t>
  </si>
  <si>
    <t>Регистрация транспортных средств</t>
  </si>
  <si>
    <t>Зарегистрировано транспортных средств</t>
  </si>
  <si>
    <t>Регистрация водительского состава</t>
  </si>
  <si>
    <t>Выдано водительских удостоверений</t>
  </si>
  <si>
    <t>Регистрация прав на недвижимое имущество</t>
  </si>
  <si>
    <t>Сокращение  количества  жалоб от населения</t>
  </si>
  <si>
    <t>%  вып.</t>
  </si>
  <si>
    <t>Обеспечение сохранности документов архивного фонда КР</t>
  </si>
  <si>
    <t>Формирование, комплектование, сохранение и использование Национального архивного фонда КР в интересах государства и общества</t>
  </si>
  <si>
    <t>ед. хранения</t>
  </si>
  <si>
    <t>Повышение качества и безопасности при хранении архивных документов</t>
  </si>
  <si>
    <t>Позволит обеспечить нормативы и стандарты физического сохранения архивных документов на постоянное хранение</t>
  </si>
  <si>
    <t>кол. коробок</t>
  </si>
  <si>
    <t>Оцифровка архивных документов</t>
  </si>
  <si>
    <t>Создание страхового фонда архивных документов (цифровая копия архивных документов); создание фонда пользования архивных документов в целях неиспользования оригиналов документов, оперативный поиск архивных документов</t>
  </si>
  <si>
    <t>Программа по выявлению и сбору документов и материалов о кыргызах и Кыргызстане в архивах, музеях и библиотеках зарубежных стран на 2015-2025 годы</t>
  </si>
  <si>
    <t>Пополнение архивного фонда ценными историческими документами</t>
  </si>
  <si>
    <t>листы/ед. хранения</t>
  </si>
  <si>
    <t>1424/585</t>
  </si>
  <si>
    <t>1424/586</t>
  </si>
  <si>
    <t>1424/587</t>
  </si>
  <si>
    <t>1424/588</t>
  </si>
  <si>
    <t>1424/589</t>
  </si>
  <si>
    <t>Исследование документальной истории кыргызов и Кыргызстана в зарубежных архивах</t>
  </si>
  <si>
    <t>Расширение научно-исследовательской работы</t>
  </si>
  <si>
    <t>кол. дней</t>
  </si>
  <si>
    <t>Копирование и доставка в Кыргызскую Республику документов, имеющих историческое наследие</t>
  </si>
  <si>
    <t>Формирование архивного фонда на осн. документов, полученных из зарубежных архивов</t>
  </si>
  <si>
    <t xml:space="preserve">54. Государственная инспекция по экологической и технической безопасности при ПКР </t>
  </si>
  <si>
    <t>001/002</t>
  </si>
  <si>
    <r>
      <t xml:space="preserve">Планирование, управление и администрирование/ Координирование и формирование условий для эффективной работы ГИЭТБ                                               </t>
    </r>
    <r>
      <rPr>
        <i/>
        <sz val="11"/>
        <color indexed="8"/>
        <rFont val="Times New Roman"/>
        <family val="1"/>
        <charset val="204"/>
      </rPr>
      <t xml:space="preserve">Цель программы: координирование и формирование условий для эффективной работы ГИЭТБ. </t>
    </r>
  </si>
  <si>
    <t xml:space="preserve">Доля инспекторов, прошедших в течение последних 3 лет программы переобучения или повышения квалификации </t>
  </si>
  <si>
    <t>Количество НПА разработанных ГИЭТБ</t>
  </si>
  <si>
    <t>120/440</t>
  </si>
  <si>
    <t>110/410</t>
  </si>
  <si>
    <t>130/450</t>
  </si>
  <si>
    <t>150/450</t>
  </si>
  <si>
    <t>200/450</t>
  </si>
  <si>
    <t>Внутренний контроль и устранение коррупционных проявлений</t>
  </si>
  <si>
    <t xml:space="preserve">Восприятие общественности к уровню коррупции </t>
  </si>
  <si>
    <t xml:space="preserve">Количество показанных видеороликов по работе ГИЭТБ </t>
  </si>
  <si>
    <t>Доля профилактических мероприятий в общем объеме контрольно-надзорной деятельности</t>
  </si>
  <si>
    <t xml:space="preserve">Количество проведенных семинаров, конференций, разъяснительной работы в средствах массовой информации, горячих линий и подобных мероприятий </t>
  </si>
  <si>
    <t xml:space="preserve">Количество привлеченных грантов </t>
  </si>
  <si>
    <t xml:space="preserve">Доля сотрудников служб обеспечения от общей численности сотрудников центрального аппарата и региональных управлений </t>
  </si>
  <si>
    <t>1)степень достижения результатов, установленных в Плане действий ПКР по реализации Программы ПКР, утвержденной ЖК КР на текущий год (могут применяться весовые значения результатов);                                                                           2) степень достижения результатов в личном плане руководителя;                                           3)индекс доверия населения;                                                                                                                                    4)уровень исполнительской дисциплины.</t>
  </si>
  <si>
    <r>
      <t xml:space="preserve">Мониторинг и контроль экологической безопасности                                   
</t>
    </r>
    <r>
      <rPr>
        <i/>
        <sz val="11"/>
        <rFont val="Times New Roman"/>
        <family val="1"/>
        <charset val="204"/>
      </rPr>
      <t xml:space="preserve">Цель программы: Высший уровень экологической безопасности в Кыргызской Республике </t>
    </r>
  </si>
  <si>
    <t xml:space="preserve">Позиция Кыргызской Республики в рейтинге Индекса экологической эффективности </t>
  </si>
  <si>
    <t>Государственный контроль охраны окружающей среды, рационального использования природных ресурсов, использования и охраны биоресурсов, химической безопасности.</t>
  </si>
  <si>
    <t xml:space="preserve">Количество выявленных правонарушений, связанных с охраной биоразнообразия </t>
  </si>
  <si>
    <t>Общее количество проверок</t>
  </si>
  <si>
    <t xml:space="preserve">Охват объектов,  подлежащих контролю и надзору, проверками  </t>
  </si>
  <si>
    <t>Количество выявленных при проведении проверок нарушений, связанных с неисполнением предписаний</t>
  </si>
  <si>
    <t>Доля несанкционированных свалок по отношению к общему количеству свалок,</t>
  </si>
  <si>
    <t>Доля пансионатов на Иссык-Куле с очистными сооружениями по отношению к общему количеству пансионатов</t>
  </si>
  <si>
    <t>Удельный вес количества взысканных штрафов от числа наложенных (с учетом не взысканных переходящих остатков)</t>
  </si>
  <si>
    <t>Удельный вес суммы взысканных штрафов от числа наложенных (с учетом не взысканных переходящих остатков)</t>
  </si>
  <si>
    <t xml:space="preserve">Осуществление надзора и контроля за использованием водных ресурсов и объектов </t>
  </si>
  <si>
    <t>Количество выявленных нарушений в процессе контроля и надзора за водными ресурсами и объектами</t>
  </si>
  <si>
    <t>Удельный вес суммы, взысканных штрафов от числа наложенных (с учетом не взысканных переходящих остатков)</t>
  </si>
  <si>
    <t xml:space="preserve">Осуществление надзора, контроля и охрана земель </t>
  </si>
  <si>
    <t>Доля площади земель выведенных из сельхозоборота по причине деградации по отношению к общему объему нарушенных земель</t>
  </si>
  <si>
    <t xml:space="preserve">Объем рекультивированных земель по отношению к общей площади земель подлежащих рекультивации </t>
  </si>
  <si>
    <t>Доля выявленных при проведении проверок нарушений, связанных с неисполнением предписаний</t>
  </si>
  <si>
    <t>Удельный вес количества взысканных штрафов от числа наложенных ( с учетом не взысканных переходящих остатков)</t>
  </si>
  <si>
    <t xml:space="preserve">Осуществление надзора и контроля за радиоактивными и ядерными материалами и объектами </t>
  </si>
  <si>
    <t xml:space="preserve">Охват объектов,  подлежащих контролю и надзору, проверке </t>
  </si>
  <si>
    <r>
      <t xml:space="preserve">Мониторинг и контроль технической безопасности                                     
</t>
    </r>
    <r>
      <rPr>
        <i/>
        <sz val="11"/>
        <rFont val="Times New Roman"/>
        <family val="1"/>
        <charset val="204"/>
      </rPr>
      <t>Цель программы: Высший уровень технической безопасности в Кыргызской Республике</t>
    </r>
  </si>
  <si>
    <t xml:space="preserve">Общее количество смертельных случаев, по контролируемым видам рисков </t>
  </si>
  <si>
    <t>снижение на 1%</t>
  </si>
  <si>
    <t>Охрана труда и трудовых отношений</t>
  </si>
  <si>
    <t xml:space="preserve">Общее количество пострадавших и травмированных случаев, по контролируемым видам рисков </t>
  </si>
  <si>
    <t>Общее количество проведенных проверок</t>
  </si>
  <si>
    <t>Среднесписочная численность работающих (тыс.чел)</t>
  </si>
  <si>
    <t>Коэффициент частоты травматизма (отношение количества пострадавщих за год к среднесписочной численности работающих в расчете на 1000 работающих)</t>
  </si>
  <si>
    <t>Коэффициент частоты травматизма со смертельным исходом (отношение количества погибщих за год к среднесписочной численности работающих в 1000 работающих)</t>
  </si>
  <si>
    <t xml:space="preserve">Обеспеченность работающих граждан средствами индивидуальной защиты на проверенных объектах </t>
  </si>
  <si>
    <t>увеличение на 2%</t>
  </si>
  <si>
    <t>Обеспеченность работающих граждан трудовыми договарами на проверенных объектах</t>
  </si>
  <si>
    <t>Удельный вес количества взысканных штрафов от числа наложенных ( с учетом не взысканных переходящих остатко)</t>
  </si>
  <si>
    <t> Обеспечение промышленной безопасности</t>
  </si>
  <si>
    <t>Количество несчастных случаев произошедших  на промышленных объектах</t>
  </si>
  <si>
    <t>Количество нарушений, выявленных на промышленных объектах</t>
  </si>
  <si>
    <t xml:space="preserve">Количество объектов,  подлежащих контролю и надзору, проверками  </t>
  </si>
  <si>
    <t xml:space="preserve">Осуществление горного надзора </t>
  </si>
  <si>
    <t>Охват объектов,  подлежащих контролю и надзору, проверкам</t>
  </si>
  <si>
    <t>Количество несчастных случаев, связанных с нарушениями в сфере горного надзора</t>
  </si>
  <si>
    <t xml:space="preserve">Количество нарушений, связанных с нарушениями правил эксплуатации производственных объектов </t>
  </si>
  <si>
    <t>Рациональное использование недр</t>
  </si>
  <si>
    <t xml:space="preserve">Охват объектов,  подлежащих контролю и надзору, проверкам </t>
  </si>
  <si>
    <t xml:space="preserve">Количество отклонений проводимых работ от проекта  </t>
  </si>
  <si>
    <t xml:space="preserve">Количество инцидентов, связанных с нарушениями лицензионных соглашений </t>
  </si>
  <si>
    <t>Обеспечение качества и надежности строящихся и реконструируемых зданий и сооружений</t>
  </si>
  <si>
    <t>Доля самовольно строящихся объектов от общего числа строящихся объектов</t>
  </si>
  <si>
    <t xml:space="preserve">Доля своевременно устраненных нарушений в процессе строительства у ранее выявленным нарушениям при проведении проверок в процессе строительства(качество строительства) </t>
  </si>
  <si>
    <t>Расследование технологических нарушений в энергосистеме и несчастных случаев электротравматизма</t>
  </si>
  <si>
    <t>Общее количество выявленных нарушений при  проверке (при проведении в 2018году пообъектной проверки)</t>
  </si>
  <si>
    <t xml:space="preserve">Количество устраненных нарушений, при проведении контрольных проверок </t>
  </si>
  <si>
    <t>Количество инцидентов, связанных с нарушениями технологий и норм (аварийные отключения)</t>
  </si>
  <si>
    <t>Осуществление надзора и контроля за исполнением требований, норм и правил пожарной безопасности</t>
  </si>
  <si>
    <t>Количество инцидентов, связанных с нарушениями технологий и норм (снижение)</t>
  </si>
  <si>
    <t>Осуществление контроля и надзора в сфере транспортной безопасности</t>
  </si>
  <si>
    <t>Доля охвата инвентаризацией всех объектов подлежащих надзору</t>
  </si>
  <si>
    <t xml:space="preserve">Защита интересов государства и граждан от последствий недостоверных результатов измерений </t>
  </si>
  <si>
    <t xml:space="preserve">Количество нарушений требований Закона КР "ОЕИ" (обеспечение единства измерений)
</t>
  </si>
  <si>
    <t>55. Государственный комитет промышленности, энергетики и недропользования Кыргызской Республики</t>
  </si>
  <si>
    <r>
      <rPr>
        <b/>
        <sz val="10"/>
        <color theme="1"/>
        <rFont val="Times New Roman"/>
        <family val="1"/>
        <charset val="204"/>
      </rPr>
      <t xml:space="preserve">Государственная политика     </t>
    </r>
    <r>
      <rPr>
        <sz val="11"/>
        <color theme="1"/>
        <rFont val="Times New Roman"/>
        <family val="1"/>
        <charset val="204"/>
      </rPr>
      <t xml:space="preserve">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Цель программы: Разработка и реализация эффективной государственной политики в области промышленности, топливно-энергетического комплекса и недропользования                      </t>
    </r>
    <r>
      <rPr>
        <sz val="11"/>
        <color theme="1"/>
        <rFont val="Times New Roman"/>
        <family val="1"/>
        <charset val="204"/>
      </rPr>
      <t xml:space="preserve">              </t>
    </r>
  </si>
  <si>
    <t>Оценка деятельности комитета</t>
  </si>
  <si>
    <t>сумма балла</t>
  </si>
  <si>
    <t>Индекс доверия</t>
  </si>
  <si>
    <t>коэф</t>
  </si>
  <si>
    <t xml:space="preserve">Мониторинг, анализ и реализация политики </t>
  </si>
  <si>
    <t xml:space="preserve">Разработка и вступление в силу стратегии развития отрасли </t>
  </si>
  <si>
    <t xml:space="preserve">Принятые НПА и стандарты по регулированию энергетики и недропользования </t>
  </si>
  <si>
    <t xml:space="preserve">Организация деятельности службы обеспечения </t>
  </si>
  <si>
    <t xml:space="preserve">степень выполнения отраслевых программ </t>
  </si>
  <si>
    <r>
      <rPr>
        <b/>
        <sz val="11"/>
        <color theme="1"/>
        <rFont val="Times New Roman"/>
        <family val="1"/>
        <charset val="204"/>
      </rPr>
      <t xml:space="preserve">Государственный заказ  по недропользованию/Управление природными ресурсами                                                    </t>
    </r>
    <r>
      <rPr>
        <sz val="11"/>
        <color theme="1"/>
        <rFont val="Times New Roman"/>
        <family val="1"/>
        <charset val="204"/>
      </rPr>
      <t xml:space="preserve">    </t>
    </r>
    <r>
      <rPr>
        <i/>
        <sz val="11"/>
        <color theme="1"/>
        <rFont val="Times New Roman"/>
        <family val="1"/>
        <charset val="204"/>
      </rPr>
      <t>Цели программы.  Изучение и проведение геолого-разведочные работы,   оказание методической помощи  геологоразведочного процесса</t>
    </r>
  </si>
  <si>
    <t xml:space="preserve">Доля месторождения,  подготовленные  для геолого-разведочных работ от общего количества </t>
  </si>
  <si>
    <t xml:space="preserve">Геологоразведочные работы - поиски, оценка и разведка месторождений различных видов полезных ископаемых / Совершенствование законодательного регулирования в сфере недропользования
</t>
  </si>
  <si>
    <t>Площадь проведения геолого - разведочных работ</t>
  </si>
  <si>
    <t>кв.км</t>
  </si>
  <si>
    <t xml:space="preserve">Количество завершенных геологоразведочных работ  </t>
  </si>
  <si>
    <t xml:space="preserve">Обследование объектов водопользования и экзогенных геологических процессов.
</t>
  </si>
  <si>
    <t xml:space="preserve">Количество обследованных объектов      водопользования за состоянием качества подземных вод  </t>
  </si>
  <si>
    <t xml:space="preserve">Количество обследованных участков проявления экзогенных геологических процессов  </t>
  </si>
  <si>
    <t xml:space="preserve">Обеспечение доступности геологической информации, анализ и обобщение геологических материалов.   
</t>
  </si>
  <si>
    <t xml:space="preserve">Перенос геологических материалов на цифровые носители и их обработка </t>
  </si>
  <si>
    <t>лист</t>
  </si>
  <si>
    <t>Создание базы данных по всем видам геолого-геохимических поисков</t>
  </si>
  <si>
    <t>тыс.проб</t>
  </si>
  <si>
    <t>Геологические исследования недр, контроль состояния подземных вод и опасных экзогенных геологических процессов</t>
  </si>
  <si>
    <t>Поиски и оценка меторождений полехных ископаемых</t>
  </si>
  <si>
    <t>Мониторинг геологической среды в части наблюдения за режимом и качеством подземных вод и развитием опасных экзогенных геологических процессов</t>
  </si>
  <si>
    <r>
      <rPr>
        <b/>
        <sz val="11"/>
        <color theme="1"/>
        <rFont val="Times New Roman"/>
        <family val="1"/>
        <charset val="204"/>
      </rPr>
      <t xml:space="preserve">Стабильное развитие энергетического сектора                                       </t>
    </r>
    <r>
      <rPr>
        <sz val="11"/>
        <color theme="1"/>
        <rFont val="Times New Roman"/>
        <family val="1"/>
        <charset val="204"/>
      </rPr>
      <t xml:space="preserve">                      </t>
    </r>
    <r>
      <rPr>
        <i/>
        <sz val="11"/>
        <color theme="1"/>
        <rFont val="Times New Roman"/>
        <family val="1"/>
        <charset val="204"/>
      </rPr>
      <t>Цель программы: Реализация государственной политики в  энергетической сфере</t>
    </r>
  </si>
  <si>
    <t>Реконструкция Атбашинской ГЭС (Швейцария) (грант)</t>
  </si>
  <si>
    <t>426736,26</t>
  </si>
  <si>
    <t>Реконструкция ГЭС</t>
  </si>
  <si>
    <t>Генератор 4 шт</t>
  </si>
  <si>
    <t xml:space="preserve">Проект CASA-1000 </t>
  </si>
  <si>
    <t>3629600,00</t>
  </si>
  <si>
    <t xml:space="preserve">Начало строительства ЛЭП 500 кВ  </t>
  </si>
  <si>
    <t>ПИР-1шт</t>
  </si>
  <si>
    <t xml:space="preserve">Проект «Повышение подотчетности и надежности электроснабжения» </t>
  </si>
  <si>
    <t>142043,0</t>
  </si>
  <si>
    <t>Строительство подстанций и установка прибора учета</t>
  </si>
  <si>
    <t>эл. счетчики-40000 шт</t>
  </si>
  <si>
    <t>Улучшение электроснабжения Аркинского массива Лейлекского района (ИБР) (кредит)</t>
  </si>
  <si>
    <t>349000,00</t>
  </si>
  <si>
    <t>Строительство ЛЭП 110 кВ и ПС 110 кВ, реконструкция ПС 110 кВ</t>
  </si>
  <si>
    <t xml:space="preserve">ЛЭП- 51км, ПС-2 шт </t>
  </si>
  <si>
    <t xml:space="preserve">Ввод в эксплуатацию второго гидроагрегата Камбаратинской ГЭС-2 </t>
  </si>
  <si>
    <t>33504,0</t>
  </si>
  <si>
    <t>Установка гидроагрегата мощностью 120 МВт</t>
  </si>
  <si>
    <t>агрегат-1шт</t>
  </si>
  <si>
    <t>Вторая фаза реабилитации Токтогульской ГЭС</t>
  </si>
  <si>
    <t>769251,84</t>
  </si>
  <si>
    <t>Замена 2-х генераторов</t>
  </si>
  <si>
    <t>Генератор 1штук</t>
  </si>
  <si>
    <t>Проект «Улучшение теплоснабжения»</t>
  </si>
  <si>
    <t>1480541,76</t>
  </si>
  <si>
    <t>Модернизация индивидуальных общедомовых тепловых пунктов, замена и реконструкция магистральной тепловой сети «Восток».</t>
  </si>
  <si>
    <t>ед. ИТП</t>
  </si>
  <si>
    <t xml:space="preserve">231 новых ИТП 1700 действ. </t>
  </si>
  <si>
    <t>ед приб учета и ед. водомера</t>
  </si>
  <si>
    <t>2000 приборов учета  и 2000 водомеров </t>
  </si>
  <si>
    <t>Реконструкция и строительство насосных станций</t>
  </si>
  <si>
    <t>0</t>
  </si>
  <si>
    <t>353920,9</t>
  </si>
  <si>
    <t>Модернизация системы теплоснабжения г. Бишкек: (реконструкция насосных станций), (модернизация и расширение существующей системы СКАДА)</t>
  </si>
  <si>
    <t>ед. насосов</t>
  </si>
  <si>
    <t>установка на 13 насосных станциях 36 насосов с регулируемым числом оборотов</t>
  </si>
  <si>
    <t>2 п. сьема иые насосн станций</t>
  </si>
  <si>
    <t xml:space="preserve"> на 14 насосных станциях и 2 пунктах съема показаний и оснащение дополнительно 5 насосных станций </t>
  </si>
  <si>
    <t>Реабилитация ОАО «Востокэлектро»</t>
  </si>
  <si>
    <t>192578,2</t>
  </si>
  <si>
    <t>Сокращение потерь ОАО "Востокэлектро". Внедрение систем АСКУЭ</t>
  </si>
  <si>
    <t xml:space="preserve">АСКУЭ тыс. штук , СИП кабели </t>
  </si>
  <si>
    <t xml:space="preserve">32 тыс. штук, СИП кабель -258 км </t>
  </si>
  <si>
    <t>Реабилитация ОАО «Ошэлектро»</t>
  </si>
  <si>
    <t>242904,0</t>
  </si>
  <si>
    <t>Сокращение потерь ОАО "Ошэлектро". Внедрение систем АСКУЭ</t>
  </si>
  <si>
    <t>АСКУЭ тыс. штук, СИП кабуль</t>
  </si>
  <si>
    <t xml:space="preserve">22 тыс. шт., СИП кабель - 335 км </t>
  </si>
  <si>
    <t>Повышение эффективности электрораспределительных сетей</t>
  </si>
  <si>
    <t>7978,1</t>
  </si>
  <si>
    <t>24290,4</t>
  </si>
  <si>
    <t>Сокращение потерь ОАО "Северэлектро"</t>
  </si>
  <si>
    <t>Реабилитация сектора энергетики</t>
  </si>
  <si>
    <t>950979,9</t>
  </si>
  <si>
    <t>329009,28</t>
  </si>
  <si>
    <t>Модернизация ТЭЦ г. Бишкек</t>
  </si>
  <si>
    <t>454709,9</t>
  </si>
  <si>
    <t>1347140,0</t>
  </si>
  <si>
    <t>Развитие сектора энергетики</t>
  </si>
  <si>
    <t>513265,9</t>
  </si>
  <si>
    <t>Улучшение электроснабжения г. Бишкек и Ош</t>
  </si>
  <si>
    <t>40229,7</t>
  </si>
  <si>
    <r>
      <rPr>
        <b/>
        <sz val="10"/>
        <color theme="1"/>
        <rFont val="Times New Roman"/>
        <family val="1"/>
        <charset val="204"/>
      </rPr>
      <t>Обеспечение территории КР и ее регионов в топографо-геодезическом и картографическом отношении</t>
    </r>
    <r>
      <rPr>
        <sz val="11"/>
        <color theme="1"/>
        <rFont val="Times New Roman"/>
        <family val="1"/>
        <charset val="204"/>
      </rPr>
      <t xml:space="preserve">
</t>
    </r>
    <r>
      <rPr>
        <i/>
        <sz val="11"/>
        <color theme="1"/>
        <rFont val="Times New Roman"/>
        <family val="1"/>
        <charset val="204"/>
      </rPr>
      <t xml:space="preserve">Цель программы: Современная картографическая и геодезическая основа территории КР для обеспечения геополитических интересов страны </t>
    </r>
  </si>
  <si>
    <t>Реконструкция и поддержание государственной геодезической сети</t>
  </si>
  <si>
    <t>Пункты GPS-сети второго порядка и исходные пункты нулевого и первого порядков повышенной точности</t>
  </si>
  <si>
    <t>пункт</t>
  </si>
  <si>
    <t>Каталоги координат и высот геодезических пунктов в системах координат СК-42, СК-95 и Kyrg-06 на листы карты масштаба 1:200 000</t>
  </si>
  <si>
    <t>каталог</t>
  </si>
  <si>
    <t xml:space="preserve">Обновление и издание топографических карт масштабного ряда </t>
  </si>
  <si>
    <t>Топографические карты масштабного ряда при обновлении</t>
  </si>
  <si>
    <t>Топографические карты масштабного ряда при подготовке карт к изданию</t>
  </si>
  <si>
    <r>
      <rPr>
        <b/>
        <sz val="10"/>
        <color theme="1"/>
        <rFont val="Times New Roman"/>
        <family val="1"/>
        <charset val="204"/>
      </rPr>
      <t>Делимитация и демаркация государственной границы Кыргызской Республики</t>
    </r>
    <r>
      <rPr>
        <sz val="11"/>
        <color theme="1"/>
        <rFont val="Times New Roman"/>
        <family val="1"/>
        <charset val="204"/>
      </rPr>
      <t xml:space="preserve">
</t>
    </r>
    <r>
      <rPr>
        <i/>
        <sz val="11"/>
        <color theme="1"/>
        <rFont val="Times New Roman"/>
        <family val="1"/>
        <charset val="204"/>
      </rPr>
      <t xml:space="preserve">Цель программы: Современная картографическая и геодезическая основа территории КР для обеспечения геополитических интересов страны </t>
    </r>
  </si>
  <si>
    <t>Рекогносцировка и установка пограничных знаков; спутниковые измерения на пограничных знаках и исходных пунктах</t>
  </si>
  <si>
    <t>Пограничные знаки по линии государственной границы Кыргызской Республики</t>
  </si>
  <si>
    <t>знак</t>
  </si>
  <si>
    <t>Площадь выполнения планово-высотной привязки космических снимков</t>
  </si>
  <si>
    <t>Обновление топографических карт на приграничные территории</t>
  </si>
  <si>
    <t>Топографические карты необходимого масштаба при обновлении на приграничные территории</t>
  </si>
  <si>
    <t>Цифровые делимитационные и демаркационные карты необходимого масштаба</t>
  </si>
  <si>
    <r>
      <t xml:space="preserve">Развитие научно-технического потенциала 
</t>
    </r>
    <r>
      <rPr>
        <i/>
        <sz val="11"/>
        <color theme="1"/>
        <rFont val="Times New Roman"/>
        <family val="1"/>
        <charset val="204"/>
      </rPr>
      <t>Цель программы: поддержание высокого уровня научно-технологического потенциала, направленного на эффективное использование энергетических ресурсов страны.</t>
    </r>
  </si>
  <si>
    <t>Повышение надежности и эффективности функционирования технических средств топливно- энергетического комплекса</t>
  </si>
  <si>
    <t>Разработка практических рекомендаций по повышению надежности и эффективности функционирования электротехнического оборудования</t>
  </si>
  <si>
    <t>кол. отчет</t>
  </si>
  <si>
    <t>1 отчет (3 док)</t>
  </si>
  <si>
    <t xml:space="preserve">1 отчет </t>
  </si>
  <si>
    <t>Проведения энергетического обследования эффективности использования электроэнергии в бюджетных организациях</t>
  </si>
  <si>
    <t xml:space="preserve">Количество обследованных бюджетных организаций и мониторинг энергетических паспортов и технических паспортов котельных в обследованных бюджетных организациях </t>
  </si>
  <si>
    <t>объект шт.</t>
  </si>
  <si>
    <t xml:space="preserve"> 150 объект</t>
  </si>
  <si>
    <t>(150 объект) 1 отчет</t>
  </si>
  <si>
    <t xml:space="preserve">(150 объект)1 отчет </t>
  </si>
  <si>
    <t>Проведения комплекса исследований по развитию инновационных технологий по использованию возобнавляемых источников энергии.</t>
  </si>
  <si>
    <t>Разработка методов расчета и проектирования технических средств, работающих на ВИЭ</t>
  </si>
  <si>
    <t>кол отчетов</t>
  </si>
  <si>
    <t>1 отчет при финасировании</t>
  </si>
  <si>
    <t>Технико-экономическое исследование по обеспечению эффективности развития отраслей топливно-энергетического комплекса.</t>
  </si>
  <si>
    <t>Формирование базы данных НТД и НПА топливно-энергетического комплекса.</t>
  </si>
  <si>
    <t>Примечание: бюджет в программном формате по Государственному комитету промышленности, энергетики и недропользованию Кыргызской Республики не включают расходы на ГП "Кыргызтеплоэнерго" в сумме 1 249 860,4 тыс. сом.</t>
  </si>
  <si>
    <t>Государственное предприятие "Кыргызтеплоэнерго" при  Государственном комитете промышленности, энергетики и недропользования КР</t>
  </si>
  <si>
    <t>Обеспечение населения тепловой энергией</t>
  </si>
  <si>
    <t>Кол-во абонентов, обеспеченных ЦО</t>
  </si>
  <si>
    <t>Централизованная заготовка топлива в части выработки теплоэнергии населению и покрытие других затрат</t>
  </si>
  <si>
    <t>Уд расход топлива на выработку 1 Гкал тепловой энрегии</t>
  </si>
  <si>
    <t xml:space="preserve">кг/Гкал </t>
  </si>
  <si>
    <t xml:space="preserve">кг./Гкал </t>
  </si>
  <si>
    <t>м3</t>
  </si>
  <si>
    <t>кВт/ч</t>
  </si>
  <si>
    <t>Потери тепловой энергии на 1 км тепловых сетей</t>
  </si>
  <si>
    <t>Гкал</t>
  </si>
  <si>
    <t>Ремонт</t>
  </si>
  <si>
    <t>Повышение КПД</t>
  </si>
  <si>
    <t>Уровень загрузки котельных</t>
  </si>
  <si>
    <t>983</t>
  </si>
  <si>
    <t>Поддержание инфраструктуры с.Мин-Куш</t>
  </si>
  <si>
    <t>Предоставление услуг населению по реализации воды</t>
  </si>
  <si>
    <t>тыс.м3</t>
  </si>
  <si>
    <t>Удовлетворение потребностей жителей с.Мин-Куш в качественных услугах по тепловодоснабжению и водоотведению с наименьшими затратами</t>
  </si>
  <si>
    <t>Саночистка и благоустройство</t>
  </si>
  <si>
    <t>984</t>
  </si>
  <si>
    <t>Захоронение радиоактивных отходов и дезактивизация белья</t>
  </si>
  <si>
    <t>Захоронение радиоактивных отходов</t>
  </si>
  <si>
    <t xml:space="preserve">Бюджетные меры.Обеспечение экологической безопасности населения </t>
  </si>
  <si>
    <t>Дезактивации загрязненного белья радиоактивными веществами</t>
  </si>
  <si>
    <t>кг</t>
  </si>
  <si>
    <t>Дезактивация загрязненного белья</t>
  </si>
  <si>
    <t>56. Государственное агентство по делам молодежи, физической культуры и спорта Кыргызской Республики</t>
  </si>
  <si>
    <t>процент реализации Программы Правительства</t>
  </si>
  <si>
    <t>Работа по предупреждению коррупции</t>
  </si>
  <si>
    <t>процент реализации Плана мерориятий по противодействию коррупции</t>
  </si>
  <si>
    <t>оценка деятельности, % рекомендуемых на повышение заработной платы</t>
  </si>
  <si>
    <t>Обеспечение финансового менеджмента и финансового планирования</t>
  </si>
  <si>
    <t>своевременное финансирование утвержденной сметы</t>
  </si>
  <si>
    <t>Поддержание  связей с общественностью</t>
  </si>
  <si>
    <t>количество спортивных теле-радио, интернет передач и конференций</t>
  </si>
  <si>
    <t>Обеспечение делопроизводства и контроля за исполнением</t>
  </si>
  <si>
    <t>уровень исполнительской дисциплины</t>
  </si>
  <si>
    <t xml:space="preserve">Разработка политики и ведение международных отношений </t>
  </si>
  <si>
    <t>количество разработанных и принятых НПА</t>
  </si>
  <si>
    <t>Работа по привлечению инвестиции</t>
  </si>
  <si>
    <t>количество разработанных ГЧП проектов</t>
  </si>
  <si>
    <t>количество разработанных проектов государственных услуг</t>
  </si>
  <si>
    <t>Обеспечение внутреннего аудита</t>
  </si>
  <si>
    <t>количество проведенных мероприятий по внутреннему аудиту</t>
  </si>
  <si>
    <r>
      <t xml:space="preserve">Развитие физической культуры и массового спорта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доведение массовости занятий физической культурой до 20%</t>
    </r>
  </si>
  <si>
    <t>массовость занятий физической культурой и спортом</t>
  </si>
  <si>
    <t>Развитие спорта в регионах</t>
  </si>
  <si>
    <t>% региональных учреждений, подвергшихся мониторингу</t>
  </si>
  <si>
    <t>Проведение спортивно-массовых и комплексных мероприятий</t>
  </si>
  <si>
    <t>количество проведенных спортивно-массовых мероприятий</t>
  </si>
  <si>
    <t>Развитие спортивной инфраструктуры</t>
  </si>
  <si>
    <t>количество учреждений, обеспеченных спортивным инвентарем</t>
  </si>
  <si>
    <t>Проведение III Всемирных игр кочевников</t>
  </si>
  <si>
    <t>Привлечение населения к занятиям национальными видами спорта</t>
  </si>
  <si>
    <t>количество занимающихся национальными видами спорта</t>
  </si>
  <si>
    <r>
      <t xml:space="preserve">Развитие спорта высших достижений                  </t>
    </r>
    <r>
      <rPr>
        <i/>
        <sz val="11"/>
        <rFont val="Times New Roman"/>
        <family val="1"/>
        <charset val="204"/>
      </rPr>
      <t>Цель программы: повышение имиджа Кыргызской Республики на международной спортивной арене</t>
    </r>
  </si>
  <si>
    <t>КПД отечественного спорта (соотношение профинансированных спортсменов к спортсменам завоевавшим медали)</t>
  </si>
  <si>
    <t>Развитие спорта высших достижений</t>
  </si>
  <si>
    <t>количество нормативно-правовых и правовых актов, регулирующих спорт высших достижений</t>
  </si>
  <si>
    <t xml:space="preserve">Предоставление общего, среднеспециального образования со спортивным уклоном </t>
  </si>
  <si>
    <t>количество учащихся получивших диплом, спортивное звание</t>
  </si>
  <si>
    <t>Обучение детей и молодежи  видам спорта</t>
  </si>
  <si>
    <t xml:space="preserve">количество занимающихся детей и молодежи </t>
  </si>
  <si>
    <t>Завоевание призовых мест  на международной спортивной арене,  подготовка олимпийского резерва</t>
  </si>
  <si>
    <t>количество завоеванных призовых мест на спортивной арене</t>
  </si>
  <si>
    <t xml:space="preserve">Антидопинговое обеспечение </t>
  </si>
  <si>
    <t xml:space="preserve">количество правовых актов в сфере антидопинговой политики </t>
  </si>
  <si>
    <t>Повышение социальной защищенности ведущих спортсменов Кыргызской Республики</t>
  </si>
  <si>
    <t>количество спортсменов, получающих стипендию</t>
  </si>
  <si>
    <r>
      <t xml:space="preserve">Реализация молодежной  политики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Цели Программы: Формирование и развитие новой генерации активной молодежи Кыргызстана</t>
    </r>
  </si>
  <si>
    <t>Созданные молодежные центры в регионах</t>
  </si>
  <si>
    <t>Мероприятия в рамках государственного социального заказа, направленные на реализацию молодежной политики</t>
  </si>
  <si>
    <t xml:space="preserve">Количество мероприятий реализованных посредством ГСЗ </t>
  </si>
  <si>
    <t>Мероприятия направленные на  воспитание молодежи и поддержку молодежных инициатив</t>
  </si>
  <si>
    <t>Количество мероприятий направленных на формирование в молодежной среде духовно-нравственных и патриотических ценностей, воспитание молодежи, поддержка молодежных инициатив</t>
  </si>
  <si>
    <t xml:space="preserve">Проведение региональных мероприятий   в сфере молодежной политики </t>
  </si>
  <si>
    <t xml:space="preserve">Количество проведенных мероприятий в регионах республики </t>
  </si>
  <si>
    <t>Работа с молодежными организациями</t>
  </si>
  <si>
    <t>Количество проведенных мероприятий тренингов</t>
  </si>
  <si>
    <t xml:space="preserve">Количество лиц, участвовавших в тренингах и получивших сертификаты    </t>
  </si>
  <si>
    <t xml:space="preserve">Институциональное укрепление реализации государственной молодежной политики </t>
  </si>
  <si>
    <t>количество разработанных и принятых НПА в сфере молодежи</t>
  </si>
  <si>
    <t>57. Агентство по продвижению и защите инвестиций Кыргызской Республики</t>
  </si>
  <si>
    <t xml:space="preserve">Цели программы: обеспечение  деятельности системы Агентства и координация реализации других программ </t>
  </si>
  <si>
    <t xml:space="preserve">Обеспечения общего руководства </t>
  </si>
  <si>
    <t>Обеспечения финансового менеджмента и учета</t>
  </si>
  <si>
    <t>Исполнение Плана законопроектных работ Агентства</t>
  </si>
  <si>
    <t>Осуществление закупок товаров, работ, услуг в установленном порядке</t>
  </si>
  <si>
    <t xml:space="preserve">Привлечение инвестиций и продвижение экспорта </t>
  </si>
  <si>
    <t>Цель программы: Продвижение и сопровождение инвестиций</t>
  </si>
  <si>
    <t>Привлечение инвестиций</t>
  </si>
  <si>
    <t>Проведение международных форумов и B2B встреч. Реализация инвестиционных проектов.</t>
  </si>
  <si>
    <t>Продвижение проектов в рамках ГЧП</t>
  </si>
  <si>
    <t>Реализация инвестиционных проектов в рамках ГЧП</t>
  </si>
  <si>
    <t>Заключение контрактов на экспорт</t>
  </si>
  <si>
    <t>58. Государственная служба регулирования и надзора за финансовым рынком при Правительстве Кыргызской Республики</t>
  </si>
  <si>
    <t>Доля выигранных трудовых процессов по трудовым спорам</t>
  </si>
  <si>
    <t>Количество положительных упоминаний в СМИ</t>
  </si>
  <si>
    <t>2/0</t>
  </si>
  <si>
    <t>4/2</t>
  </si>
  <si>
    <t>5/3</t>
  </si>
  <si>
    <t>5/6</t>
  </si>
  <si>
    <t>Развитие рынка ценных бумаг</t>
  </si>
  <si>
    <t>Перевод государственных ценных бумаг на биржу</t>
  </si>
  <si>
    <t>Объем торгов</t>
  </si>
  <si>
    <t>млрд, сом</t>
  </si>
  <si>
    <t>Повышение финансовой  грамотности населения</t>
  </si>
  <si>
    <t xml:space="preserve">Количество сделок с ценными бумагами </t>
  </si>
  <si>
    <t>Стимулирование увеличения объема инвестиций через фондовый рынок</t>
  </si>
  <si>
    <t>Капитализация фондового рынка</t>
  </si>
  <si>
    <t>Развитие рынка страхования и деятельности НПФ</t>
  </si>
  <si>
    <t>Введение новых видов обязательного страхования</t>
  </si>
  <si>
    <t>Объем страховых премий по обязательным видам страхования</t>
  </si>
  <si>
    <t>млн, сом</t>
  </si>
  <si>
    <t>Создание национальной системы перестрахования</t>
  </si>
  <si>
    <t>Доля национального перестрахования</t>
  </si>
  <si>
    <t>Развитие накопительной пенсионной системы</t>
  </si>
  <si>
    <t>Объем средств пенсионных накоплений НПФ</t>
  </si>
  <si>
    <t>Развитие аудита и  бухгалтерского учета</t>
  </si>
  <si>
    <t>Повышение качества, своевременности и прозрачности аудита</t>
  </si>
  <si>
    <t>Количество аудиторов, получивших сертификат</t>
  </si>
  <si>
    <t>Увеличение доли внедрения МСФО на предприятиях Кыргызской Республики</t>
  </si>
  <si>
    <t>Количество предприятий, использующих МСФО</t>
  </si>
  <si>
    <t>59. Государственная кадровая служба Кыргызской Республики</t>
  </si>
  <si>
    <t>% исполнения плана ГКС</t>
  </si>
  <si>
    <t>Доля сотрудников, повысивших квалификацию, от общего количества сотрудников</t>
  </si>
  <si>
    <t>Доля сотрудников, повышенных в должности по карьерному планированию (ротация) и служебному продвижению</t>
  </si>
  <si>
    <t>Доля сотрудников, включенных в состав внутреннего резерва кадров ГКС</t>
  </si>
  <si>
    <t>Организация деятельности и службы обеспечения (ТОП, МОП)</t>
  </si>
  <si>
    <r>
      <t xml:space="preserve">Совершенствование государственной кадровой политики
</t>
    </r>
    <r>
      <rPr>
        <i/>
        <sz val="11"/>
        <color theme="1"/>
        <rFont val="Times New Roman"/>
        <family val="1"/>
        <charset val="204"/>
      </rPr>
      <t>Цель программы:Разработка , реализация и обеспечение устойчивого функционирования единой государственной кадровой политики в государственных органах и органах МСУ</t>
    </r>
  </si>
  <si>
    <t>Индекс эффективности исполнения задач</t>
  </si>
  <si>
    <t>Совершенствование нормативной  правовой базы в сфере государственной и муниципальной службы</t>
  </si>
  <si>
    <t>Анализ действия нормативных правовых актов и выработка предложений по совершенствованию (от числа поступивших НПА)</t>
  </si>
  <si>
    <t>Доля рассмотренных проектов внутренних и внешних НПА на соответствие законодательства о государственной гражданской службе и муниципальной службе (от числа поступивших проектов)</t>
  </si>
  <si>
    <t>Обеспечение равного доступа при поступлении и прохождении  на государственную службу</t>
  </si>
  <si>
    <t>Доля вакантных административных государственных должностей, замещенных в соответствии с законодательством</t>
  </si>
  <si>
    <t>Доля  государственных органов, согласовавших и утвердивших квалификационные требования</t>
  </si>
  <si>
    <t xml:space="preserve">Внедрение антикоррупционных мер при поступлении и прохождении государственной службы </t>
  </si>
  <si>
    <t>Доля  государственных органов, применивших систему оценки деятельности служащих</t>
  </si>
  <si>
    <t>х</t>
  </si>
  <si>
    <t>Доля государственных органов, в которых действует комиссия по этике</t>
  </si>
  <si>
    <t>Обеспечение равного доступа при поступлении и прохождении  на муниципальную службу</t>
  </si>
  <si>
    <t>Доля вакантных административных муниципальных  должностей, замещенных в соответствии законодательства</t>
  </si>
  <si>
    <t>Доля  органов МСУ, согласовавших и утвердивших квалификационные требования</t>
  </si>
  <si>
    <t>Доля  органов МСУ, применивших систему оценки деятельности служащих</t>
  </si>
  <si>
    <t>Доля органов МСУ, в которых действует комиссия по этике</t>
  </si>
  <si>
    <t>Обеспечение объективного и прозрачного тестирования на знание законодательства при поступлении и прохождении ГМС</t>
  </si>
  <si>
    <t xml:space="preserve">Обеспечение проведения компьютерного тестирования, заявленнных кандидатов на государственную и муниципальную службу </t>
  </si>
  <si>
    <t xml:space="preserve">Обеспечение проведения тестирования на полиграфе, заявленных служащих  </t>
  </si>
  <si>
    <t xml:space="preserve">Деактивация НПА и тестовых заданий, утративших силу и актуальность  </t>
  </si>
  <si>
    <t>Внедрение (анализ, поддержка и сопровождение)  информационной системы управления человеческими ресурсами в сфере государственной гражданской службы и муниципальной службы КР</t>
  </si>
  <si>
    <t>Техническое задание программы информационной системы управления человеческими ресурсами</t>
  </si>
  <si>
    <t xml:space="preserve">модулей (ед) </t>
  </si>
  <si>
    <t>4</t>
  </si>
  <si>
    <t>1</t>
  </si>
  <si>
    <t>Количество автоматизированных задач</t>
  </si>
  <si>
    <t>Интеграция с автоматизированными системами</t>
  </si>
  <si>
    <t>Карьерное планирование</t>
  </si>
  <si>
    <t xml:space="preserve">Количество лиц, сост. в НРК </t>
  </si>
  <si>
    <t>Доля лиц сост. в НРК прошедших повышение квалификации</t>
  </si>
  <si>
    <t>Доля освещенных публикаций в СМИ о проведенных мероприятиях</t>
  </si>
  <si>
    <t>Реализация Госзаказа на обучение  государственных и муниципальных служащих за счет средств госбюджета</t>
  </si>
  <si>
    <t>Доля  обученных служащих от числа запланированных в Госзаказе</t>
  </si>
  <si>
    <t xml:space="preserve">% </t>
  </si>
  <si>
    <t>Количество дистанционных модулей-курсов обучения</t>
  </si>
  <si>
    <t>Количество обученных по дистанционной системе</t>
  </si>
  <si>
    <t>Мониторинг соблюдения законодательства в сфере государственной гражданской службы и муниципальной службы</t>
  </si>
  <si>
    <t>Количество проведенного мониторинга в государственных органах и органах МСУ, согласно утвержденному плану</t>
  </si>
  <si>
    <t xml:space="preserve">план 26 факт 32 </t>
  </si>
  <si>
    <t>Доля своевременно рассмотренных жалоб, от числа поступивших</t>
  </si>
  <si>
    <t>Реализация Национальных (государственных) программ в сфере государственной и муниципальной службы</t>
  </si>
  <si>
    <t>Доля реализованных мероприятий национальных (государственных) программ(НПА) в сфере государственной и муниципальной службы</t>
  </si>
  <si>
    <t xml:space="preserve">Свод и анализ квартальной и годовой статистической информации о качественном составе государственных и муниципальных служащих </t>
  </si>
  <si>
    <t xml:space="preserve">Доля государственных органов и органов МСУ предоставивших статистические данные 
</t>
  </si>
  <si>
    <t>Координация деяательности ГКС по реализации государственной политики в сфере предупреждения коррупции</t>
  </si>
  <si>
    <t>Исполнение плана мероприятий по противодействию коррупции</t>
  </si>
  <si>
    <t>Реализация кадровой политики на территориальном уровне (ЦТП,ЮТП,СТП)</t>
  </si>
  <si>
    <t>Доля проведеного мониторинга в государственных органах и органах МСУ от числа запланированных</t>
  </si>
  <si>
    <t>Доля проведенных обучающих и практических семинаров от числа запланированных</t>
  </si>
  <si>
    <t>Доля расмотренных жалоб и заявлений от числа поступивших</t>
  </si>
  <si>
    <t>60. Государственное агенство архитектуры, строительства жилищно коммунального хозяйства</t>
  </si>
  <si>
    <t>992</t>
  </si>
  <si>
    <t>Программа государственных инвестиций</t>
  </si>
  <si>
    <t>Разработка Генеральной схемы Иссык-Кульской курортно-рекреационной зоны</t>
  </si>
  <si>
    <t>Устойчивое развитие водоснабжения и водоотведения</t>
  </si>
  <si>
    <t>61. Государственная служба по борьбе с экономическими преступлениями при Правительстве Кыргызской Республики</t>
  </si>
  <si>
    <r>
      <t xml:space="preserve">Повышение эффективности предупреждения и своевременного пресечения экономических и коррупционных правонарушений.
</t>
    </r>
    <r>
      <rPr>
        <i/>
        <sz val="11"/>
        <color theme="1"/>
        <rFont val="Times New Roman"/>
        <family val="1"/>
        <charset val="204"/>
      </rPr>
      <t>Цель программы:Профилактика преступности, устранение причин и условий совершения экономических и коррупционных правонарушений.</t>
    </r>
  </si>
  <si>
    <t xml:space="preserve">Доля экономических и коррупционных правонарушений, выявленных оперативным путем к общему числу зарегистрированных </t>
  </si>
  <si>
    <t xml:space="preserve">Доля возбужденных уголовных дел оперативным путем к общему числу зарегистрированных </t>
  </si>
  <si>
    <t>Повышение эффективности предупреждения и своевременного пресечения экономических и коррупционных правонарушений</t>
  </si>
  <si>
    <t xml:space="preserve">Доля материалов, переданных СМИ для информирования общественности от общего числа раскрытых преступлений </t>
  </si>
  <si>
    <t xml:space="preserve">создание социальных видеороликов антикоррупционной направленности </t>
  </si>
  <si>
    <t>Повышение эффективности возмещения причиненного материального ущерба по уголовным делам и рассматриваемым материалам</t>
  </si>
  <si>
    <t>Увеличение возмещение ущербов по оконченным уголовным делам и материалам  к сумме установленного, и достичь планируемого уровня.</t>
  </si>
  <si>
    <t>62. Государственная инспекция  по ветеринарной и фитосанитарной безопасности при Правительстве Кыргызской Республики</t>
  </si>
  <si>
    <r>
      <t xml:space="preserve">Планирование, управление и администрирование                                                 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</si>
  <si>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Отношение расходов на заработную плату по программе 001 к сумме расходов на заработную плату по всем программам</t>
  </si>
  <si>
    <t>Организация деятельности и службы обеспечения (Топ и МОП)</t>
  </si>
  <si>
    <r>
      <t xml:space="preserve">Обеспечение ветеринарной, фитосанитарной безопасности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высокий уровень ветеринарной и фитосанитарной безопасности при обеспечении соблюдения норм законодательства и предупреждении заноса заразных болезней, общих для человека, животных и растений.</t>
    </r>
  </si>
  <si>
    <t>Повышение эффективности ветеринарного и фитосанитарного надзора</t>
  </si>
  <si>
    <t>Надзор за организацией ветеринарно-санитарной экспертизы продуктов животного происхождения</t>
  </si>
  <si>
    <t>Количество проверенных субъектов предпринимательства</t>
  </si>
  <si>
    <t>Контроль за противоэпизоотическими мероприятиями</t>
  </si>
  <si>
    <t>Снижение количества, зарегистрированных вспышек заболеваний животных</t>
  </si>
  <si>
    <t>Кол-во вспышек</t>
  </si>
  <si>
    <t>Количество провакцинированных животных</t>
  </si>
  <si>
    <t>Млн.голов</t>
  </si>
  <si>
    <t>Предотвращение ввоза, вывоза и распространения болезней, общих для человека и животных</t>
  </si>
  <si>
    <t>Количество проверенных автогрузов и авиагрузов</t>
  </si>
  <si>
    <t>Проведение ветеринарной диагностики животных</t>
  </si>
  <si>
    <t>Количество проведенных ветеринарно-диагностических исследований</t>
  </si>
  <si>
    <t>Тыс.голов</t>
  </si>
  <si>
    <t>Количество прошедших ветеринарную диагностику животных</t>
  </si>
  <si>
    <t>Млн. голов</t>
  </si>
  <si>
    <r>
      <t xml:space="preserve">Защита животных от инфекционных заболеваний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высокий уровень защищенности животных и растений при обеспечении мер по предупреждению и профилактике заболеваний</t>
    </r>
  </si>
  <si>
    <t>Снижение риска заболеваний и заноса возбудителей заболеваний</t>
  </si>
  <si>
    <t>Осуществление государственного надзора за соблюдением санитарных, ветеринарных и фитосанитарных норм</t>
  </si>
  <si>
    <t>Не допускать вспышки особо опасных заболеваний животных и птиц в КР</t>
  </si>
  <si>
    <t>Кол-во исслед. (млн)</t>
  </si>
  <si>
    <t>Обеспечение продовольственной безопасности, предотвращение пищевых отравлений</t>
  </si>
  <si>
    <t>экспертиз</t>
  </si>
  <si>
    <t>63. Государственный комитет информационных технологий и связи  Кыргызской Республики</t>
  </si>
  <si>
    <t>Планирование,управление и администрирование</t>
  </si>
  <si>
    <t>Отношение текущих расходов по Программе 1 к сумме текущих расходов по другим программам</t>
  </si>
  <si>
    <t>Реализация государственной политики и осуществление межотраслевой координации в области информатизации, электронного управления, электронной подписи, электронного правительства, электронных услуг, электрической и почтовой связи, включая радио- и телевизионное вещание</t>
  </si>
  <si>
    <r>
      <t xml:space="preserve">Развитие инфраструктуры электронного управления и электронных услуг
</t>
    </r>
    <r>
      <rPr>
        <i/>
        <sz val="11"/>
        <color theme="1"/>
        <rFont val="Times New Roman"/>
        <family val="1"/>
        <charset val="204"/>
      </rPr>
      <t>Цель программы: Развитие электронного управления, внедрения электронной государственной услуги</t>
    </r>
  </si>
  <si>
    <t>Количество функционирующих информационных систем, порталов</t>
  </si>
  <si>
    <t>Создание, модернизация, эксплуатация и техническая поддержка информационных систем</t>
  </si>
  <si>
    <t>Количество управленческих процессов государственных органов модернизированных путем цифровой трансформации</t>
  </si>
  <si>
    <t>Обеспечение каналом связи единой системы учета внешней миграции</t>
  </si>
  <si>
    <t>Количество подключенных объектов</t>
  </si>
  <si>
    <t>Создание централизованной базы данных переносимости номеров</t>
  </si>
  <si>
    <t>Обеспечение абонентов мобильной связи услугой переносимости номеров (% от общего количества абонентов мобильной связи)</t>
  </si>
  <si>
    <t>Обеспечение функционирования государственного портала электронных услуг</t>
  </si>
  <si>
    <t>Количество предоставляемых государственных услуг на портале</t>
  </si>
  <si>
    <t>Обеспечение функционирования информационной системы платежного шлюза</t>
  </si>
  <si>
    <t>Количество банков подключенных к системе платежного шлюза</t>
  </si>
  <si>
    <t>Обеспечение функционирования системы электронного межведомственного взаимодействия «Тундук»</t>
  </si>
  <si>
    <t xml:space="preserve">Количество государственных органов, предоставляющих государственные услуги в электронном формате с использованием «СЭМВ «Тундук» </t>
  </si>
  <si>
    <t>Обеспечение функционирования электронной торговой площадки</t>
  </si>
  <si>
    <t>Удельный вес выполненнных работ по обеспечению функционирования электронной торговой площадки</t>
  </si>
  <si>
    <t>Развертывание корневого удостоверяющего центра</t>
  </si>
  <si>
    <t xml:space="preserve">Удельный вес выполненнных работ  по развертыванию корневого удостоверяющего центра </t>
  </si>
  <si>
    <t>Реализация проекта "Таза Коом"</t>
  </si>
  <si>
    <t>Удельный вес выполненнных работ  по проекту "Таза Коом"</t>
  </si>
  <si>
    <r>
      <t xml:space="preserve">Регулирование в области электрической и почтовой связи
</t>
    </r>
    <r>
      <rPr>
        <i/>
        <sz val="11"/>
        <color theme="1"/>
        <rFont val="Times New Roman"/>
        <family val="1"/>
        <charset val="204"/>
      </rPr>
      <t>Цель программы: Построение современной высокотехнологичной и конкурентоспособной Национальной сети передачи данных и интеграция Национальной сети в общемировое информационное пространство</t>
    </r>
  </si>
  <si>
    <t>Средний охват услугами связи (сотовая) населенных пунктов Кыргызстана %</t>
  </si>
  <si>
    <t>Осуществление регулирования в области электрической и почтовой связи</t>
  </si>
  <si>
    <t>Количество лицензиатов в области электрической и почтовой связи</t>
  </si>
  <si>
    <t>340</t>
  </si>
  <si>
    <t>350</t>
  </si>
  <si>
    <t>360</t>
  </si>
  <si>
    <t>370</t>
  </si>
  <si>
    <t>Количество выделенных и продление лицензий</t>
  </si>
  <si>
    <t>133</t>
  </si>
  <si>
    <t>77</t>
  </si>
  <si>
    <t>65</t>
  </si>
  <si>
    <t>Осуществление выделения присвоения номиналов, полос радиочастот</t>
  </si>
  <si>
    <t>Количество выданных и продленных частотных присвоений</t>
  </si>
  <si>
    <t>Выделение национального ресурса нумерации</t>
  </si>
  <si>
    <t>Количество выделенных нумераций</t>
  </si>
  <si>
    <t>Выдача сертификатов соответствия на оборудование и услуги связи</t>
  </si>
  <si>
    <t>Количество выданных сертификатов соответствия за год</t>
  </si>
  <si>
    <t>Подбор радиочастот доступных к выделению</t>
  </si>
  <si>
    <t>Фельдъегерская связь</t>
  </si>
  <si>
    <t>Обеспечение фельдъегерской связью</t>
  </si>
  <si>
    <t>Количество доставленных корреспонденций</t>
  </si>
  <si>
    <t>Проект "Digital CASA - Кыргызская Республика"</t>
  </si>
  <si>
    <t>64. Государственная комиссия по делам религий  Кыргызской Республики</t>
  </si>
  <si>
    <t>Отношение  расходов на заработную плату по Программе 1 к сумме  расходов на заработную плату по всем программам</t>
  </si>
  <si>
    <t>Обеспечение общего руководства и финансового менеджмента/Обеспечение общего рукодства</t>
  </si>
  <si>
    <r>
      <t xml:space="preserve">Разработка и реализация государственной политики в области религии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 xml:space="preserve">Цели программы: Обеспечение прав граждан на свободу вероисповедания и предотвращение конфиликтов на религиозной почве </t>
    </r>
  </si>
  <si>
    <t>Государственная политика в сфере религии, обзор нормативно-правовой базы</t>
  </si>
  <si>
    <t>Обеспечение  прав граждан на свободу вероисповедания и предотвращение религиозного экстремизма</t>
  </si>
  <si>
    <t>7/7</t>
  </si>
  <si>
    <t>17/15</t>
  </si>
  <si>
    <t>12/10</t>
  </si>
  <si>
    <t>Учетная регистрация (перерегистрация) религиозных организаций и объектов религиозного назначения</t>
  </si>
  <si>
    <t>Количество религиозных организаций</t>
  </si>
  <si>
    <t xml:space="preserve">Мониторинг и анализ религиозной ситуации в республике и других странах  мира </t>
  </si>
  <si>
    <t>Количество выработанных и принятых рекомендаций по вопросам религии (письма с рекомендации )</t>
  </si>
  <si>
    <t>Разработка и реализация мер по профилактике и борьбе с распространением религиозного экстремизма</t>
  </si>
  <si>
    <t>Сокращение конфликтов на религиозной почве</t>
  </si>
  <si>
    <t>Координация и контроль за деятельностью религиозных организаций и объектов религиозного назначения</t>
  </si>
  <si>
    <t>Доля  религиозных организаций, нарушивших законодательство КР в религиозной деятельности (к общему кол-ву религиозных организаций)</t>
  </si>
  <si>
    <t xml:space="preserve">Оказание государственным органам и органам местного самоуправления методической и консультативной помощи по вопросом религии </t>
  </si>
  <si>
    <t>Выработка предложений рекомендаций по предупреждению, профилактике и реагированию на проблемные вопросы и конфликты, имеющие религиозную основу</t>
  </si>
  <si>
    <t>Всего (контрольные цифры)</t>
  </si>
  <si>
    <t xml:space="preserve">66. Центр судебных представительств при Правительстве Кыргызской Республики </t>
  </si>
  <si>
    <r>
      <t xml:space="preserve">Защита и представление прав и интересов Правительства Кыргызской Республики, а также интересов Кыргызской Республики в международных и местных судебных органах
</t>
    </r>
    <r>
      <rPr>
        <sz val="11"/>
        <color indexed="8"/>
        <rFont val="Times New Roman"/>
        <family val="1"/>
        <charset val="204"/>
      </rPr>
      <t xml:space="preserve"> </t>
    </r>
  </si>
  <si>
    <t>Индикатор результативности. Отношение выигранных судебных дел к их общему количеству</t>
  </si>
  <si>
    <t xml:space="preserve">Ед/ед </t>
  </si>
  <si>
    <t>9/17</t>
  </si>
  <si>
    <t>Принятие участие в международных и местных судах для наиболее благоприятного разрешения споров</t>
  </si>
  <si>
    <t>Индикатор результативности.             Количество выигранных судебных дел</t>
  </si>
  <si>
    <t>68. Секретариат Национальной комиссии Кыргызской Республики по делам ЮНЕСКО</t>
  </si>
  <si>
    <r>
      <rPr>
        <b/>
        <sz val="11"/>
        <color indexed="8"/>
        <rFont val="Times New Roman"/>
        <family val="1"/>
        <charset val="204"/>
      </rPr>
      <t xml:space="preserve">Планирование, управление и администрирование  </t>
    </r>
    <r>
      <rPr>
        <sz val="11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</si>
  <si>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Организация общего руководства/Обеспечение общего руководства</t>
  </si>
  <si>
    <t>70. Национальный институт стратегических исследований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</si>
  <si>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</si>
  <si>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Обеспечение общего руководства и обеспечение финансового менеджмента и учета</t>
  </si>
  <si>
    <t>Процент исполнения индикаторов результативности программ НИСИ КР</t>
  </si>
  <si>
    <t xml:space="preserve">Аналитическая,научная и информационная поддержка деятельности высших органов власти </t>
  </si>
  <si>
    <r>
      <rPr>
        <b/>
        <sz val="11"/>
        <color indexed="8"/>
        <rFont val="Times New Roman"/>
        <family val="1"/>
        <charset val="204"/>
      </rPr>
      <t xml:space="preserve">Индикатор результатиности.     </t>
    </r>
    <r>
      <rPr>
        <sz val="11"/>
        <color indexed="8"/>
        <rFont val="Times New Roman"/>
        <family val="1"/>
        <charset val="204"/>
      </rPr>
      <t>Количество исследовательских продуктов (отчеты, аналитические записки, справки, рекомендации, статьи, доклады (тезисы к докладам) методические вклады и.т.д.) в области  социально-экономической сферы внутренней и внешней политики</t>
    </r>
  </si>
  <si>
    <t>Проведение исследований в институте/Проведение исследований в области экономики и социальной сферы</t>
  </si>
  <si>
    <r>
      <rPr>
        <b/>
        <sz val="11"/>
        <color indexed="8"/>
        <rFont val="Times New Roman"/>
        <family val="1"/>
        <charset val="204"/>
      </rPr>
      <t xml:space="preserve">Индикатор результатиности.          </t>
    </r>
    <r>
      <rPr>
        <sz val="11"/>
        <color indexed="8"/>
        <rFont val="Times New Roman"/>
        <family val="1"/>
        <charset val="204"/>
      </rPr>
      <t>Количество исследовательских продуктов (отчеты, аналитические записки, справки, рекомендации, статьи,доклады (тезисы к докладам) методические вклады и.т.д.)в области  социально-экономической сферы внутренней и внешней политики</t>
    </r>
  </si>
  <si>
    <t>71. Государственная служба финансовой разведки при Правительстве Кыргызской Республики</t>
  </si>
  <si>
    <t>обеспечение надлежащей деятельности ГСФР</t>
  </si>
  <si>
    <t>Количество опубликованных материалов в СМИ, проведенных заседаний с ОС</t>
  </si>
  <si>
    <t>по мере необ-ти</t>
  </si>
  <si>
    <t>Количество подготовленных документов (аналитических документов и планов действий ведомства)</t>
  </si>
  <si>
    <t xml:space="preserve">Модернизация деятельности ГСФР
</t>
  </si>
  <si>
    <t>Повышение результативности мер по противодействию легализации (отмыванию) преступных доходов и финансированию террористической или экстремистской деятельности за счет улучшения качества материалов, направляемых в правоохранительные органы</t>
  </si>
  <si>
    <t>Колличество подготовленных и направленных обобщенных материалов и доп.обобщенных материалов в правоохран.органы</t>
  </si>
  <si>
    <t xml:space="preserve">Совершенствование нормативной правовой базы в сфере противодействия легализации (отмыванию) преступных доходов и финансированию террористической или экстремистской деятельности </t>
  </si>
  <si>
    <t>Количество нормативно правовых актов,которые необходимо разработать и в которые необходимо внести соответс.изменения и дополнения</t>
  </si>
  <si>
    <t>НПА</t>
  </si>
  <si>
    <t xml:space="preserve">Совершенствование правовой и институциональной основ по надлежащему выполнению международных обязательств в сфере противодействия легализации (отмыванию) преступных доходов и финансированию террористической или экстремистской деятельности </t>
  </si>
  <si>
    <t>Усиление взаимодействия с подразделениями финансовой разведки иностранных государств и международными организациями (ОБСЕ,УНП ООН,ЕАГ и др.) в сфере ПФТД/ЛПД.</t>
  </si>
  <si>
    <t>Введение новых систем автоматизированных рабочих мест, электронного документооборота и аналитических инструментов для проведения оперативного и стратегического анализа</t>
  </si>
  <si>
    <t>Количество обработанных сообщений, об операциях (сделках), подлежащие контролю и сообщению.</t>
  </si>
  <si>
    <t>Развитие подсистемы сбора и хранения информации Единой информационной системы Государственной службы финансовой разведки</t>
  </si>
  <si>
    <t>Количество принятых сообщений, об операциях (сделках), подлежащие контролю и сообщению.</t>
  </si>
  <si>
    <t>72. Государственное агенство антимонопольного регулирования при Правительстве  Кыргызской Республики</t>
  </si>
  <si>
    <t>не опубликован</t>
  </si>
  <si>
    <t>Количество сотрудников, прошедших курсы повышения квалификации от общего количества сотрудников</t>
  </si>
  <si>
    <t>Обеспечение  правовой поддержки и осуществление гос.закупок /Правовая поддержка</t>
  </si>
  <si>
    <t xml:space="preserve">Количество судебных дел. Количество разработанных проектов нормативных правовых актов. Количество проведенных конкурсных процедур и заключенных договоров. Экономия по итогам заключенных  договоров. </t>
  </si>
  <si>
    <t>Предупреждение коррупции</t>
  </si>
  <si>
    <t>Взаимодействия с Евразийской экономической комиссией</t>
  </si>
  <si>
    <t>Количество экспертиз хоз.суб на соответствующие требования ст. 11 ЗКР "О коррупции"</t>
  </si>
  <si>
    <t>Количество исполненных актов (протоколов решений) ЕЭК</t>
  </si>
  <si>
    <t>Общая координация на региональном уровне/Общая координация на республиканском уровне</t>
  </si>
  <si>
    <t>37/9</t>
  </si>
  <si>
    <r>
      <t xml:space="preserve">Государственная поддержка конкурентных рынков и конкурентной среды в основных отраслях экономики                                              </t>
    </r>
    <r>
      <rPr>
        <sz val="11"/>
        <color theme="1"/>
        <rFont val="Times New Roman"/>
        <family val="1"/>
        <charset val="204"/>
      </rPr>
      <t xml:space="preserve"> Цель:Эффективное функционирование рынков товаров, работ и услуг в условиях здоровой конкуренции</t>
    </r>
  </si>
  <si>
    <t>Количество рассмотренных дел по уменьшению барьеров и монополистических действий с целью увеличения конкурентноспособности</t>
  </si>
  <si>
    <t>Обеспечение соблюдения законодательства в области антимонопольного и ценового регулирования</t>
  </si>
  <si>
    <t>Увеличение количества исполненных решений по результатам итоги работы.</t>
  </si>
  <si>
    <t xml:space="preserve">Анализ состояния конкуренции среды </t>
  </si>
  <si>
    <t>согласно плану</t>
  </si>
  <si>
    <t>Количество субьектов доминантов, исключенных из Госресстра доминантов</t>
  </si>
  <si>
    <t>Доля положительно рассмотренных заявлений по недобросовестной конкуренции от общего количества, поступивших заявлений</t>
  </si>
  <si>
    <t>Доля устраненых нарушений законодательства КР "О рекламе" от общего количества, выявленных нарушений</t>
  </si>
  <si>
    <t>Защита прав хозяйствующих субьектов и граждан недобросовестной конкуренции и действий государственных органов и органов МСУ, направленных на ограничение конкуренции</t>
  </si>
  <si>
    <t>Доля положительно рассмотренных заявлений от общего количества, поступивших заявлений от гражданского общества</t>
  </si>
  <si>
    <t>Доля выявленных нарушений, ограничивающих конкуренцию среди хозяйствующих субъектов</t>
  </si>
  <si>
    <t>Доля устраненых нарушений законодательства КР "О защите прав потребителей" от общего количества, выявленных нарушений</t>
  </si>
  <si>
    <t>Взаимодействие с конкурентными ведомствами стран СНГ и дальнего зарубежья</t>
  </si>
  <si>
    <t>по мере необходимости состовления соответствующих документов</t>
  </si>
  <si>
    <t>Повышение эффективности регулирования субьектов монополий/Государственная защита прав потребителей и рекламы:1. обеспечение защиты прав потребителей; 2. уменьшение количества нарушений Закона Кыргызской Республики «О рекламе»2. Международное сотрудничество в сфере антимонопольной политики, защиты прав потребителей и рекламы</t>
  </si>
  <si>
    <t>Количество установленных цен (тарифов)</t>
  </si>
  <si>
    <t>Количество согласованных форм контрактов</t>
  </si>
  <si>
    <t>Количество согласованных услуг по обоснованным ценам (тарифам)</t>
  </si>
  <si>
    <t>Установление цен (тарифов) на товары (работы, услуги) субьектов естественных монополий.</t>
  </si>
  <si>
    <t>73. Государственная служба миграции при Правительстве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</si>
  <si>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</si>
  <si>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Доля сотрудников, прошедших оценку деятельности с высоким баллом от общего количества сотрудников</t>
  </si>
  <si>
    <t>Количество разработанных проектов  нормативных правовых актов и внутренних локальных документов</t>
  </si>
  <si>
    <t>Количество освещений  деятельности вед-ва в СМИ</t>
  </si>
  <si>
    <t xml:space="preserve">Выполнение плана по демонтажу системной политической коррупции </t>
  </si>
  <si>
    <r>
      <t xml:space="preserve">Реализация политики в сфере миграции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Реализации государственной политики в сфере миграции  </t>
    </r>
    <r>
      <rPr>
        <b/>
        <sz val="11"/>
        <rFont val="Times New Roman"/>
        <family val="1"/>
        <charset val="204"/>
      </rPr>
      <t xml:space="preserve">                                   </t>
    </r>
  </si>
  <si>
    <t>Разработка стратегических документов в сфере миграции</t>
  </si>
  <si>
    <t>Количество статегических документов (стратегия,концепция, гос.программы)                                                                          количество граждан, имеющих ограничения на въезд на территорию РФ (ЧЕРНЫЙ СПИСОК)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</si>
  <si>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65 532              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</si>
  <si>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60000              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</si>
  <si>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50000              </t>
  </si>
  <si>
    <t xml:space="preserve">Регулирование процессов привлечения и использования  иностранной рабочей силы,рассмотрение статуса иммигранта </t>
  </si>
  <si>
    <t>Количество рассмотренных разрешительных документов иностранным гражданам и лицам без гражданства,   количество предоставленных статуса иммигранта</t>
  </si>
  <si>
    <t>12950  236</t>
  </si>
  <si>
    <t>17410   600</t>
  </si>
  <si>
    <t>17000  600</t>
  </si>
  <si>
    <t>17000   600</t>
  </si>
  <si>
    <t>Обеспечение защиты и  прав иммигрантов (этнических кыргызов,кайрылманов) и беженцев</t>
  </si>
  <si>
    <t>Кол-во рассмотренных и выданных документов (удостоверение беженца, свидетельство о регистрации ходатайства о предоставлении статуса беженца) беженцам и лицам, ищущим убежище</t>
  </si>
  <si>
    <t>32    180</t>
  </si>
  <si>
    <t>Оказание государственных услуг</t>
  </si>
  <si>
    <t xml:space="preserve">Кол-во выданных документов (удостоверение  кайрылманов),           количество разрешительных документов иностранным гражданам               </t>
  </si>
  <si>
    <t xml:space="preserve">      664    12950</t>
  </si>
  <si>
    <t>600     17410</t>
  </si>
  <si>
    <t>Разработка и реализация мер единой политики в области поддержки соотечественников и диаспор за рубежом</t>
  </si>
  <si>
    <t>Количество разработанных   нормативно-правовых актов в сфере  трудовой миграции</t>
  </si>
  <si>
    <t>Защита законных прав, интересов граждан КР и   оказание содействия по вопросам миграции и трудовой деятельности в Российской Федерации</t>
  </si>
  <si>
    <t>Количество граждан Кыргызской Республики, обратившихся за получением поддержки и консультаций</t>
  </si>
  <si>
    <t>819     3241</t>
  </si>
  <si>
    <t>800     3200</t>
  </si>
  <si>
    <t>Количество  взысканных сумм при содействии Представительства</t>
  </si>
  <si>
    <t>мл.сом</t>
  </si>
  <si>
    <t xml:space="preserve">Оказание содействия в трудоустройстве гражданам КР  на внешнем рынке труда.                                      Выплата компенсации расходов, связанных с доставкой на родину тел граждан КР </t>
  </si>
  <si>
    <t xml:space="preserve">Количество проконсультированных граждан по ворросам внешней трудовой миграции и организованного трудоустройства </t>
  </si>
  <si>
    <t>Доля выплаченных компенсаций</t>
  </si>
  <si>
    <t>74. Национальный статистический комитет Кыргызской Республики</t>
  </si>
  <si>
    <t>Организация и координация деятельности системы Нацстаткома. (Обеспечение финансовым, человеческим и правовым менеджментом)</t>
  </si>
  <si>
    <t xml:space="preserve">Доля своевременной выпускаемой статистической информации в соответствии с графиком выпуска. </t>
  </si>
  <si>
    <t>Доля пользователей статистической информации от общего числа населения.</t>
  </si>
  <si>
    <r>
      <t xml:space="preserve">Обеспечение качественного и достоверного статистического учета
</t>
    </r>
    <r>
      <rPr>
        <i/>
        <sz val="11"/>
        <color indexed="8"/>
        <rFont val="Times New Roman"/>
        <family val="1"/>
        <charset val="204"/>
      </rPr>
      <t>Цель: высокий уровень доступности и  достоверности предоставляемой статистической и аналитической информации</t>
    </r>
  </si>
  <si>
    <t>Индекс доверия пользователей к официальной статистической информации</t>
  </si>
  <si>
    <t>Общая координация на  областном и региональном уровне.</t>
  </si>
  <si>
    <t xml:space="preserve">Количество собираемой первичной информации (хозяйствующих субъектов)                                                                                                                                     </t>
  </si>
  <si>
    <t>тыс. ед.</t>
  </si>
  <si>
    <t>Подготовка и проведение государственных статистических переписей</t>
  </si>
  <si>
    <t>Количество собираемой информации (субъектов переписи)</t>
  </si>
  <si>
    <t>Сбор и техническая обработка статистических показателей (ГВЦ НСК КР)</t>
  </si>
  <si>
    <t xml:space="preserve"> Введение, сопровождение и контроль базы данных в ЕГРСЕ (Единый государственный регистр статистических единиц) классификаторов технико-экономической и социальной информации. Число хозяйствующих субъектов, включенных в статистический регистр.</t>
  </si>
  <si>
    <r>
      <t xml:space="preserve">Статистический учет и анализ развития отраслей экономики
</t>
    </r>
    <r>
      <rPr>
        <i/>
        <sz val="11"/>
        <color indexed="8"/>
        <rFont val="Times New Roman"/>
        <family val="1"/>
        <charset val="204"/>
      </rPr>
      <t>Цель: высокий уровень информированности субъектов управления для принятия обоснованных управленческих решений</t>
    </r>
  </si>
  <si>
    <t xml:space="preserve">Качество статистической информации. </t>
  </si>
  <si>
    <t xml:space="preserve"> Анализ информации по базовым статистическим показателям, статистика потребительского рынка,  домашних хозяйств,  сельского хозяйства, труда и занятости,  промышленности,  строительства и инвестиций,  внешней торговли , экономического развития, социального развития и статистика окружающей среды </t>
  </si>
  <si>
    <t>Формирование показателей системы национальных счетов по видам экономической деятельности и институциональным секторам экономики, количество респондентов по потребительскому рынку, домашних хозяйств,  по труду и занятости, по промышленности, по строительству и инвестициям, по экономическому развитию, реальному и финансовому сектору,  и социальному развитию, по окружающей среде, статистика туризма и чрезвычайных ситуаций, и количество обрабатываемой информации.   Количество публикаций</t>
  </si>
  <si>
    <t>тыс.ед.</t>
  </si>
  <si>
    <t>Освоение международных стандартов (заполняемость гармонизированными показателями статистических опросников, составленных международными организациями)</t>
  </si>
  <si>
    <r>
      <rPr>
        <b/>
        <sz val="11"/>
        <color indexed="8"/>
        <rFont val="Times New Roman"/>
        <family val="1"/>
        <charset val="204"/>
      </rPr>
      <t>Разработка, совершенствование и внедрение научно-обоснованной методологии в области статистики</t>
    </r>
    <r>
      <rPr>
        <sz val="11"/>
        <color indexed="8"/>
        <rFont val="Times New Roman"/>
        <family val="1"/>
        <charset val="204"/>
      </rPr>
      <t xml:space="preserve">
</t>
    </r>
    <r>
      <rPr>
        <i/>
        <sz val="11"/>
        <color indexed="8"/>
        <rFont val="Times New Roman"/>
        <family val="1"/>
        <charset val="204"/>
      </rPr>
      <t>Цель: высокий уровень качества статистической информации</t>
    </r>
  </si>
  <si>
    <t>Внедрение новых современных методов статистического наблюдения для сбора статистической информации</t>
  </si>
  <si>
    <t>Совершенствование методики сбора, обработки и анализа статистической информации</t>
  </si>
  <si>
    <t>Доля новых методик, внедренных в повседневную работу стат.органов от общего количества разработанных методик и предложений</t>
  </si>
  <si>
    <t>Повышение квалификации работников стат.органов</t>
  </si>
  <si>
    <t>Доля работников стат.органов, повысивших квалификацию от потребности</t>
  </si>
  <si>
    <t>Количество  мероприятий</t>
  </si>
  <si>
    <t>75. Фонд по управлению государственным имуществом при Правительстве Кыргызской Республики</t>
  </si>
  <si>
    <t>Реализация государственной политики по эффективному управлению и приватизации государственного имущества</t>
  </si>
  <si>
    <t xml:space="preserve">Планирование, управление и администрирование                                  </t>
  </si>
  <si>
    <t>Обзор и оценка системы внутреннего контроля, разработка стратегических, долгосрочных и годовых планов развития</t>
  </si>
  <si>
    <t xml:space="preserve">Эффективное управление государственным имуществом и систематизированный учет объектов государственной собственности                                           </t>
  </si>
  <si>
    <t>Поступление дивидендов на государственный пакет акций акционерных обществ с государственным участием в республиканский бюджет</t>
  </si>
  <si>
    <t>млн.сомов</t>
  </si>
  <si>
    <t>Поступление чистой прибыли государственных предприятий в республиканский бюджет</t>
  </si>
  <si>
    <t>Поступление средств от приватизации государственного имущества</t>
  </si>
  <si>
    <t>Поступление средств от аренды государственного имущества</t>
  </si>
  <si>
    <t>Охват государственного имущества в системе единого автоматизированного учета</t>
  </si>
  <si>
    <t>76. Фонд государственных материальных резервов при Правительстве Кыргызской Республики</t>
  </si>
  <si>
    <t>48/109</t>
  </si>
  <si>
    <t>Степень выполнения мероприятий Правительства и плана действий/обязательств председателя</t>
  </si>
  <si>
    <t>Доля сотрудников в регионе от общей численности сотрудников</t>
  </si>
  <si>
    <r>
      <t xml:space="preserve">Управление материальными ценностями государственного и мобилизационного резерва      </t>
    </r>
    <r>
      <rPr>
        <i/>
        <sz val="11"/>
        <color indexed="8"/>
        <rFont val="Times New Roman"/>
        <family val="1"/>
        <charset val="204"/>
      </rPr>
      <t>Цели программы: Учет и контроль</t>
    </r>
  </si>
  <si>
    <t>Обеспечение мобилизационных нужд Кыргызской Республики.</t>
  </si>
  <si>
    <t>Управление материальными ценностями государственного резерва</t>
  </si>
  <si>
    <t>Накопления материальных ценностей (гос.резерв)</t>
  </si>
  <si>
    <t>Управление материальными ценностями мобилизационного резерва</t>
  </si>
  <si>
    <t>Накопления материальных ценностей (моб.резерв)</t>
  </si>
  <si>
    <t>Организация закладок, накопления, хранения и использования госматрезервов (ФГМР-"Продовольственная программа")</t>
  </si>
  <si>
    <t>Доведение до нормы закладки материальных ценностей</t>
  </si>
  <si>
    <t>77. Высшая аттестационная комиссия Кыргызской Республики</t>
  </si>
  <si>
    <t>1 --1</t>
  </si>
  <si>
    <r>
      <t xml:space="preserve">Содействие улучшению качественного состава научных и научно-педагогических кадров, повышению эффективности их подготовки
</t>
    </r>
    <r>
      <rPr>
        <i/>
        <sz val="11"/>
        <color indexed="8"/>
        <rFont val="Times New Roman"/>
        <family val="1"/>
        <charset val="204"/>
      </rPr>
      <t>Цель программы Обеспечение контроля за научным уровнем диссертаций, их научной и практической ценностью, единством требований при аттестации научных и научно-педагогических кадров высшей квалификации</t>
    </r>
  </si>
  <si>
    <r>
      <rPr>
        <b/>
        <sz val="11"/>
        <color indexed="8"/>
        <rFont val="Times New Roman"/>
        <family val="1"/>
        <charset val="204"/>
      </rPr>
      <t xml:space="preserve">Процент решений Президиума ВАК на заключения эекпертных советов и выданных дипломов на положительные решения  </t>
    </r>
    <r>
      <rPr>
        <i/>
        <sz val="9"/>
        <color indexed="8"/>
        <rFont val="Arial"/>
        <family val="2"/>
        <charset val="204"/>
      </rPr>
      <t/>
    </r>
  </si>
  <si>
    <t xml:space="preserve">Организация работы диссертационных и экспертных советов, присуждение ученых степеней, присвоение ученых званий </t>
  </si>
  <si>
    <t>Отношение количества рассмотренных в срок диссертационных работ и аттестационных дел к общему количеству поступивших дел</t>
  </si>
  <si>
    <t>Подготовка и заключение международных договоров по вопросам аттестации научных и научно-педагогических кадров.</t>
  </si>
  <si>
    <t>Количество заключенных международных договоров</t>
  </si>
  <si>
    <t xml:space="preserve">Внедрение и использование электронных программ, баз данных, программы «Антиплагиат» </t>
  </si>
  <si>
    <t>Количество оцифрованного и введенного в базу данных материалов и диссертационных работ/ Отношение количества проверенных в срок диссертационных работ по программе "Антиплагиат"  к общему количеству поступивших дел на проверку</t>
  </si>
  <si>
    <t>ЕИ/%</t>
  </si>
  <si>
    <t>3000 /100</t>
  </si>
  <si>
    <t>79. Секретариат Совета безопасности  Кыргызской Республики</t>
  </si>
  <si>
    <t xml:space="preserve">Секретариат Совета безопасности </t>
  </si>
  <si>
    <t xml:space="preserve">Обеспечение деятельности Совета безопасности КР по проведению единой государственной политики в сфере обеспечения национальной безопасности </t>
  </si>
  <si>
    <t xml:space="preserve">Количество вопросов, рассмотренных на заседании Совета безопасности КР </t>
  </si>
  <si>
    <t>80. Национальная академия наук  Кыргызской Республики</t>
  </si>
  <si>
    <t>% исполнения индикаторов результативности по бюджетным программам НАН КР</t>
  </si>
  <si>
    <t>Привлечение молодых кадров</t>
  </si>
  <si>
    <t>Координация научно-организованной деятельности научных учреждений НАН КР</t>
  </si>
  <si>
    <t>Количество выпущенных постановлений</t>
  </si>
  <si>
    <t>Организация международного научного сотрудничества ученых НАН КР</t>
  </si>
  <si>
    <t xml:space="preserve">членство НАН КР в международных научных организаций </t>
  </si>
  <si>
    <t>Развитие физико-технических, математических и горно-геологических исследований</t>
  </si>
  <si>
    <t>Внедрение технологических разработок в производство</t>
  </si>
  <si>
    <t>Оценка сейсмической опасности и создание инженерно-сейсмометрической службы в районах расположения крупных ГЭС</t>
  </si>
  <si>
    <t xml:space="preserve">Количество проведенных землетрясений </t>
  </si>
  <si>
    <t>Изучение водных ресурсов и создание методов и средств контроля управления водными ресурсами. Научные основы рационального освоения гидроэнергетических ресурсов р.Сары-Джаз</t>
  </si>
  <si>
    <t>Количество проведенных экспертиз по расчету гидроэнергетического потенциала с учетом изменения климата для различных сценариев по отдельным рекам</t>
  </si>
  <si>
    <t>Разработка автоматизированной системы мониторинга, оборудования высоковольтных энергетических объектов. Исследование и разработка структур и методов обработки и хранения аэрокосмической видеоинформации</t>
  </si>
  <si>
    <t>Количество положительных решений по выдаче патентов на разработку систем автоматизированного учета потребления электроэнергии с предоплатой и изготовление макета датчика измерения уровня горных водотоков. Обработка аэрокосмической информации для конкретных народнохозяйственных задач</t>
  </si>
  <si>
    <t>Разработка методов и средств прогноза и предотвращения природных и техногенных катастроф. Разработка техники для бурения шпуров и скважин. Региональная геология и полезные ископаемые Кыргызстана</t>
  </si>
  <si>
    <t>Количество внедрений геологических карт</t>
  </si>
  <si>
    <t>Развитие химико-технологических, медико-биологических и сельскохозяйственных исследований</t>
  </si>
  <si>
    <t xml:space="preserve">Количество лабораторных исследований </t>
  </si>
  <si>
    <t>Интродукция, селекция и сохранение растений в Кыргызстане. Изучение лесных растительных ресурсов Кыргызстана с целью их сохранения и устойчивого использования. Изучение природных запасов и разработка технологий получения биоактивных соединений из полезных и лекарственных растений Кыргызстана</t>
  </si>
  <si>
    <t>Количество реализованной продукции (посадочный материал, эфирные масла) / Пополнение коллекционного гербарного фонда</t>
  </si>
  <si>
    <t>тыс.сом/вид</t>
  </si>
  <si>
    <t>Биотестирование животных, номинированных в банк генетических ресурсов Кыргызстана Разработка научных основ мониторинга состояние биологических компонентов природы Кыргызстана</t>
  </si>
  <si>
    <t>Проведение биоаттестации коров. Пополнение коллекционных фондов.</t>
  </si>
  <si>
    <t>100           18</t>
  </si>
  <si>
    <t>90                    18</t>
  </si>
  <si>
    <t>80             18</t>
  </si>
  <si>
    <t>90             18</t>
  </si>
  <si>
    <t>100          18</t>
  </si>
  <si>
    <t xml:space="preserve">Разработка инновационных технологий комплексной переработки минерального и органического сырья, поиск средств оптимизации адаптационных возможностей и повышения качества жизни населения гор </t>
  </si>
  <si>
    <t>Количество проведенных госэкспертиз и международных региональных проектов по разработке нового способа активизации карбонизатов (угля-сырца) с получением активированного угля, получению топливных брикетов из рисовой шелухи</t>
  </si>
  <si>
    <t>5               50</t>
  </si>
  <si>
    <t>5                        60</t>
  </si>
  <si>
    <t>5                    60</t>
  </si>
  <si>
    <t>5           60</t>
  </si>
  <si>
    <t>Развитие гуманитарных исследований</t>
  </si>
  <si>
    <t>Публикации (статьи, монографии, учебные пособии)</t>
  </si>
  <si>
    <t>Изучение истории кыргызов и Кыргызстана с древности до современности, проблемы изучения, использования культурного наследия Кыргызстана. Особенности развития и проблемы совершенствования рыночных институтов Кыргызской Республики</t>
  </si>
  <si>
    <t>Проведение госэкспертиз законов, нормативных актов</t>
  </si>
  <si>
    <t>6           11</t>
  </si>
  <si>
    <t>2              5</t>
  </si>
  <si>
    <t>2                 2</t>
  </si>
  <si>
    <t>2                   2</t>
  </si>
  <si>
    <t>2                      2</t>
  </si>
  <si>
    <t>Исследование вопросов методологии наук и  проведение социологических исследований в горных районах. Развитие гуманитарных исследований</t>
  </si>
  <si>
    <t>Количество выпущенных работ по теме "Межэтнические конфликты в КР: социологический анализ", "Экономика Кыргызстана: проблемы рационального использования природных ресурсов"</t>
  </si>
  <si>
    <t>Исследование региональных историко-философских, этно-лингвистических и социально-экономических проблем</t>
  </si>
  <si>
    <t xml:space="preserve">Количество проведенных научных конференций и организаций </t>
  </si>
  <si>
    <t>81. Клиническая больница УД Президента и Правительства Кыргызской Республики</t>
  </si>
  <si>
    <r>
      <t xml:space="preserve">Предоставление медицинских услуг.                </t>
    </r>
    <r>
      <rPr>
        <i/>
        <sz val="11"/>
        <color indexed="8"/>
        <rFont val="Times New Roman"/>
        <family val="1"/>
        <charset val="204"/>
      </rPr>
      <t>Цели: Улучшение качества предоставляемых медицинских услуг.</t>
    </r>
  </si>
  <si>
    <r>
      <rPr>
        <b/>
        <sz val="11"/>
        <color indexed="8"/>
        <rFont val="Times New Roman"/>
        <family val="1"/>
        <charset val="204"/>
      </rPr>
      <t xml:space="preserve">Индикатор результативности </t>
    </r>
    <r>
      <rPr>
        <sz val="11"/>
        <color indexed="8"/>
        <rFont val="Times New Roman"/>
        <family val="1"/>
        <charset val="204"/>
      </rPr>
      <t>(</t>
    </r>
    <r>
      <rPr>
        <i/>
        <sz val="11"/>
        <color indexed="8"/>
        <rFont val="Times New Roman"/>
        <family val="1"/>
        <charset val="204"/>
      </rPr>
      <t>целевой индикатор по Программе</t>
    </r>
    <r>
      <rPr>
        <sz val="11"/>
        <color indexed="8"/>
        <rFont val="Times New Roman"/>
        <family val="1"/>
        <charset val="204"/>
      </rPr>
      <t>)</t>
    </r>
  </si>
  <si>
    <t>Оптимизация системы предоставления медицинских услуг и повышение качества медицинских услуг, оказываемых КБ.</t>
  </si>
  <si>
    <t>Число пролеченных больных</t>
  </si>
  <si>
    <t>82. Национальный центр Кыргызской Республики по предупреждению пыток и др. жестоких, бесчеловечных или унижающих достоинство видов обращения и наказания</t>
  </si>
  <si>
    <t>Доля результатов мониторинга, принятых к исполнению в официальных внутренних документах от общего количества результатов мониторинга</t>
  </si>
  <si>
    <t>Процентное соотношение количества превентивных посещений в регионах к посещениям в ЦА Национального центра</t>
  </si>
  <si>
    <r>
      <t xml:space="preserve">Предупреждение пыток и жестокого обращения в местах лишения и ограничения свободы
</t>
    </r>
    <r>
      <rPr>
        <i/>
        <sz val="11"/>
        <color indexed="8"/>
        <rFont val="Times New Roman"/>
        <family val="1"/>
        <charset val="204"/>
      </rPr>
      <t>Цель: Искоренение пыток и жестокого обращения, угрозы их применения  в местах лишения и ограничения свободы, детских учреждениях и психоневрологических диспансерах и т. д.</t>
    </r>
  </si>
  <si>
    <t>Динамика снижения (увеличения) фактов пыток в местах лишения и ограничения свободы, детских учреждениях и психоневрологических диспансерах</t>
  </si>
  <si>
    <t>Формирование в обществе нетерпимости к пыткам и жестокому обращению</t>
  </si>
  <si>
    <t>Количество проведенных мероприятий (круглых столов, семинаров, тренингов)</t>
  </si>
  <si>
    <t>Обеспечение законных прав в местах лишения и ограничения свободы</t>
  </si>
  <si>
    <t>Количество выработанных Нац. Центром рекомендаций по искоренению пыток и улучшению условий содержания, принятых к реализации другими гос. Органами</t>
  </si>
  <si>
    <t>Содействие улучшению условий содержания в местах лишения и ограничения свободы, детских учреждениях и психоневрологических диспансерах</t>
  </si>
  <si>
    <t>Удовлетворенность положительными изменениями условий содержания в местах лишения и ограничения свободы, детских учреждениях и психоневрологических диспансерах(результаты опросов)</t>
  </si>
  <si>
    <t>Обеспечение проведения регулярных превентивных посещений мест лишения и ограничения свободы, детских учреждений и психоневрологических диспансеров</t>
  </si>
  <si>
    <t>Общее количество превентивных посещений по республике по сообщениям, заявлениям</t>
  </si>
  <si>
    <t>Из них количество превентивных посещений согласно ежегодному плану Национального центра</t>
  </si>
  <si>
    <t>Мониторинг и анализ исполнения КР требований международных конвенций в области искоренения пыток и жесткого обращения</t>
  </si>
  <si>
    <t>Процент исполнения требований международных договоров в области предупреждения пыток</t>
  </si>
  <si>
    <t>83. Государственное агентство по регулированию ТЭК при Правительстве Кыргызской Республики</t>
  </si>
  <si>
    <r>
      <t>Создание экономических стимулов для развития сектора энергетики</t>
    </r>
    <r>
      <rPr>
        <sz val="11"/>
        <color indexed="8"/>
        <rFont val="Times New Roman"/>
        <family val="1"/>
        <charset val="204"/>
      </rPr>
      <t xml:space="preserve">
</t>
    </r>
    <r>
      <rPr>
        <i/>
        <sz val="11"/>
        <color indexed="8"/>
        <rFont val="Times New Roman"/>
        <family val="1"/>
        <charset val="204"/>
      </rPr>
      <t>Цель программы - создание условий повышения экономической эффективности и надежности функционирования действующих в области ТЭК хозяйствующих субъектов</t>
    </r>
  </si>
  <si>
    <t>Тарифное регулирование сектора энергетики</t>
  </si>
  <si>
    <t>Установление тарифов в секторе энергетики</t>
  </si>
  <si>
    <t>Осуществление контроля соблюдения законодательства в сфере ТЭК</t>
  </si>
  <si>
    <t>Сумма отчислений по выявленным нарушениям</t>
  </si>
  <si>
    <t>тыс. сом</t>
  </si>
  <si>
    <t>84. Редакция газеты "Эркин-Тоо"</t>
  </si>
  <si>
    <t>Издание газеты "Эркин- Тоо"</t>
  </si>
  <si>
    <t>Опубликование нормативных правовых актов Правительства, Президента, Жогорку Кенеша Кыргызской Республики в газете "Эркин-Тоо"</t>
  </si>
  <si>
    <t xml:space="preserve">доля своевременно опубликованных нормативно-правовых актов </t>
  </si>
  <si>
    <t>85. Телерадиовещательные компании Кыргызской Республики</t>
  </si>
  <si>
    <t>Общественная телерадиовещательная корпорация Кыргызской Республики</t>
  </si>
  <si>
    <t>4/7</t>
  </si>
  <si>
    <t>3/5</t>
  </si>
  <si>
    <t>3/4</t>
  </si>
  <si>
    <t>2/3</t>
  </si>
  <si>
    <r>
      <t xml:space="preserve">Координирование, создание и распространение ТВ
</t>
    </r>
    <r>
      <rPr>
        <i/>
        <sz val="11"/>
        <color indexed="8"/>
        <rFont val="Times New Roman"/>
        <family val="1"/>
        <charset val="204"/>
      </rPr>
      <t>Цель программ: Качественное и доступное получение информации по ТВ</t>
    </r>
  </si>
  <si>
    <t>Обеспечение Технического Контроля (ОТК)</t>
  </si>
  <si>
    <t>Контроль качества объектов вещания</t>
  </si>
  <si>
    <t>Информационно-аналитическая, социально-экономическая программа</t>
  </si>
  <si>
    <t xml:space="preserve">Рейтинг по всем показателям исследования </t>
  </si>
  <si>
    <t>2/10</t>
  </si>
  <si>
    <t>Детская, культурно-развлекательная, спортивная программа</t>
  </si>
  <si>
    <t>3/10</t>
  </si>
  <si>
    <t>4/10</t>
  </si>
  <si>
    <t>Дирекция программ ТВ</t>
  </si>
  <si>
    <t>Объем вещания</t>
  </si>
  <si>
    <t>час</t>
  </si>
  <si>
    <t>49275</t>
  </si>
  <si>
    <t>Распространения ТВ программ на всю республику</t>
  </si>
  <si>
    <t>Охват населения</t>
  </si>
  <si>
    <t>Техническое обеспечение ТВ программ (РРТЦ)</t>
  </si>
  <si>
    <t>Качество оказываемых технических услуг</t>
  </si>
  <si>
    <r>
      <t xml:space="preserve">Программирование, создание и распространение РВ
</t>
    </r>
    <r>
      <rPr>
        <i/>
        <sz val="11"/>
        <color indexed="8"/>
        <rFont val="Times New Roman"/>
        <family val="1"/>
        <charset val="204"/>
      </rPr>
      <t>Цель программы:Качественное и доступное получение информации по РВ</t>
    </r>
  </si>
  <si>
    <t>Информационно-аналитическая программа</t>
  </si>
  <si>
    <t>1/15</t>
  </si>
  <si>
    <t>1/10</t>
  </si>
  <si>
    <t>Детская, культурно-развлекательная программа</t>
  </si>
  <si>
    <t>2/15</t>
  </si>
  <si>
    <t>Обеспечение технического контроля выпуска радиопрограмм</t>
  </si>
  <si>
    <t>Программирование выпуска радиопрограмм</t>
  </si>
  <si>
    <t>21900</t>
  </si>
  <si>
    <t>26280</t>
  </si>
  <si>
    <t>Распространения РВ программ на всю республику</t>
  </si>
  <si>
    <t>Техническое обеспечение РВ программ (РРТЦ)</t>
  </si>
  <si>
    <t>Качество оказываемых технических  услуг</t>
  </si>
  <si>
    <r>
      <t xml:space="preserve">Производство ТВ фильмов                                             </t>
    </r>
    <r>
      <rPr>
        <i/>
        <sz val="11"/>
        <color indexed="8"/>
        <rFont val="Times New Roman"/>
        <family val="1"/>
        <charset val="204"/>
      </rPr>
      <t>Цель: Просвещение, пропаганда зрителей</t>
    </r>
  </si>
  <si>
    <t>Прокат кино-видео продукции</t>
  </si>
  <si>
    <t>Производство художественных, хроникально - документальных телефильмов, телепередач</t>
  </si>
  <si>
    <t>Количество фильмов, телепередач</t>
  </si>
  <si>
    <t xml:space="preserve">Государственная телерадиовещательная компания Кыргызской Республики "ЭлТР"        </t>
  </si>
  <si>
    <r>
      <t xml:space="preserve">Создание и распространение телевещания на территории КР и за ее пределами
</t>
    </r>
    <r>
      <rPr>
        <i/>
        <sz val="11"/>
        <color indexed="8"/>
        <rFont val="Times New Roman"/>
        <family val="1"/>
        <charset val="204"/>
      </rPr>
      <t>Цель программы: Оказание информационно-просветительских услуг путем выпуска телепередач в телеэфире</t>
    </r>
  </si>
  <si>
    <t>Индикатор результативности: Охват телевещанием в % от общего числа населения</t>
  </si>
  <si>
    <t>Производство и выпуск в эфир телепрограмм</t>
  </si>
  <si>
    <t>Рейтинг телепрограмм</t>
  </si>
  <si>
    <t>Техническое обеспечение телевещания</t>
  </si>
  <si>
    <t>Удельный вес территории КР, охваченной телевещанием</t>
  </si>
  <si>
    <r>
      <t xml:space="preserve">Создание и распространение радиовещания на территории КР и за ее пределами
</t>
    </r>
    <r>
      <rPr>
        <i/>
        <sz val="11"/>
        <color indexed="8"/>
        <rFont val="Times New Roman"/>
        <family val="1"/>
        <charset val="204"/>
      </rPr>
      <t>Цель программы: Оказание инофрмационно-просветительсикх услуг путем выпуска радиопередач в радиоэфире</t>
    </r>
  </si>
  <si>
    <t>Индикатор результативности: Охват радиовещанием в % от общего числа населения</t>
  </si>
  <si>
    <t>Производство и выпуск в эфир радиопрограмм</t>
  </si>
  <si>
    <t>Рейтинг радипрограмм</t>
  </si>
  <si>
    <t>Национальный филиал межгосударственной телерадиовещательной компании «Мир» в Кыргызской Республике</t>
  </si>
  <si>
    <t>Охват ТВ и РВ вещанием населения КР</t>
  </si>
  <si>
    <t>Учет кадров, ведение делопроизводства</t>
  </si>
  <si>
    <t>Юридическое обслуживание Компании, подготовка договоров</t>
  </si>
  <si>
    <t>Производство телевизионных и радио программ, их распространение</t>
  </si>
  <si>
    <t>Общее кол-во созданных филиалом ТВ и РВ программ в консолидированном эфире МТРК "Мир"</t>
  </si>
  <si>
    <t>541ч06м20</t>
  </si>
  <si>
    <t>Создание и распространение ТВ программ</t>
  </si>
  <si>
    <t>Хронометраж созданных филиалом ТВ программ для МТРК "Мир"</t>
  </si>
  <si>
    <t>41ч46м20с</t>
  </si>
  <si>
    <t>Создание и распространение РВ программ</t>
  </si>
  <si>
    <t>Хронометраж созданных филиалом РВ программ для МТРК "Мир"</t>
  </si>
  <si>
    <t>501ч</t>
  </si>
  <si>
    <t>Техническое обеспечение и распрстранение ТВ и РВ программ</t>
  </si>
  <si>
    <t>98</t>
  </si>
  <si>
    <t>86. Государственная судебно-экспертная служба при Правительстве Кыргызской Республики</t>
  </si>
  <si>
    <r>
      <rPr>
        <b/>
        <sz val="11"/>
        <color indexed="8"/>
        <rFont val="Times New Roman"/>
        <family val="1"/>
        <charset val="204"/>
      </rPr>
      <t xml:space="preserve">Планирование, управление и администрирование </t>
    </r>
    <r>
      <rPr>
        <sz val="11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Координиция судебно-экспертной деятельности</t>
    </r>
  </si>
  <si>
    <r>
      <t xml:space="preserve">Осуществление судебно-экспертной деятельности
</t>
    </r>
    <r>
      <rPr>
        <b/>
        <i/>
        <sz val="11"/>
        <color indexed="8"/>
        <rFont val="Times New Roman"/>
        <family val="1"/>
        <charset val="204"/>
      </rPr>
      <t>Цель программы: Проведение судебных экспертиз</t>
    </r>
  </si>
  <si>
    <t>Повышение качества проведенных судебных экспертиз</t>
  </si>
  <si>
    <t>Осуществление судебных экспертиз</t>
  </si>
  <si>
    <t>Кол-во проведенных судебных экспертиз</t>
  </si>
  <si>
    <t>87. Государственное учреждение "Кыргызтест"</t>
  </si>
  <si>
    <r>
      <rPr>
        <b/>
        <sz val="11"/>
        <color indexed="8"/>
        <rFont val="Times New Roman"/>
        <family val="1"/>
        <charset val="204"/>
      </rPr>
      <t xml:space="preserve">Планирование, управление и администрирование          </t>
    </r>
    <r>
      <rPr>
        <sz val="11"/>
        <color indexed="8"/>
        <rFont val="Times New Roman"/>
        <family val="1"/>
        <charset val="204"/>
      </rPr>
      <t xml:space="preserve">                                   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</si>
  <si>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Процент своевременного обеспечения</t>
  </si>
  <si>
    <t>Создание и введение в Кыргызской Республике системы Кыргызтест - как единого измерительного инструмента по определению уровня владения государственным, официальным и международным языками</t>
  </si>
  <si>
    <t>Цель программы осуществление единой системы оценки уровня владения государственным, официальным и международным языками</t>
  </si>
  <si>
    <t>Проведение тестирования по республике</t>
  </si>
  <si>
    <t>Количество протестированных</t>
  </si>
  <si>
    <t>Разработка и издание нормативно-методических документов по оценке уровня владения официальным языком (А2)/Разработка и издание нормативно- методических документов по оценке уровня владения официальным языком (А1 - В2)</t>
  </si>
  <si>
    <t>количество экз.</t>
  </si>
  <si>
    <t xml:space="preserve"> Разработка тестовых заданий и экспертиза по государственному и официальным языкам</t>
  </si>
  <si>
    <t>кол-во тестовых заданий</t>
  </si>
  <si>
    <t>Разработка электронного учебника по государственному языку  (А2)/Разработка электронного учебника по государственному языку  (А1- В1)</t>
  </si>
  <si>
    <t>Количество наименований учебников</t>
  </si>
  <si>
    <t>Обучение разработчиков тестовых заданий и экспертов путем привлечения международных специалистов/Разработка программного обеспечения системы "Кыргызтест" по новой методике оценки  владения государственным, официальным языками</t>
  </si>
  <si>
    <t>Разработка первой части учебника(процент завершенности)</t>
  </si>
  <si>
    <t>Применение Интернет-ресурсов для пробного тестирования  владения государственным, официальным языками</t>
  </si>
  <si>
    <t>Техническая поддержка и развитие мобильного приложения системы "Кыргызтест" для дистанционного тестирования/Создание мобильного приложения системы "Кыргызтест" для тестирования</t>
  </si>
  <si>
    <t>1 вебпортал (% завершонности)</t>
  </si>
  <si>
    <t>88. Национальная академия "Манас" и Ч.Айтматова</t>
  </si>
  <si>
    <t>Организация деятельности и службы обеспечения/Управление человеческими ресурсами</t>
  </si>
  <si>
    <r>
      <t xml:space="preserve">Организация и планирование мероприятий деятельности Учреждения                                              </t>
    </r>
    <r>
      <rPr>
        <i/>
        <sz val="11"/>
        <color rgb="FF000000"/>
        <rFont val="Times New Roman"/>
        <family val="1"/>
        <charset val="204"/>
      </rPr>
      <t>Цель программы:широкое распространение, сохранение и развитие популяризации трилогии эпоса "Манас", а также ценностей культурного наследия народного писателя КР Ч.Айтматова</t>
    </r>
  </si>
  <si>
    <t>Организация и проведение культурных мероприятий, международных симпозиумов, конгрессов по проблемам эпоса Манас и наследия Ч.Айтматова. Публикация научных материалов в области манасоведения и чингизоведения</t>
  </si>
  <si>
    <t>всего</t>
  </si>
  <si>
    <r>
      <t xml:space="preserve">Обеспечение конституционного правосудия и повышение потенциала Конституционной палаты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эффективности обеспечение конституционного правосудия, изучение и применение международных стандартов конституционного правосудия</t>
    </r>
  </si>
  <si>
    <t xml:space="preserve"> к Закону Кыргызской Республики</t>
  </si>
  <si>
    <t xml:space="preserve"> «О республиканском бюджете Кыргызской Республики на 2020 год 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</si>
</sst>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_₽_-;\-* #,##0.00\ _₽_-;_-* &quot;-&quot;??\ _₽_-;_-@_-"/>
    <numFmt numFmtId="165" formatCode="_(* #,##0.00_);_(* \(#,##0.00\);_(* &quot;-&quot;??_);_(@_)"/>
    <numFmt numFmtId="166" formatCode="0.0"/>
    <numFmt numFmtId="167" formatCode="#,##0.0"/>
    <numFmt numFmtId="168" formatCode="###,000__;\-###,000__"/>
    <numFmt numFmtId="169" formatCode="##,#00__;\-##,#00__"/>
    <numFmt numFmtId="170" formatCode="###,000;[Red]\-###,000"/>
    <numFmt numFmtId="171" formatCode="###,000__;[Red]\-###,000__"/>
    <numFmt numFmtId="172" formatCode="_-* #,##0.00\ _р_._-;\-* #,##0.00\ _р_._-;_-* &quot;-&quot;??\ _р_._-;_-@_-"/>
    <numFmt numFmtId="173" formatCode="_-* #,##0.0_р_._-;\-* #,##0.0_р_._-;_-* &quot;-&quot;??_р_._-;_-@_-"/>
    <numFmt numFmtId="174" formatCode="_-* #,##0.0\ _с_о_м_-;\-* #,##0.0\ _с_о_м_-;_-* &quot;-&quot;?\ _с_о_м_-;_-@_-"/>
    <numFmt numFmtId="175" formatCode="0.0%"/>
    <numFmt numFmtId="176" formatCode="000000"/>
    <numFmt numFmtId="177" formatCode="0.00;[Red]0.00"/>
    <numFmt numFmtId="178" formatCode="0;[Red]0"/>
    <numFmt numFmtId="179" formatCode="#,##0_ ;\-#,##0\ "/>
    <numFmt numFmtId="180" formatCode="0.000"/>
    <numFmt numFmtId="181" formatCode="#,##0_ ;[Red]\-#,##0\ "/>
    <numFmt numFmtId="182" formatCode="_ * #,##0.00_ ;_ * \-#,##0.00_ ;_ * &quot;-&quot;??_ ;_ @_ "/>
    <numFmt numFmtId="183" formatCode="#,##0.00_ ;[Red]\-#,##0.00\ "/>
    <numFmt numFmtId="184" formatCode="_-* #,##0.0_р_._-;\-* #,##0.0_р_._-;_-* &quot;-&quot;?_р_._-;_-@_-"/>
    <numFmt numFmtId="185" formatCode="_-* #,##0_р_._-;\-* #,##0_р_._-;_-* &quot;-&quot;??_р_._-;_-@_-"/>
    <numFmt numFmtId="186" formatCode="###,000.00__;\-###,000.00__"/>
    <numFmt numFmtId="187" formatCode="#,##0.0_ ;[Red]\-#,##0.0\ "/>
  </numFmts>
  <fonts count="7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 Cyr"/>
      <charset val="204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1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  <charset val="204"/>
    </font>
    <font>
      <i/>
      <sz val="1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0"/>
      <color indexed="81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rgb="FF000000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1"/>
      <color rgb="FF000000"/>
      <name val="Courier New"/>
      <family val="3"/>
      <charset val="204"/>
    </font>
    <font>
      <u/>
      <sz val="11"/>
      <name val="Times New Roman"/>
      <family val="1"/>
      <charset val="204"/>
    </font>
    <font>
      <sz val="11"/>
      <color indexed="8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9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6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167" fontId="8" fillId="0" borderId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7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11">
      <alignment vertical="center" wrapText="1"/>
    </xf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0" borderId="0" applyNumberFormat="0" applyBorder="0" applyAlignment="0" applyProtection="0"/>
    <xf numFmtId="0" fontId="11" fillId="9" borderId="0" applyNumberFormat="0" applyBorder="0" applyAlignment="0" applyProtection="0"/>
    <xf numFmtId="0" fontId="11" fillId="25" borderId="0" applyNumberFormat="0" applyBorder="0" applyAlignment="0" applyProtection="0"/>
    <xf numFmtId="0" fontId="18" fillId="11" borderId="0" applyNumberFormat="0" applyBorder="0" applyAlignment="0" applyProtection="0"/>
    <xf numFmtId="0" fontId="14" fillId="7" borderId="15" applyNumberFormat="0" applyAlignment="0" applyProtection="0"/>
    <xf numFmtId="0" fontId="16" fillId="26" borderId="16" applyNumberFormat="0" applyAlignment="0" applyProtection="0"/>
    <xf numFmtId="0" fontId="19" fillId="0" borderId="0" applyNumberFormat="0" applyFill="0" applyBorder="0" applyAlignment="0" applyProtection="0"/>
    <xf numFmtId="0" fontId="22" fillId="12" borderId="0" applyNumberFormat="0" applyBorder="0" applyAlignment="0" applyProtection="0"/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5" fillId="0" borderId="0" applyNumberFormat="0" applyFill="0" applyBorder="0" applyAlignment="0" applyProtection="0"/>
    <xf numFmtId="0" fontId="12" fillId="5" borderId="15" applyNumberFormat="0" applyAlignment="0" applyProtection="0"/>
    <xf numFmtId="0" fontId="20" fillId="0" borderId="20" applyNumberFormat="0" applyFill="0" applyAlignment="0" applyProtection="0"/>
    <xf numFmtId="0" fontId="17" fillId="8" borderId="0" applyNumberFormat="0" applyBorder="0" applyAlignment="0" applyProtection="0"/>
    <xf numFmtId="0" fontId="3" fillId="6" borderId="21" applyNumberFormat="0" applyFont="0" applyAlignment="0" applyProtection="0"/>
    <xf numFmtId="0" fontId="13" fillId="7" borderId="22" applyNumberFormat="0" applyAlignment="0" applyProtection="0"/>
    <xf numFmtId="0" fontId="26" fillId="0" borderId="0" applyNumberFormat="0" applyFill="0" applyBorder="0" applyAlignment="0" applyProtection="0"/>
    <xf numFmtId="0" fontId="15" fillId="0" borderId="23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172" fontId="10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31" fillId="0" borderId="0"/>
    <xf numFmtId="0" fontId="6" fillId="0" borderId="0"/>
    <xf numFmtId="0" fontId="6" fillId="0" borderId="0"/>
    <xf numFmtId="0" fontId="1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82" fontId="10" fillId="0" borderId="0" applyFont="0" applyFill="0" applyBorder="0" applyAlignment="0" applyProtection="0">
      <alignment vertical="center"/>
    </xf>
    <xf numFmtId="0" fontId="6" fillId="0" borderId="0"/>
    <xf numFmtId="9" fontId="1" fillId="0" borderId="0" applyFont="0" applyFill="0" applyBorder="0" applyAlignment="0" applyProtection="0"/>
    <xf numFmtId="0" fontId="3" fillId="0" borderId="0"/>
  </cellStyleXfs>
  <cellXfs count="2714">
    <xf numFmtId="0" fontId="0" fillId="0" borderId="0" xfId="0"/>
    <xf numFmtId="168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wrapText="1"/>
    </xf>
    <xf numFmtId="0" fontId="30" fillId="0" borderId="0" xfId="0" applyFont="1" applyAlignment="1">
      <alignment horizontal="left" vertical="center" wrapText="1"/>
    </xf>
    <xf numFmtId="171" fontId="29" fillId="0" borderId="0" xfId="0" applyNumberFormat="1" applyFont="1" applyAlignment="1">
      <alignment horizontal="center"/>
    </xf>
    <xf numFmtId="169" fontId="29" fillId="0" borderId="0" xfId="0" applyNumberFormat="1" applyFont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29" fillId="3" borderId="1" xfId="0" applyFont="1" applyFill="1" applyBorder="1" applyAlignment="1">
      <alignment horizontal="left" vertical="center"/>
    </xf>
    <xf numFmtId="167" fontId="30" fillId="3" borderId="1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2" borderId="0" xfId="0" applyFont="1" applyFill="1" applyBorder="1" applyAlignment="1">
      <alignment horizontal="left" vertical="center" wrapText="1"/>
    </xf>
    <xf numFmtId="0" fontId="29" fillId="0" borderId="0" xfId="0" applyFont="1"/>
    <xf numFmtId="0" fontId="29" fillId="0" borderId="0" xfId="0" applyFont="1" applyFill="1"/>
    <xf numFmtId="0" fontId="29" fillId="0" borderId="1" xfId="0" applyFont="1" applyFill="1" applyBorder="1" applyAlignment="1">
      <alignment wrapText="1"/>
    </xf>
    <xf numFmtId="167" fontId="29" fillId="0" borderId="0" xfId="1" applyNumberFormat="1" applyFont="1" applyAlignment="1">
      <alignment horizontal="center" vertical="center"/>
    </xf>
    <xf numFmtId="0" fontId="29" fillId="0" borderId="0" xfId="0" applyFont="1" applyBorder="1" applyAlignment="1">
      <alignment horizontal="right" vertical="center"/>
    </xf>
    <xf numFmtId="168" fontId="30" fillId="2" borderId="0" xfId="0" applyNumberFormat="1" applyFont="1" applyFill="1" applyAlignment="1">
      <alignment horizontal="center" vertical="center"/>
    </xf>
    <xf numFmtId="49" fontId="30" fillId="0" borderId="0" xfId="0" applyNumberFormat="1" applyFont="1" applyAlignment="1">
      <alignment horizontal="center" vertical="center" wrapText="1"/>
    </xf>
    <xf numFmtId="169" fontId="29" fillId="0" borderId="0" xfId="0" applyNumberFormat="1" applyFont="1" applyAlignment="1">
      <alignment horizontal="center"/>
    </xf>
    <xf numFmtId="169" fontId="30" fillId="0" borderId="0" xfId="0" applyNumberFormat="1" applyFont="1" applyAlignment="1">
      <alignment horizontal="center" vertical="center" wrapText="1"/>
    </xf>
    <xf numFmtId="169" fontId="30" fillId="2" borderId="0" xfId="0" applyNumberFormat="1" applyFont="1" applyFill="1" applyAlignment="1">
      <alignment horizontal="center" vertical="center"/>
    </xf>
    <xf numFmtId="168" fontId="29" fillId="0" borderId="0" xfId="0" applyNumberFormat="1" applyFont="1" applyAlignment="1">
      <alignment horizontal="center"/>
    </xf>
    <xf numFmtId="0" fontId="30" fillId="0" borderId="1" xfId="0" applyFont="1" applyFill="1" applyBorder="1" applyAlignment="1">
      <alignment horizontal="center" vertical="center" wrapText="1"/>
    </xf>
    <xf numFmtId="166" fontId="29" fillId="2" borderId="1" xfId="0" applyNumberFormat="1" applyFont="1" applyFill="1" applyBorder="1" applyAlignment="1">
      <alignment horizontal="center" vertical="center" wrapText="1"/>
    </xf>
    <xf numFmtId="167" fontId="30" fillId="2" borderId="1" xfId="1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29" fillId="0" borderId="4" xfId="2" applyFont="1" applyFill="1" applyBorder="1" applyAlignment="1">
      <alignment horizontal="left" vertical="center" wrapText="1"/>
    </xf>
    <xf numFmtId="169" fontId="29" fillId="0" borderId="4" xfId="0" applyNumberFormat="1" applyFont="1" applyBorder="1" applyAlignment="1">
      <alignment horizontal="right" vertical="center"/>
    </xf>
    <xf numFmtId="169" fontId="29" fillId="0" borderId="1" xfId="0" applyNumberFormat="1" applyFont="1" applyBorder="1" applyAlignment="1">
      <alignment horizontal="right" vertical="center"/>
    </xf>
    <xf numFmtId="0" fontId="29" fillId="0" borderId="1" xfId="0" applyFont="1" applyFill="1" applyBorder="1" applyAlignment="1">
      <alignment horizontal="center" vertical="center" wrapText="1"/>
    </xf>
    <xf numFmtId="169" fontId="29" fillId="3" borderId="0" xfId="0" applyNumberFormat="1" applyFont="1" applyFill="1" applyAlignment="1">
      <alignment horizontal="center"/>
    </xf>
    <xf numFmtId="0" fontId="29" fillId="3" borderId="26" xfId="0" applyFont="1" applyFill="1" applyBorder="1"/>
    <xf numFmtId="0" fontId="29" fillId="0" borderId="8" xfId="0" applyFont="1" applyFill="1" applyBorder="1" applyAlignment="1">
      <alignment horizontal="center" vertical="center" wrapText="1"/>
    </xf>
    <xf numFmtId="167" fontId="30" fillId="3" borderId="1" xfId="7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vertical="top" wrapText="1"/>
    </xf>
    <xf numFmtId="0" fontId="29" fillId="2" borderId="1" xfId="0" applyFont="1" applyFill="1" applyBorder="1" applyAlignment="1">
      <alignment vertical="top" wrapText="1"/>
    </xf>
    <xf numFmtId="0" fontId="29" fillId="0" borderId="1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top" wrapText="1"/>
    </xf>
    <xf numFmtId="0" fontId="29" fillId="0" borderId="8" xfId="0" applyFont="1" applyFill="1" applyBorder="1" applyAlignment="1">
      <alignment vertical="top" wrapText="1"/>
    </xf>
    <xf numFmtId="49" fontId="30" fillId="0" borderId="1" xfId="0" applyNumberFormat="1" applyFont="1" applyFill="1" applyBorder="1" applyAlignment="1">
      <alignment horizontal="center" vertical="top"/>
    </xf>
    <xf numFmtId="3" fontId="29" fillId="0" borderId="1" xfId="0" applyNumberFormat="1" applyFont="1" applyFill="1" applyBorder="1" applyAlignment="1">
      <alignment horizontal="center" vertical="center" wrapText="1"/>
    </xf>
    <xf numFmtId="166" fontId="29" fillId="0" borderId="1" xfId="0" applyNumberFormat="1" applyFont="1" applyFill="1" applyBorder="1" applyAlignment="1">
      <alignment horizontal="center" vertical="center"/>
    </xf>
    <xf numFmtId="3" fontId="29" fillId="0" borderId="7" xfId="0" applyNumberFormat="1" applyFont="1" applyFill="1" applyBorder="1" applyAlignment="1">
      <alignment horizontal="center" vertical="center" wrapText="1"/>
    </xf>
    <xf numFmtId="3" fontId="29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vertical="center" wrapText="1"/>
    </xf>
    <xf numFmtId="3" fontId="29" fillId="0" borderId="8" xfId="0" applyNumberFormat="1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left" vertical="top" wrapText="1"/>
    </xf>
    <xf numFmtId="0" fontId="29" fillId="0" borderId="1" xfId="0" applyFont="1" applyFill="1" applyBorder="1" applyAlignment="1">
      <alignment vertical="center"/>
    </xf>
    <xf numFmtId="17" fontId="29" fillId="2" borderId="8" xfId="0" applyNumberFormat="1" applyFont="1" applyFill="1" applyBorder="1" applyAlignment="1">
      <alignment horizontal="left" vertical="top" wrapText="1"/>
    </xf>
    <xf numFmtId="0" fontId="29" fillId="0" borderId="13" xfId="0" applyFont="1" applyFill="1" applyBorder="1" applyAlignment="1">
      <alignment horizontal="center" vertical="center" wrapText="1"/>
    </xf>
    <xf numFmtId="49" fontId="29" fillId="2" borderId="7" xfId="0" applyNumberFormat="1" applyFont="1" applyFill="1" applyBorder="1" applyAlignment="1">
      <alignment vertical="top"/>
    </xf>
    <xf numFmtId="167" fontId="29" fillId="2" borderId="8" xfId="0" applyNumberFormat="1" applyFont="1" applyFill="1" applyBorder="1" applyAlignment="1">
      <alignment horizontal="center" vertical="top" wrapText="1"/>
    </xf>
    <xf numFmtId="167" fontId="29" fillId="2" borderId="1" xfId="0" applyNumberFormat="1" applyFont="1" applyFill="1" applyBorder="1" applyAlignment="1">
      <alignment horizontal="center" vertical="top" wrapText="1"/>
    </xf>
    <xf numFmtId="167" fontId="29" fillId="0" borderId="1" xfId="0" applyNumberFormat="1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left" wrapText="1"/>
    </xf>
    <xf numFmtId="3" fontId="29" fillId="2" borderId="8" xfId="0" applyNumberFormat="1" applyFont="1" applyFill="1" applyBorder="1" applyAlignment="1">
      <alignment horizontal="center" vertical="top" wrapText="1"/>
    </xf>
    <xf numFmtId="3" fontId="29" fillId="2" borderId="1" xfId="0" applyNumberFormat="1" applyFont="1" applyFill="1" applyBorder="1" applyAlignment="1">
      <alignment horizontal="center" vertical="top" wrapText="1"/>
    </xf>
    <xf numFmtId="3" fontId="29" fillId="0" borderId="1" xfId="0" applyNumberFormat="1" applyFont="1" applyFill="1" applyBorder="1" applyAlignment="1">
      <alignment horizontal="center" vertical="top" wrapText="1"/>
    </xf>
    <xf numFmtId="49" fontId="30" fillId="0" borderId="2" xfId="0" applyNumberFormat="1" applyFont="1" applyFill="1" applyBorder="1" applyAlignment="1">
      <alignment vertical="top" wrapText="1"/>
    </xf>
    <xf numFmtId="49" fontId="30" fillId="2" borderId="1" xfId="0" applyNumberFormat="1" applyFont="1" applyFill="1" applyBorder="1" applyAlignment="1">
      <alignment horizontal="center" vertical="top"/>
    </xf>
    <xf numFmtId="0" fontId="29" fillId="2" borderId="8" xfId="0" applyFont="1" applyFill="1" applyBorder="1" applyAlignment="1">
      <alignment horizontal="center" vertical="top"/>
    </xf>
    <xf numFmtId="167" fontId="30" fillId="3" borderId="1" xfId="7" applyNumberFormat="1" applyFont="1" applyFill="1" applyBorder="1" applyAlignment="1">
      <alignment horizontal="center" vertical="center" wrapText="1"/>
    </xf>
    <xf numFmtId="0" fontId="30" fillId="3" borderId="7" xfId="0" applyFont="1" applyFill="1" applyBorder="1" applyAlignment="1">
      <alignment vertical="top" wrapText="1"/>
    </xf>
    <xf numFmtId="0" fontId="30" fillId="3" borderId="7" xfId="0" applyFont="1" applyFill="1" applyBorder="1" applyAlignment="1">
      <alignment horizontal="center" vertical="center" wrapText="1"/>
    </xf>
    <xf numFmtId="3" fontId="30" fillId="3" borderId="7" xfId="0" applyNumberFormat="1" applyFont="1" applyFill="1" applyBorder="1" applyAlignment="1">
      <alignment horizontal="center" vertical="center" wrapText="1"/>
    </xf>
    <xf numFmtId="167" fontId="30" fillId="0" borderId="1" xfId="1" applyNumberFormat="1" applyFont="1" applyFill="1" applyBorder="1" applyAlignment="1">
      <alignment horizontal="center" vertical="center" wrapText="1"/>
    </xf>
    <xf numFmtId="167" fontId="29" fillId="0" borderId="1" xfId="1" applyNumberFormat="1" applyFont="1" applyFill="1" applyBorder="1" applyAlignment="1">
      <alignment horizontal="center" vertical="center" wrapText="1"/>
    </xf>
    <xf numFmtId="168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center"/>
    </xf>
    <xf numFmtId="0" fontId="30" fillId="0" borderId="0" xfId="0" applyFont="1" applyFill="1"/>
    <xf numFmtId="0" fontId="29" fillId="0" borderId="1" xfId="0" applyFont="1" applyFill="1" applyBorder="1" applyAlignment="1">
      <alignment horizontal="left" vertical="center"/>
    </xf>
    <xf numFmtId="168" fontId="29" fillId="0" borderId="1" xfId="0" applyNumberFormat="1" applyFont="1" applyFill="1" applyBorder="1" applyAlignment="1">
      <alignment horizontal="center" vertical="center"/>
    </xf>
    <xf numFmtId="0" fontId="29" fillId="0" borderId="1" xfId="2" applyFont="1" applyFill="1" applyBorder="1" applyAlignment="1">
      <alignment horizontal="center" vertical="center" wrapText="1"/>
    </xf>
    <xf numFmtId="167" fontId="30" fillId="0" borderId="1" xfId="0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169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169" fontId="30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/>
    <xf numFmtId="169" fontId="29" fillId="0" borderId="4" xfId="0" applyNumberFormat="1" applyFont="1" applyFill="1" applyBorder="1" applyAlignment="1">
      <alignment horizontal="center" vertical="center"/>
    </xf>
    <xf numFmtId="168" fontId="29" fillId="0" borderId="4" xfId="0" applyNumberFormat="1" applyFont="1" applyFill="1" applyBorder="1" applyAlignment="1">
      <alignment horizontal="center" vertical="center"/>
    </xf>
    <xf numFmtId="169" fontId="29" fillId="0" borderId="1" xfId="0" applyNumberFormat="1" applyFont="1" applyBorder="1" applyAlignment="1">
      <alignment horizontal="center"/>
    </xf>
    <xf numFmtId="0" fontId="29" fillId="0" borderId="1" xfId="0" applyFont="1" applyBorder="1"/>
    <xf numFmtId="0" fontId="29" fillId="3" borderId="1" xfId="0" applyFont="1" applyFill="1" applyBorder="1"/>
    <xf numFmtId="0" fontId="29" fillId="0" borderId="1" xfId="0" applyFont="1" applyBorder="1" applyAlignment="1">
      <alignment vertical="top" wrapText="1"/>
    </xf>
    <xf numFmtId="0" fontId="29" fillId="0" borderId="1" xfId="15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right" vertical="center"/>
    </xf>
    <xf numFmtId="0" fontId="29" fillId="0" borderId="1" xfId="151" applyFont="1" applyFill="1" applyBorder="1" applyAlignment="1">
      <alignment horizontal="left" vertical="center" wrapText="1"/>
    </xf>
    <xf numFmtId="0" fontId="29" fillId="0" borderId="1" xfId="3" applyFont="1" applyFill="1" applyBorder="1" applyAlignment="1">
      <alignment horizontal="right" vertical="center" wrapText="1"/>
    </xf>
    <xf numFmtId="0" fontId="29" fillId="0" borderId="1" xfId="3" applyFont="1" applyFill="1" applyBorder="1" applyAlignment="1">
      <alignment horizontal="right" vertical="center"/>
    </xf>
    <xf numFmtId="0" fontId="29" fillId="0" borderId="1" xfId="151" applyFont="1" applyFill="1" applyBorder="1" applyAlignment="1">
      <alignment horizontal="left" vertical="top" wrapText="1"/>
    </xf>
    <xf numFmtId="168" fontId="29" fillId="0" borderId="26" xfId="151" applyNumberFormat="1" applyFont="1" applyFill="1" applyBorder="1" applyAlignment="1">
      <alignment vertical="top" wrapText="1"/>
    </xf>
    <xf numFmtId="168" fontId="29" fillId="0" borderId="1" xfId="151" applyNumberFormat="1" applyFont="1" applyFill="1" applyBorder="1" applyAlignment="1">
      <alignment horizontal="left" vertical="top" wrapText="1"/>
    </xf>
    <xf numFmtId="0" fontId="30" fillId="0" borderId="26" xfId="0" applyFont="1" applyFill="1" applyBorder="1" applyAlignment="1">
      <alignment vertical="center" wrapText="1"/>
    </xf>
    <xf numFmtId="0" fontId="29" fillId="0" borderId="26" xfId="0" applyFont="1" applyFill="1" applyBorder="1" applyAlignment="1">
      <alignment horizontal="right" vertical="center"/>
    </xf>
    <xf numFmtId="0" fontId="29" fillId="0" borderId="1" xfId="0" applyFont="1" applyFill="1" applyBorder="1" applyAlignment="1">
      <alignment horizontal="right" vertical="top"/>
    </xf>
    <xf numFmtId="0" fontId="29" fillId="0" borderId="1" xfId="0" applyFont="1" applyFill="1" applyBorder="1" applyAlignment="1">
      <alignment horizontal="center" vertical="top" wrapText="1"/>
    </xf>
    <xf numFmtId="0" fontId="29" fillId="0" borderId="26" xfId="0" applyFont="1" applyFill="1" applyBorder="1" applyAlignment="1">
      <alignment horizontal="right" vertical="top"/>
    </xf>
    <xf numFmtId="0" fontId="29" fillId="0" borderId="7" xfId="0" applyFont="1" applyFill="1" applyBorder="1" applyAlignment="1">
      <alignment horizontal="right" vertical="top"/>
    </xf>
    <xf numFmtId="0" fontId="29" fillId="0" borderId="1" xfId="0" applyFont="1" applyFill="1" applyBorder="1" applyAlignment="1">
      <alignment horizontal="right"/>
    </xf>
    <xf numFmtId="0" fontId="29" fillId="0" borderId="1" xfId="2" applyFont="1" applyFill="1" applyBorder="1" applyAlignment="1">
      <alignment vertical="center" wrapText="1"/>
    </xf>
    <xf numFmtId="0" fontId="29" fillId="2" borderId="10" xfId="0" applyFont="1" applyFill="1" applyBorder="1" applyAlignment="1">
      <alignment horizontal="center" vertical="center"/>
    </xf>
    <xf numFmtId="3" fontId="30" fillId="3" borderId="10" xfId="0" applyNumberFormat="1" applyFont="1" applyFill="1" applyBorder="1" applyAlignment="1">
      <alignment horizontal="center" vertical="center" wrapText="1"/>
    </xf>
    <xf numFmtId="3" fontId="30" fillId="3" borderId="1" xfId="0" applyNumberFormat="1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vertical="center" wrapText="1"/>
    </xf>
    <xf numFmtId="169" fontId="29" fillId="0" borderId="0" xfId="0" applyNumberFormat="1" applyFont="1" applyFill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vertical="center" wrapText="1"/>
    </xf>
    <xf numFmtId="167" fontId="29" fillId="0" borderId="1" xfId="0" applyNumberFormat="1" applyFont="1" applyBorder="1" applyAlignment="1">
      <alignment horizontal="center" vertical="center" wrapText="1"/>
    </xf>
    <xf numFmtId="167" fontId="29" fillId="0" borderId="0" xfId="0" applyNumberFormat="1" applyFont="1" applyAlignment="1">
      <alignment horizontal="center" vertical="center"/>
    </xf>
    <xf numFmtId="9" fontId="29" fillId="0" borderId="1" xfId="0" applyNumberFormat="1" applyFont="1" applyBorder="1"/>
    <xf numFmtId="49" fontId="29" fillId="0" borderId="1" xfId="0" applyNumberFormat="1" applyFont="1" applyFill="1" applyBorder="1"/>
    <xf numFmtId="0" fontId="30" fillId="0" borderId="4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29" fillId="0" borderId="1" xfId="0" applyNumberFormat="1" applyFont="1" applyFill="1" applyBorder="1" applyAlignment="1">
      <alignment vertical="center"/>
    </xf>
    <xf numFmtId="0" fontId="29" fillId="2" borderId="1" xfId="0" applyFont="1" applyFill="1" applyBorder="1" applyAlignment="1"/>
    <xf numFmtId="0" fontId="29" fillId="2" borderId="1" xfId="0" applyFont="1" applyFill="1" applyBorder="1"/>
    <xf numFmtId="0" fontId="30" fillId="4" borderId="1" xfId="0" applyFont="1" applyFill="1" applyBorder="1" applyAlignment="1">
      <alignment horizontal="left"/>
    </xf>
    <xf numFmtId="0" fontId="30" fillId="2" borderId="7" xfId="0" applyFont="1" applyFill="1" applyBorder="1" applyAlignment="1">
      <alignment vertical="center" wrapText="1"/>
    </xf>
    <xf numFmtId="169" fontId="29" fillId="0" borderId="4" xfId="0" applyNumberFormat="1" applyFont="1" applyBorder="1" applyAlignment="1">
      <alignment horizontal="center" vertical="center"/>
    </xf>
    <xf numFmtId="0" fontId="29" fillId="2" borderId="4" xfId="2" applyFont="1" applyFill="1" applyBorder="1" applyAlignment="1">
      <alignment horizontal="left" vertical="center" wrapText="1"/>
    </xf>
    <xf numFmtId="0" fontId="29" fillId="3" borderId="25" xfId="0" applyFont="1" applyFill="1" applyBorder="1"/>
    <xf numFmtId="0" fontId="30" fillId="2" borderId="26" xfId="0" applyFont="1" applyFill="1" applyBorder="1" applyAlignment="1">
      <alignment vertical="center" wrapText="1"/>
    </xf>
    <xf numFmtId="0" fontId="29" fillId="2" borderId="26" xfId="0" applyFont="1" applyFill="1" applyBorder="1" applyAlignment="1">
      <alignment vertical="center" wrapText="1"/>
    </xf>
    <xf numFmtId="0" fontId="29" fillId="2" borderId="7" xfId="0" applyFont="1" applyFill="1" applyBorder="1" applyAlignment="1">
      <alignment vertical="center" wrapText="1"/>
    </xf>
    <xf numFmtId="0" fontId="29" fillId="2" borderId="6" xfId="0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center" wrapText="1"/>
    </xf>
    <xf numFmtId="0" fontId="29" fillId="27" borderId="7" xfId="0" applyFont="1" applyFill="1" applyBorder="1" applyAlignment="1">
      <alignment horizontal="right" vertical="center"/>
    </xf>
    <xf numFmtId="0" fontId="30" fillId="27" borderId="7" xfId="0" applyFont="1" applyFill="1" applyBorder="1" applyAlignment="1">
      <alignment horizontal="right" vertical="center"/>
    </xf>
    <xf numFmtId="0" fontId="30" fillId="2" borderId="7" xfId="0" applyFont="1" applyFill="1" applyBorder="1" applyAlignment="1">
      <alignment horizontal="right" vertical="center"/>
    </xf>
    <xf numFmtId="0" fontId="29" fillId="2" borderId="26" xfId="2" applyFont="1" applyFill="1" applyBorder="1" applyAlignment="1">
      <alignment vertical="center" wrapText="1"/>
    </xf>
    <xf numFmtId="167" fontId="29" fillId="2" borderId="6" xfId="0" applyNumberFormat="1" applyFont="1" applyFill="1" applyBorder="1" applyAlignment="1">
      <alignment horizontal="center" vertical="center" wrapText="1"/>
    </xf>
    <xf numFmtId="166" fontId="29" fillId="2" borderId="1" xfId="0" applyNumberFormat="1" applyFont="1" applyFill="1" applyBorder="1" applyAlignment="1">
      <alignment horizontal="left" vertical="center" wrapText="1"/>
    </xf>
    <xf numFmtId="49" fontId="29" fillId="2" borderId="26" xfId="0" applyNumberFormat="1" applyFont="1" applyFill="1" applyBorder="1" applyAlignment="1">
      <alignment vertical="center"/>
    </xf>
    <xf numFmtId="167" fontId="29" fillId="2" borderId="29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vertical="center" wrapText="1"/>
    </xf>
    <xf numFmtId="3" fontId="29" fillId="2" borderId="1" xfId="0" applyNumberFormat="1" applyFont="1" applyFill="1" applyBorder="1" applyAlignment="1">
      <alignment vertical="center" wrapText="1"/>
    </xf>
    <xf numFmtId="0" fontId="30" fillId="3" borderId="24" xfId="0" applyFont="1" applyFill="1" applyBorder="1"/>
    <xf numFmtId="0" fontId="30" fillId="0" borderId="7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168" fontId="29" fillId="0" borderId="8" xfId="0" applyNumberFormat="1" applyFont="1" applyBorder="1" applyAlignment="1">
      <alignment horizontal="right" vertical="center"/>
    </xf>
    <xf numFmtId="0" fontId="29" fillId="2" borderId="2" xfId="0" applyFont="1" applyFill="1" applyBorder="1" applyAlignment="1">
      <alignment horizontal="right" vertical="center"/>
    </xf>
    <xf numFmtId="49" fontId="29" fillId="2" borderId="8" xfId="0" applyNumberFormat="1" applyFont="1" applyFill="1" applyBorder="1" applyAlignment="1">
      <alignment vertical="center"/>
    </xf>
    <xf numFmtId="166" fontId="29" fillId="2" borderId="1" xfId="0" applyNumberFormat="1" applyFont="1" applyFill="1" applyBorder="1"/>
    <xf numFmtId="0" fontId="29" fillId="3" borderId="31" xfId="0" applyFont="1" applyFill="1" applyBorder="1" applyAlignment="1">
      <alignment vertical="center"/>
    </xf>
    <xf numFmtId="0" fontId="30" fillId="2" borderId="1" xfId="3" applyFont="1" applyFill="1" applyBorder="1" applyAlignment="1">
      <alignment vertical="center" wrapText="1"/>
    </xf>
    <xf numFmtId="0" fontId="29" fillId="2" borderId="1" xfId="3" applyFont="1" applyFill="1" applyBorder="1" applyAlignment="1">
      <alignment horizontal="center" vertical="center" wrapText="1"/>
    </xf>
    <xf numFmtId="0" fontId="29" fillId="2" borderId="1" xfId="3" applyFont="1" applyFill="1" applyBorder="1" applyAlignment="1">
      <alignment horizontal="right" vertical="center" wrapText="1"/>
    </xf>
    <xf numFmtId="0" fontId="29" fillId="2" borderId="1" xfId="3" applyFont="1" applyFill="1" applyBorder="1" applyAlignment="1">
      <alignment horizontal="right" vertical="center"/>
    </xf>
    <xf numFmtId="0" fontId="29" fillId="2" borderId="4" xfId="3" applyFont="1" applyFill="1" applyBorder="1" applyAlignment="1">
      <alignment horizontal="right" vertical="center"/>
    </xf>
    <xf numFmtId="0" fontId="29" fillId="2" borderId="1" xfId="3" applyFont="1" applyFill="1" applyBorder="1" applyAlignment="1">
      <alignment horizontal="center" vertical="top" wrapText="1"/>
    </xf>
    <xf numFmtId="0" fontId="30" fillId="2" borderId="1" xfId="3" applyFont="1" applyFill="1" applyBorder="1" applyAlignment="1">
      <alignment horizontal="left" vertical="top" wrapText="1"/>
    </xf>
    <xf numFmtId="0" fontId="30" fillId="2" borderId="1" xfId="3" applyFont="1" applyFill="1" applyBorder="1" applyAlignment="1">
      <alignment horizontal="center" vertical="top" wrapText="1"/>
    </xf>
    <xf numFmtId="168" fontId="30" fillId="0" borderId="14" xfId="0" applyNumberFormat="1" applyFont="1" applyBorder="1" applyAlignment="1">
      <alignment vertical="center"/>
    </xf>
    <xf numFmtId="0" fontId="30" fillId="2" borderId="1" xfId="3" applyFont="1" applyFill="1" applyBorder="1" applyAlignment="1">
      <alignment horizontal="right" vertical="center" wrapText="1"/>
    </xf>
    <xf numFmtId="167" fontId="29" fillId="2" borderId="1" xfId="3" applyNumberFormat="1" applyFont="1" applyFill="1" applyBorder="1" applyAlignment="1">
      <alignment horizontal="right" vertical="center" wrapText="1"/>
    </xf>
    <xf numFmtId="0" fontId="29" fillId="2" borderId="4" xfId="3" applyFont="1" applyFill="1" applyBorder="1" applyAlignment="1">
      <alignment horizontal="right" vertical="center" wrapText="1"/>
    </xf>
    <xf numFmtId="0" fontId="29" fillId="2" borderId="0" xfId="0" applyFont="1" applyFill="1" applyAlignment="1">
      <alignment horizontal="center"/>
    </xf>
    <xf numFmtId="0" fontId="29" fillId="2" borderId="0" xfId="0" applyFont="1" applyFill="1" applyAlignment="1">
      <alignment vertical="center"/>
    </xf>
    <xf numFmtId="169" fontId="29" fillId="0" borderId="1" xfId="0" applyNumberFormat="1" applyFont="1" applyBorder="1" applyAlignment="1">
      <alignment vertical="center"/>
    </xf>
    <xf numFmtId="0" fontId="29" fillId="2" borderId="1" xfId="3" applyFont="1" applyFill="1" applyBorder="1" applyAlignment="1">
      <alignment vertical="top" wrapText="1"/>
    </xf>
    <xf numFmtId="3" fontId="29" fillId="2" borderId="1" xfId="3" applyNumberFormat="1" applyFont="1" applyFill="1" applyBorder="1" applyAlignment="1">
      <alignment horizontal="right" vertical="center" wrapText="1"/>
    </xf>
    <xf numFmtId="3" fontId="29" fillId="2" borderId="4" xfId="3" applyNumberFormat="1" applyFont="1" applyFill="1" applyBorder="1" applyAlignment="1">
      <alignment horizontal="right" vertical="center" wrapText="1"/>
    </xf>
    <xf numFmtId="0" fontId="30" fillId="2" borderId="4" xfId="3" applyFont="1" applyFill="1" applyBorder="1" applyAlignment="1">
      <alignment horizontal="right" vertical="center" wrapText="1"/>
    </xf>
    <xf numFmtId="0" fontId="29" fillId="2" borderId="1" xfId="3" applyNumberFormat="1" applyFont="1" applyFill="1" applyBorder="1" applyAlignment="1">
      <alignment horizontal="center" vertical="center" wrapText="1"/>
    </xf>
    <xf numFmtId="1" fontId="29" fillId="2" borderId="8" xfId="10" applyNumberFormat="1" applyFont="1" applyFill="1" applyBorder="1" applyAlignment="1">
      <alignment horizontal="center" vertical="center" wrapText="1"/>
    </xf>
    <xf numFmtId="1" fontId="29" fillId="2" borderId="8" xfId="3" applyNumberFormat="1" applyFont="1" applyFill="1" applyBorder="1" applyAlignment="1">
      <alignment horizontal="center" vertical="center" wrapText="1"/>
    </xf>
    <xf numFmtId="3" fontId="29" fillId="2" borderId="1" xfId="3" applyNumberFormat="1" applyFont="1" applyFill="1" applyBorder="1" applyAlignment="1">
      <alignment horizontal="center" vertical="center" wrapText="1"/>
    </xf>
    <xf numFmtId="9" fontId="29" fillId="2" borderId="1" xfId="3" applyNumberFormat="1" applyFont="1" applyFill="1" applyBorder="1" applyAlignment="1">
      <alignment horizontal="right" vertical="center" wrapText="1"/>
    </xf>
    <xf numFmtId="9" fontId="29" fillId="2" borderId="4" xfId="3" applyNumberFormat="1" applyFont="1" applyFill="1" applyBorder="1" applyAlignment="1">
      <alignment horizontal="right" vertical="center" wrapText="1"/>
    </xf>
    <xf numFmtId="168" fontId="30" fillId="0" borderId="1" xfId="0" applyNumberFormat="1" applyFont="1" applyBorder="1" applyAlignment="1">
      <alignment vertical="center"/>
    </xf>
    <xf numFmtId="0" fontId="29" fillId="2" borderId="1" xfId="3" applyFont="1" applyFill="1" applyBorder="1" applyAlignment="1">
      <alignment horizontal="center"/>
    </xf>
    <xf numFmtId="0" fontId="29" fillId="2" borderId="1" xfId="3" applyFont="1" applyFill="1" applyBorder="1" applyAlignment="1">
      <alignment horizontal="center" vertical="center"/>
    </xf>
    <xf numFmtId="0" fontId="29" fillId="2" borderId="4" xfId="3" applyFont="1" applyFill="1" applyBorder="1" applyAlignment="1">
      <alignment horizontal="center" vertical="center"/>
    </xf>
    <xf numFmtId="49" fontId="29" fillId="0" borderId="26" xfId="0" applyNumberFormat="1" applyFont="1" applyFill="1" applyBorder="1" applyAlignment="1"/>
    <xf numFmtId="49" fontId="29" fillId="0" borderId="26" xfId="0" applyNumberFormat="1" applyFont="1" applyFill="1" applyBorder="1"/>
    <xf numFmtId="0" fontId="30" fillId="0" borderId="4" xfId="0" applyFont="1" applyFill="1" applyBorder="1" applyAlignment="1">
      <alignment wrapText="1"/>
    </xf>
    <xf numFmtId="177" fontId="30" fillId="0" borderId="26" xfId="0" applyNumberFormat="1" applyFont="1" applyFill="1" applyBorder="1" applyAlignment="1">
      <alignment wrapText="1"/>
    </xf>
    <xf numFmtId="0" fontId="30" fillId="0" borderId="26" xfId="0" applyFont="1" applyFill="1" applyBorder="1" applyAlignment="1">
      <alignment wrapText="1"/>
    </xf>
    <xf numFmtId="49" fontId="29" fillId="0" borderId="1" xfId="0" applyNumberFormat="1" applyFont="1" applyFill="1" applyBorder="1" applyAlignment="1">
      <alignment horizontal="center" vertical="top" wrapText="1"/>
    </xf>
    <xf numFmtId="0" fontId="29" fillId="0" borderId="26" xfId="0" applyFont="1" applyFill="1" applyBorder="1" applyAlignment="1">
      <alignment vertical="top" wrapText="1"/>
    </xf>
    <xf numFmtId="0" fontId="29" fillId="0" borderId="26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vertical="center" wrapText="1"/>
    </xf>
    <xf numFmtId="49" fontId="29" fillId="0" borderId="1" xfId="0" applyNumberFormat="1" applyFont="1" applyFill="1" applyBorder="1" applyAlignment="1">
      <alignment vertical="top"/>
    </xf>
    <xf numFmtId="49" fontId="29" fillId="0" borderId="1" xfId="0" applyNumberFormat="1" applyFont="1" applyFill="1" applyBorder="1" applyAlignment="1">
      <alignment horizontal="left" vertical="top" wrapText="1"/>
    </xf>
    <xf numFmtId="178" fontId="29" fillId="0" borderId="1" xfId="0" applyNumberFormat="1" applyFont="1" applyFill="1" applyBorder="1" applyAlignment="1">
      <alignment horizontal="center"/>
    </xf>
    <xf numFmtId="178" fontId="29" fillId="0" borderId="4" xfId="0" applyNumberFormat="1" applyFont="1" applyFill="1" applyBorder="1" applyAlignment="1">
      <alignment horizontal="center"/>
    </xf>
    <xf numFmtId="0" fontId="29" fillId="0" borderId="1" xfId="0" applyFont="1" applyFill="1" applyBorder="1" applyAlignment="1"/>
    <xf numFmtId="0" fontId="30" fillId="3" borderId="1" xfId="0" applyFont="1" applyFill="1" applyBorder="1"/>
    <xf numFmtId="0" fontId="30" fillId="3" borderId="4" xfId="0" applyFont="1" applyFill="1" applyBorder="1"/>
    <xf numFmtId="177" fontId="29" fillId="0" borderId="1" xfId="0" applyNumberFormat="1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/>
    </xf>
    <xf numFmtId="168" fontId="30" fillId="0" borderId="1" xfId="151" applyNumberFormat="1" applyFont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left" vertical="center" wrapText="1"/>
    </xf>
    <xf numFmtId="178" fontId="29" fillId="0" borderId="1" xfId="0" applyNumberFormat="1" applyFont="1" applyFill="1" applyBorder="1" applyAlignment="1">
      <alignment horizontal="center" vertical="center"/>
    </xf>
    <xf numFmtId="178" fontId="29" fillId="0" borderId="4" xfId="0" applyNumberFormat="1" applyFont="1" applyFill="1" applyBorder="1" applyAlignment="1">
      <alignment horizontal="center" vertical="center"/>
    </xf>
    <xf numFmtId="0" fontId="29" fillId="27" borderId="2" xfId="0" applyFont="1" applyFill="1" applyBorder="1" applyAlignment="1">
      <alignment horizontal="right" vertical="center"/>
    </xf>
    <xf numFmtId="0" fontId="45" fillId="0" borderId="0" xfId="0" applyFont="1" applyFill="1" applyAlignment="1">
      <alignment vertical="center" wrapText="1"/>
    </xf>
    <xf numFmtId="170" fontId="44" fillId="0" borderId="0" xfId="0" applyNumberFormat="1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/>
    </xf>
    <xf numFmtId="167" fontId="44" fillId="0" borderId="7" xfId="0" applyNumberFormat="1" applyFont="1" applyFill="1" applyBorder="1" applyAlignment="1">
      <alignment horizontal="center" vertical="center" wrapText="1"/>
    </xf>
    <xf numFmtId="0" fontId="45" fillId="0" borderId="1" xfId="2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vertical="center" wrapText="1"/>
    </xf>
    <xf numFmtId="1" fontId="44" fillId="0" borderId="1" xfId="0" applyNumberFormat="1" applyFont="1" applyFill="1" applyBorder="1" applyAlignment="1">
      <alignment horizontal="center" vertical="center" wrapText="1"/>
    </xf>
    <xf numFmtId="179" fontId="44" fillId="0" borderId="1" xfId="7" applyNumberFormat="1" applyFont="1" applyFill="1" applyBorder="1" applyAlignment="1">
      <alignment horizontal="center" vertical="center"/>
    </xf>
    <xf numFmtId="0" fontId="46" fillId="0" borderId="1" xfId="0" applyFont="1" applyFill="1" applyBorder="1"/>
    <xf numFmtId="175" fontId="45" fillId="0" borderId="1" xfId="0" applyNumberFormat="1" applyFont="1" applyFill="1" applyBorder="1" applyAlignment="1">
      <alignment horizontal="center" vertical="center" wrapText="1"/>
    </xf>
    <xf numFmtId="175" fontId="45" fillId="0" borderId="1" xfId="0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wrapText="1"/>
    </xf>
    <xf numFmtId="0" fontId="45" fillId="0" borderId="1" xfId="0" applyFont="1" applyFill="1" applyBorder="1" applyAlignment="1">
      <alignment horizontal="center" vertical="center"/>
    </xf>
    <xf numFmtId="9" fontId="44" fillId="0" borderId="1" xfId="16" applyFont="1" applyFill="1" applyBorder="1" applyAlignment="1">
      <alignment horizontal="center" vertical="center" wrapText="1"/>
    </xf>
    <xf numFmtId="167" fontId="44" fillId="0" borderId="26" xfId="0" applyNumberFormat="1" applyFont="1" applyFill="1" applyBorder="1" applyAlignment="1">
      <alignment horizontal="center" vertical="center" wrapText="1"/>
    </xf>
    <xf numFmtId="168" fontId="44" fillId="0" borderId="1" xfId="0" applyNumberFormat="1" applyFont="1" applyFill="1" applyBorder="1" applyAlignment="1">
      <alignment vertical="center"/>
    </xf>
    <xf numFmtId="175" fontId="44" fillId="0" borderId="1" xfId="16" applyNumberFormat="1" applyFont="1" applyFill="1" applyBorder="1" applyAlignment="1">
      <alignment horizontal="center" vertical="center" wrapText="1"/>
    </xf>
    <xf numFmtId="0" fontId="45" fillId="0" borderId="1" xfId="2" applyFont="1" applyFill="1" applyBorder="1" applyAlignment="1">
      <alignment horizontal="left" vertical="center" wrapText="1"/>
    </xf>
    <xf numFmtId="166" fontId="44" fillId="0" borderId="1" xfId="0" applyNumberFormat="1" applyFont="1" applyFill="1" applyBorder="1" applyAlignment="1">
      <alignment horizontal="center" vertical="center" wrapText="1"/>
    </xf>
    <xf numFmtId="49" fontId="45" fillId="0" borderId="1" xfId="2" applyNumberFormat="1" applyFont="1" applyFill="1" applyBorder="1" applyAlignment="1">
      <alignment horizontal="left" vertical="center" wrapText="1"/>
    </xf>
    <xf numFmtId="0" fontId="45" fillId="0" borderId="1" xfId="0" applyFont="1" applyFill="1" applyBorder="1"/>
    <xf numFmtId="0" fontId="45" fillId="0" borderId="1" xfId="0" applyFont="1" applyFill="1" applyBorder="1" applyAlignment="1">
      <alignment vertical="center"/>
    </xf>
    <xf numFmtId="0" fontId="45" fillId="3" borderId="1" xfId="0" applyFont="1" applyFill="1" applyBorder="1"/>
    <xf numFmtId="0" fontId="45" fillId="3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180" fontId="44" fillId="0" borderId="1" xfId="0" applyNumberFormat="1" applyFont="1" applyFill="1" applyBorder="1" applyAlignment="1">
      <alignment horizontal="center" vertical="center" wrapText="1"/>
    </xf>
    <xf numFmtId="170" fontId="44" fillId="0" borderId="1" xfId="0" applyNumberFormat="1" applyFont="1" applyFill="1" applyBorder="1" applyAlignment="1">
      <alignment horizontal="center" vertical="center"/>
    </xf>
    <xf numFmtId="167" fontId="45" fillId="0" borderId="1" xfId="0" applyNumberFormat="1" applyFont="1" applyFill="1" applyBorder="1" applyAlignment="1">
      <alignment horizontal="center" vertical="center"/>
    </xf>
    <xf numFmtId="181" fontId="44" fillId="0" borderId="1" xfId="0" applyNumberFormat="1" applyFont="1" applyFill="1" applyBorder="1" applyAlignment="1">
      <alignment horizontal="center" vertical="center"/>
    </xf>
    <xf numFmtId="167" fontId="44" fillId="3" borderId="7" xfId="0" applyNumberFormat="1" applyFont="1" applyFill="1" applyBorder="1" applyAlignment="1">
      <alignment horizontal="center" vertical="center" wrapText="1"/>
    </xf>
    <xf numFmtId="168" fontId="30" fillId="0" borderId="2" xfId="158" applyNumberFormat="1" applyFont="1" applyFill="1" applyBorder="1" applyAlignment="1">
      <alignment horizontal="center" vertical="center"/>
    </xf>
    <xf numFmtId="0" fontId="30" fillId="0" borderId="7" xfId="158" applyFont="1" applyFill="1" applyBorder="1" applyAlignment="1">
      <alignment horizontal="right" vertical="center"/>
    </xf>
    <xf numFmtId="0" fontId="30" fillId="0" borderId="7" xfId="152" applyFont="1" applyFill="1" applyBorder="1" applyAlignment="1">
      <alignment horizontal="left" vertical="center" wrapText="1"/>
    </xf>
    <xf numFmtId="168" fontId="30" fillId="0" borderId="8" xfId="158" applyNumberFormat="1" applyFont="1" applyFill="1" applyBorder="1" applyAlignment="1">
      <alignment horizontal="center" vertical="center"/>
    </xf>
    <xf numFmtId="0" fontId="29" fillId="0" borderId="7" xfId="158" applyFont="1" applyFill="1" applyBorder="1" applyAlignment="1">
      <alignment horizontal="right" vertical="center"/>
    </xf>
    <xf numFmtId="0" fontId="29" fillId="0" borderId="1" xfId="152" applyFont="1" applyFill="1" applyBorder="1" applyAlignment="1">
      <alignment horizontal="left" vertical="center" wrapText="1"/>
    </xf>
    <xf numFmtId="168" fontId="30" fillId="0" borderId="27" xfId="158" applyNumberFormat="1" applyFont="1" applyFill="1" applyBorder="1" applyAlignment="1">
      <alignment horizontal="center" vertical="center"/>
    </xf>
    <xf numFmtId="169" fontId="29" fillId="0" borderId="4" xfId="158" applyNumberFormat="1" applyFont="1" applyFill="1" applyBorder="1" applyAlignment="1">
      <alignment horizontal="center" vertical="center"/>
    </xf>
    <xf numFmtId="0" fontId="29" fillId="0" borderId="0" xfId="152" applyFont="1" applyFill="1" applyBorder="1" applyAlignment="1">
      <alignment horizontal="left" vertical="center" wrapText="1"/>
    </xf>
    <xf numFmtId="169" fontId="29" fillId="0" borderId="1" xfId="158" applyNumberFormat="1" applyFont="1" applyFill="1" applyBorder="1" applyAlignment="1">
      <alignment horizontal="center" vertical="center"/>
    </xf>
    <xf numFmtId="0" fontId="29" fillId="0" borderId="8" xfId="152" applyFont="1" applyFill="1" applyBorder="1" applyAlignment="1">
      <alignment horizontal="left" vertical="center" wrapText="1"/>
    </xf>
    <xf numFmtId="0" fontId="29" fillId="0" borderId="8" xfId="158" applyNumberFormat="1" applyFont="1" applyFill="1" applyBorder="1" applyAlignment="1">
      <alignment horizontal="center" vertical="center"/>
    </xf>
    <xf numFmtId="0" fontId="29" fillId="0" borderId="8" xfId="158" applyNumberFormat="1" applyFont="1" applyFill="1" applyBorder="1" applyAlignment="1">
      <alignment horizontal="right" vertical="center"/>
    </xf>
    <xf numFmtId="0" fontId="30" fillId="0" borderId="8" xfId="152" applyFont="1" applyFill="1" applyBorder="1" applyAlignment="1">
      <alignment horizontal="left" vertical="center" wrapText="1"/>
    </xf>
    <xf numFmtId="0" fontId="29" fillId="0" borderId="1" xfId="158" applyFont="1" applyFill="1" applyBorder="1" applyAlignment="1">
      <alignment horizontal="right" vertical="center"/>
    </xf>
    <xf numFmtId="0" fontId="29" fillId="0" borderId="1" xfId="152" applyFont="1" applyFill="1" applyBorder="1" applyAlignment="1">
      <alignment vertical="center" wrapText="1"/>
    </xf>
    <xf numFmtId="168" fontId="30" fillId="0" borderId="7" xfId="158" applyNumberFormat="1" applyFont="1" applyFill="1" applyBorder="1" applyAlignment="1">
      <alignment horizontal="center" vertical="center"/>
    </xf>
    <xf numFmtId="168" fontId="30" fillId="0" borderId="1" xfId="158" applyNumberFormat="1" applyFont="1" applyFill="1" applyBorder="1" applyAlignment="1">
      <alignment horizontal="center" vertical="center"/>
    </xf>
    <xf numFmtId="0" fontId="29" fillId="0" borderId="1" xfId="158" applyFont="1" applyFill="1" applyBorder="1" applyAlignment="1">
      <alignment horizontal="center" vertical="center"/>
    </xf>
    <xf numFmtId="49" fontId="29" fillId="0" borderId="1" xfId="158" applyNumberFormat="1" applyFont="1" applyFill="1" applyBorder="1" applyAlignment="1">
      <alignment horizontal="center" vertical="center"/>
    </xf>
    <xf numFmtId="0" fontId="30" fillId="0" borderId="1" xfId="152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left" vertical="center" wrapText="1"/>
    </xf>
    <xf numFmtId="180" fontId="44" fillId="3" borderId="1" xfId="0" applyNumberFormat="1" applyFont="1" applyFill="1" applyBorder="1" applyAlignment="1">
      <alignment horizontal="center" vertical="center" wrapText="1"/>
    </xf>
    <xf numFmtId="0" fontId="29" fillId="3" borderId="0" xfId="0" applyFont="1" applyFill="1"/>
    <xf numFmtId="0" fontId="30" fillId="0" borderId="7" xfId="158" applyFont="1" applyFill="1" applyBorder="1" applyAlignment="1">
      <alignment vertical="center" wrapText="1"/>
    </xf>
    <xf numFmtId="0" fontId="29" fillId="2" borderId="8" xfId="2" applyFont="1" applyFill="1" applyBorder="1" applyAlignment="1">
      <alignment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29" fillId="2" borderId="1" xfId="158" applyFont="1" applyFill="1" applyBorder="1" applyAlignment="1">
      <alignment vertical="center" wrapText="1"/>
    </xf>
    <xf numFmtId="0" fontId="30" fillId="0" borderId="1" xfId="158" applyFont="1" applyFill="1" applyBorder="1" applyAlignment="1">
      <alignment horizontal="left" vertical="center" wrapText="1"/>
    </xf>
    <xf numFmtId="0" fontId="29" fillId="0" borderId="1" xfId="158" applyFont="1" applyFill="1" applyBorder="1" applyAlignment="1">
      <alignment vertical="center" wrapText="1"/>
    </xf>
    <xf numFmtId="0" fontId="29" fillId="0" borderId="1" xfId="158" applyFont="1" applyFill="1" applyBorder="1" applyAlignment="1">
      <alignment horizontal="left" vertical="center" wrapText="1"/>
    </xf>
    <xf numFmtId="0" fontId="44" fillId="0" borderId="1" xfId="0" applyNumberFormat="1" applyFont="1" applyFill="1" applyBorder="1" applyAlignment="1">
      <alignment horizontal="center" vertical="center"/>
    </xf>
    <xf numFmtId="167" fontId="44" fillId="3" borderId="1" xfId="0" applyNumberFormat="1" applyFont="1" applyFill="1" applyBorder="1" applyAlignment="1">
      <alignment horizontal="center" vertical="center" wrapText="1"/>
    </xf>
    <xf numFmtId="166" fontId="29" fillId="2" borderId="7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169" fontId="45" fillId="0" borderId="1" xfId="0" applyNumberFormat="1" applyFont="1" applyFill="1" applyBorder="1" applyAlignment="1">
      <alignment vertical="center"/>
    </xf>
    <xf numFmtId="167" fontId="29" fillId="0" borderId="1" xfId="7" applyNumberFormat="1" applyFont="1" applyFill="1" applyBorder="1" applyAlignment="1">
      <alignment horizontal="center" vertical="center"/>
    </xf>
    <xf numFmtId="175" fontId="29" fillId="0" borderId="1" xfId="16" applyNumberFormat="1" applyFont="1" applyFill="1" applyBorder="1" applyAlignment="1">
      <alignment horizontal="center" vertical="center" wrapText="1"/>
    </xf>
    <xf numFmtId="175" fontId="29" fillId="0" borderId="1" xfId="2" applyNumberFormat="1" applyFont="1" applyFill="1" applyBorder="1" applyAlignment="1">
      <alignment horizontal="center" vertical="center" wrapText="1"/>
    </xf>
    <xf numFmtId="9" fontId="29" fillId="0" borderId="1" xfId="2" applyNumberFormat="1" applyFont="1" applyFill="1" applyBorder="1" applyAlignment="1">
      <alignment horizontal="center" vertical="center" wrapText="1"/>
    </xf>
    <xf numFmtId="0" fontId="29" fillId="0" borderId="1" xfId="17" applyFont="1" applyFill="1" applyBorder="1" applyAlignment="1">
      <alignment horizontal="left" vertical="center" wrapText="1"/>
    </xf>
    <xf numFmtId="175" fontId="29" fillId="2" borderId="1" xfId="2" applyNumberFormat="1" applyFont="1" applyFill="1" applyBorder="1" applyAlignment="1">
      <alignment horizontal="center" vertical="center" wrapText="1"/>
    </xf>
    <xf numFmtId="9" fontId="29" fillId="2" borderId="1" xfId="2" applyNumberFormat="1" applyFont="1" applyFill="1" applyBorder="1" applyAlignment="1">
      <alignment horizontal="center" vertical="center" wrapText="1"/>
    </xf>
    <xf numFmtId="49" fontId="29" fillId="2" borderId="1" xfId="2" applyNumberFormat="1" applyFont="1" applyFill="1" applyBorder="1" applyAlignment="1">
      <alignment horizontal="left" vertical="center" wrapText="1"/>
    </xf>
    <xf numFmtId="0" fontId="29" fillId="2" borderId="1" xfId="2" applyFont="1" applyFill="1" applyBorder="1" applyAlignment="1">
      <alignment horizontal="left" vertical="top" wrapText="1"/>
    </xf>
    <xf numFmtId="0" fontId="29" fillId="0" borderId="1" xfId="2" applyFont="1" applyFill="1" applyBorder="1" applyAlignment="1">
      <alignment wrapText="1"/>
    </xf>
    <xf numFmtId="0" fontId="29" fillId="0" borderId="1" xfId="2" applyFont="1" applyFill="1" applyBorder="1" applyAlignment="1">
      <alignment horizontal="center" wrapText="1"/>
    </xf>
    <xf numFmtId="1" fontId="29" fillId="0" borderId="1" xfId="2" applyNumberFormat="1" applyFont="1" applyFill="1" applyBorder="1" applyAlignment="1">
      <alignment horizontal="center" wrapText="1"/>
    </xf>
    <xf numFmtId="49" fontId="29" fillId="0" borderId="1" xfId="2" applyNumberFormat="1" applyFont="1" applyFill="1" applyBorder="1" applyAlignment="1">
      <alignment vertical="center" wrapText="1"/>
    </xf>
    <xf numFmtId="1" fontId="29" fillId="0" borderId="1" xfId="2" applyNumberFormat="1" applyFont="1" applyFill="1" applyBorder="1" applyAlignment="1">
      <alignment horizontal="center" vertical="center" wrapText="1"/>
    </xf>
    <xf numFmtId="0" fontId="29" fillId="0" borderId="1" xfId="2" applyFont="1" applyFill="1" applyBorder="1" applyAlignment="1">
      <alignment horizontal="left" vertical="top" wrapText="1"/>
    </xf>
    <xf numFmtId="1" fontId="29" fillId="2" borderId="1" xfId="2" applyNumberFormat="1" applyFont="1" applyFill="1" applyBorder="1" applyAlignment="1">
      <alignment horizontal="center" vertical="center" wrapText="1"/>
    </xf>
    <xf numFmtId="9" fontId="29" fillId="2" borderId="1" xfId="16" applyFont="1" applyFill="1" applyBorder="1" applyAlignment="1">
      <alignment horizontal="center" vertical="center" wrapText="1"/>
    </xf>
    <xf numFmtId="9" fontId="29" fillId="0" borderId="1" xfId="16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center" vertical="center" wrapText="1"/>
    </xf>
    <xf numFmtId="0" fontId="29" fillId="0" borderId="1" xfId="2" applyNumberFormat="1" applyFont="1" applyFill="1" applyBorder="1" applyAlignment="1">
      <alignment horizontal="center" vertical="center" wrapText="1"/>
    </xf>
    <xf numFmtId="49" fontId="29" fillId="0" borderId="1" xfId="2" applyNumberFormat="1" applyFont="1" applyFill="1" applyBorder="1" applyAlignment="1">
      <alignment horizontal="left" vertical="center" wrapText="1"/>
    </xf>
    <xf numFmtId="175" fontId="29" fillId="2" borderId="1" xfId="16" applyNumberFormat="1" applyFont="1" applyFill="1" applyBorder="1" applyAlignment="1">
      <alignment horizontal="center" vertical="center" wrapText="1"/>
    </xf>
    <xf numFmtId="0" fontId="29" fillId="0" borderId="1" xfId="16" applyNumberFormat="1" applyFont="1" applyFill="1" applyBorder="1" applyAlignment="1">
      <alignment horizontal="center" vertical="center" wrapText="1"/>
    </xf>
    <xf numFmtId="173" fontId="29" fillId="0" borderId="1" xfId="7" applyNumberFormat="1" applyFont="1" applyFill="1" applyBorder="1" applyAlignment="1">
      <alignment horizontal="center" vertical="center" wrapText="1"/>
    </xf>
    <xf numFmtId="0" fontId="29" fillId="2" borderId="1" xfId="16" applyNumberFormat="1" applyFont="1" applyFill="1" applyBorder="1" applyAlignment="1">
      <alignment horizontal="center" vertical="center" wrapText="1"/>
    </xf>
    <xf numFmtId="166" fontId="29" fillId="2" borderId="1" xfId="16" applyNumberFormat="1" applyFont="1" applyFill="1" applyBorder="1" applyAlignment="1">
      <alignment horizontal="center" vertical="center" wrapText="1"/>
    </xf>
    <xf numFmtId="175" fontId="29" fillId="2" borderId="8" xfId="16" applyNumberFormat="1" applyFont="1" applyFill="1" applyBorder="1" applyAlignment="1">
      <alignment horizontal="center" vertical="center" wrapText="1"/>
    </xf>
    <xf numFmtId="9" fontId="29" fillId="2" borderId="8" xfId="16" applyFont="1" applyFill="1" applyBorder="1" applyAlignment="1">
      <alignment horizontal="center" vertical="center" wrapText="1"/>
    </xf>
    <xf numFmtId="1" fontId="29" fillId="0" borderId="1" xfId="16" applyNumberFormat="1" applyFont="1" applyFill="1" applyBorder="1" applyAlignment="1">
      <alignment horizontal="center" vertical="center" wrapText="1"/>
    </xf>
    <xf numFmtId="175" fontId="29" fillId="0" borderId="7" xfId="16" applyNumberFormat="1" applyFont="1" applyFill="1" applyBorder="1" applyAlignment="1">
      <alignment horizontal="center" vertical="center" wrapText="1"/>
    </xf>
    <xf numFmtId="9" fontId="29" fillId="0" borderId="7" xfId="16" applyFont="1" applyFill="1" applyBorder="1" applyAlignment="1">
      <alignment horizontal="center" vertical="center" wrapText="1"/>
    </xf>
    <xf numFmtId="0" fontId="29" fillId="2" borderId="7" xfId="16" applyNumberFormat="1" applyFont="1" applyFill="1" applyBorder="1" applyAlignment="1">
      <alignment horizontal="center" vertical="center" wrapText="1"/>
    </xf>
    <xf numFmtId="0" fontId="30" fillId="0" borderId="4" xfId="2" applyFont="1" applyFill="1" applyBorder="1" applyAlignment="1">
      <alignment vertical="top" wrapText="1"/>
    </xf>
    <xf numFmtId="0" fontId="30" fillId="0" borderId="5" xfId="2" applyFont="1" applyFill="1" applyBorder="1" applyAlignment="1">
      <alignment vertical="top" wrapText="1"/>
    </xf>
    <xf numFmtId="0" fontId="30" fillId="0" borderId="6" xfId="2" applyFont="1" applyFill="1" applyBorder="1" applyAlignment="1">
      <alignment vertical="top" wrapText="1"/>
    </xf>
    <xf numFmtId="0" fontId="29" fillId="2" borderId="1" xfId="2" applyFont="1" applyFill="1" applyBorder="1" applyAlignment="1">
      <alignment vertical="center" wrapText="1"/>
    </xf>
    <xf numFmtId="175" fontId="29" fillId="2" borderId="7" xfId="16" applyNumberFormat="1" applyFont="1" applyFill="1" applyBorder="1" applyAlignment="1">
      <alignment horizontal="center" vertical="center" wrapText="1"/>
    </xf>
    <xf numFmtId="167" fontId="30" fillId="3" borderId="26" xfId="0" applyNumberFormat="1" applyFont="1" applyFill="1" applyBorder="1" applyAlignment="1">
      <alignment horizontal="center" vertical="center"/>
    </xf>
    <xf numFmtId="167" fontId="29" fillId="0" borderId="1" xfId="0" applyNumberFormat="1" applyFont="1" applyFill="1" applyBorder="1" applyAlignment="1">
      <alignment horizontal="center" vertical="center"/>
    </xf>
    <xf numFmtId="167" fontId="29" fillId="0" borderId="8" xfId="1" applyNumberFormat="1" applyFont="1" applyFill="1" applyBorder="1" applyAlignment="1">
      <alignment horizontal="center" vertical="center" wrapText="1"/>
    </xf>
    <xf numFmtId="0" fontId="29" fillId="3" borderId="6" xfId="0" applyFont="1" applyFill="1" applyBorder="1"/>
    <xf numFmtId="167" fontId="30" fillId="0" borderId="1" xfId="0" applyNumberFormat="1" applyFont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 wrapText="1"/>
    </xf>
    <xf numFmtId="167" fontId="29" fillId="2" borderId="8" xfId="135" applyNumberFormat="1" applyFont="1" applyFill="1" applyBorder="1" applyAlignment="1">
      <alignment horizontal="center" vertical="center" wrapText="1"/>
    </xf>
    <xf numFmtId="167" fontId="30" fillId="3" borderId="1" xfId="0" applyNumberFormat="1" applyFont="1" applyFill="1" applyBorder="1" applyAlignment="1">
      <alignment horizontal="center" vertical="center" wrapText="1"/>
    </xf>
    <xf numFmtId="167" fontId="30" fillId="0" borderId="7" xfId="0" applyNumberFormat="1" applyFont="1" applyBorder="1" applyAlignment="1">
      <alignment horizontal="center" vertical="center" wrapText="1"/>
    </xf>
    <xf numFmtId="167" fontId="29" fillId="2" borderId="1" xfId="12" applyNumberFormat="1" applyFont="1" applyFill="1" applyBorder="1" applyAlignment="1">
      <alignment horizontal="center" vertical="center"/>
    </xf>
    <xf numFmtId="167" fontId="30" fillId="0" borderId="1" xfId="135" applyNumberFormat="1" applyFont="1" applyFill="1" applyBorder="1" applyAlignment="1">
      <alignment horizontal="center" vertical="center" wrapText="1"/>
    </xf>
    <xf numFmtId="167" fontId="29" fillId="0" borderId="1" xfId="135" applyNumberFormat="1" applyFont="1" applyFill="1" applyBorder="1" applyAlignment="1">
      <alignment horizontal="center" vertical="center"/>
    </xf>
    <xf numFmtId="167" fontId="44" fillId="3" borderId="1" xfId="0" applyNumberFormat="1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center" vertical="center"/>
    </xf>
    <xf numFmtId="167" fontId="29" fillId="2" borderId="0" xfId="0" applyNumberFormat="1" applyFont="1" applyFill="1" applyAlignment="1">
      <alignment horizontal="center" vertical="center"/>
    </xf>
    <xf numFmtId="167" fontId="29" fillId="0" borderId="1" xfId="135" applyNumberFormat="1" applyFont="1" applyFill="1" applyBorder="1" applyAlignment="1">
      <alignment horizontal="center" vertical="center" wrapText="1"/>
    </xf>
    <xf numFmtId="167" fontId="30" fillId="0" borderId="26" xfId="135" applyNumberFormat="1" applyFont="1" applyFill="1" applyBorder="1" applyAlignment="1">
      <alignment horizontal="center" vertical="center" wrapText="1"/>
    </xf>
    <xf numFmtId="167" fontId="30" fillId="3" borderId="1" xfId="135" applyNumberFormat="1" applyFont="1" applyFill="1" applyBorder="1" applyAlignment="1">
      <alignment horizontal="center" vertical="center"/>
    </xf>
    <xf numFmtId="0" fontId="49" fillId="27" borderId="1" xfId="0" applyFont="1" applyFill="1" applyBorder="1" applyAlignment="1">
      <alignment vertical="center" wrapText="1"/>
    </xf>
    <xf numFmtId="0" fontId="49" fillId="27" borderId="1" xfId="0" applyFont="1" applyFill="1" applyBorder="1" applyAlignment="1">
      <alignment horizontal="center" vertical="center" wrapText="1"/>
    </xf>
    <xf numFmtId="0" fontId="49" fillId="27" borderId="8" xfId="0" applyFont="1" applyFill="1" applyBorder="1" applyAlignment="1">
      <alignment horizontal="center" vertical="center" wrapText="1"/>
    </xf>
    <xf numFmtId="167" fontId="49" fillId="27" borderId="1" xfId="0" applyNumberFormat="1" applyFont="1" applyFill="1" applyBorder="1" applyAlignment="1">
      <alignment vertical="center" wrapText="1"/>
    </xf>
    <xf numFmtId="169" fontId="29" fillId="0" borderId="8" xfId="0" applyNumberFormat="1" applyFont="1" applyBorder="1" applyAlignment="1">
      <alignment horizontal="center" vertical="center" wrapText="1"/>
    </xf>
    <xf numFmtId="0" fontId="45" fillId="27" borderId="8" xfId="0" applyFont="1" applyFill="1" applyBorder="1" applyAlignment="1">
      <alignment vertical="center" wrapText="1"/>
    </xf>
    <xf numFmtId="0" fontId="45" fillId="27" borderId="1" xfId="0" applyFont="1" applyFill="1" applyBorder="1" applyAlignment="1">
      <alignment vertical="center" wrapText="1"/>
    </xf>
    <xf numFmtId="168" fontId="48" fillId="0" borderId="24" xfId="0" applyNumberFormat="1" applyFont="1" applyBorder="1" applyAlignment="1">
      <alignment horizontal="right" vertical="center"/>
    </xf>
    <xf numFmtId="0" fontId="49" fillId="27" borderId="7" xfId="0" applyFont="1" applyFill="1" applyBorder="1" applyAlignment="1">
      <alignment horizontal="right" vertical="center"/>
    </xf>
    <xf numFmtId="0" fontId="48" fillId="27" borderId="7" xfId="0" applyFont="1" applyFill="1" applyBorder="1" applyAlignment="1">
      <alignment horizontal="right" vertical="center"/>
    </xf>
    <xf numFmtId="0" fontId="48" fillId="27" borderId="7" xfId="0" applyFont="1" applyFill="1" applyBorder="1" applyAlignment="1">
      <alignment vertical="center" wrapText="1"/>
    </xf>
    <xf numFmtId="0" fontId="48" fillId="27" borderId="7" xfId="0" applyFont="1" applyFill="1" applyBorder="1" applyAlignment="1">
      <alignment horizontal="left" vertical="center" wrapText="1"/>
    </xf>
    <xf numFmtId="0" fontId="48" fillId="27" borderId="7" xfId="0" applyFont="1" applyFill="1" applyBorder="1" applyAlignment="1">
      <alignment horizontal="center" vertical="center" wrapText="1"/>
    </xf>
    <xf numFmtId="168" fontId="48" fillId="0" borderId="8" xfId="0" applyNumberFormat="1" applyFont="1" applyBorder="1" applyAlignment="1">
      <alignment horizontal="right" vertical="center"/>
    </xf>
    <xf numFmtId="169" fontId="49" fillId="0" borderId="8" xfId="0" applyNumberFormat="1" applyFont="1" applyBorder="1" applyAlignment="1">
      <alignment horizontal="right" vertical="center"/>
    </xf>
    <xf numFmtId="0" fontId="49" fillId="27" borderId="8" xfId="2" applyFont="1" applyFill="1" applyBorder="1" applyAlignment="1">
      <alignment vertical="center" wrapText="1"/>
    </xf>
    <xf numFmtId="0" fontId="49" fillId="27" borderId="1" xfId="0" applyFont="1" applyFill="1" applyBorder="1" applyAlignment="1">
      <alignment horizontal="left" vertical="center" wrapText="1"/>
    </xf>
    <xf numFmtId="169" fontId="49" fillId="0" borderId="4" xfId="0" applyNumberFormat="1" applyFont="1" applyBorder="1" applyAlignment="1">
      <alignment horizontal="right" vertical="center"/>
    </xf>
    <xf numFmtId="0" fontId="49" fillId="27" borderId="4" xfId="2" applyFont="1" applyFill="1" applyBorder="1" applyAlignment="1">
      <alignment horizontal="left" vertical="center" wrapText="1"/>
    </xf>
    <xf numFmtId="0" fontId="48" fillId="27" borderId="4" xfId="2" applyFont="1" applyFill="1" applyBorder="1" applyAlignment="1">
      <alignment horizontal="left" vertical="center" wrapText="1"/>
    </xf>
    <xf numFmtId="0" fontId="49" fillId="27" borderId="0" xfId="0" applyFont="1" applyFill="1" applyBorder="1" applyAlignment="1">
      <alignment horizontal="left" vertical="center" wrapText="1"/>
    </xf>
    <xf numFmtId="169" fontId="49" fillId="0" borderId="1" xfId="0" applyNumberFormat="1" applyFont="1" applyBorder="1" applyAlignment="1">
      <alignment horizontal="right" vertical="center"/>
    </xf>
    <xf numFmtId="0" fontId="49" fillId="27" borderId="2" xfId="0" applyFont="1" applyFill="1" applyBorder="1" applyAlignment="1">
      <alignment horizontal="right" vertical="center"/>
    </xf>
    <xf numFmtId="0" fontId="49" fillId="27" borderId="8" xfId="0" applyFont="1" applyFill="1" applyBorder="1" applyAlignment="1">
      <alignment horizontal="left" vertical="center" wrapText="1"/>
    </xf>
    <xf numFmtId="49" fontId="48" fillId="27" borderId="8" xfId="0" applyNumberFormat="1" applyFont="1" applyFill="1" applyBorder="1" applyAlignment="1">
      <alignment horizontal="center" vertical="center"/>
    </xf>
    <xf numFmtId="49" fontId="49" fillId="27" borderId="8" xfId="0" applyNumberFormat="1" applyFont="1" applyFill="1" applyBorder="1" applyAlignment="1">
      <alignment vertical="center"/>
    </xf>
    <xf numFmtId="0" fontId="48" fillId="27" borderId="1" xfId="0" applyFont="1" applyFill="1" applyBorder="1" applyAlignment="1">
      <alignment horizontal="left" vertical="center" wrapText="1"/>
    </xf>
    <xf numFmtId="0" fontId="49" fillId="27" borderId="1" xfId="0" applyFont="1" applyFill="1" applyBorder="1"/>
    <xf numFmtId="0" fontId="49" fillId="27" borderId="8" xfId="0" applyFont="1" applyFill="1" applyBorder="1" applyAlignment="1">
      <alignment vertical="center" wrapText="1"/>
    </xf>
    <xf numFmtId="3" fontId="49" fillId="27" borderId="1" xfId="0" applyNumberFormat="1" applyFont="1" applyFill="1" applyBorder="1" applyAlignment="1">
      <alignment horizontal="center" vertical="center" wrapText="1"/>
    </xf>
    <xf numFmtId="49" fontId="48" fillId="27" borderId="8" xfId="0" applyNumberFormat="1" applyFont="1" applyFill="1" applyBorder="1" applyAlignment="1">
      <alignment vertical="center"/>
    </xf>
    <xf numFmtId="167" fontId="48" fillId="27" borderId="1" xfId="0" applyNumberFormat="1" applyFont="1" applyFill="1" applyBorder="1" applyAlignment="1">
      <alignment horizontal="center" vertical="center" wrapText="1"/>
    </xf>
    <xf numFmtId="0" fontId="48" fillId="27" borderId="1" xfId="0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167" fontId="49" fillId="3" borderId="1" xfId="157" applyNumberFormat="1" applyFont="1" applyFill="1" applyBorder="1" applyAlignment="1">
      <alignment wrapText="1"/>
    </xf>
    <xf numFmtId="167" fontId="49" fillId="27" borderId="1" xfId="0" applyNumberFormat="1" applyFont="1" applyFill="1" applyBorder="1" applyAlignment="1">
      <alignment horizontal="center" vertical="center" wrapText="1"/>
    </xf>
    <xf numFmtId="0" fontId="48" fillId="27" borderId="1" xfId="0" applyFont="1" applyFill="1" applyBorder="1" applyAlignment="1">
      <alignment vertical="center" wrapText="1"/>
    </xf>
    <xf numFmtId="167" fontId="48" fillId="27" borderId="7" xfId="0" applyNumberFormat="1" applyFont="1" applyFill="1" applyBorder="1" applyAlignment="1">
      <alignment horizontal="center" vertical="center" wrapText="1"/>
    </xf>
    <xf numFmtId="167" fontId="48" fillId="27" borderId="26" xfId="0" applyNumberFormat="1" applyFont="1" applyFill="1" applyBorder="1" applyAlignment="1">
      <alignment horizontal="center" vertical="center" wrapText="1"/>
    </xf>
    <xf numFmtId="167" fontId="49" fillId="27" borderId="8" xfId="0" applyNumberFormat="1" applyFont="1" applyFill="1" applyBorder="1" applyAlignment="1">
      <alignment horizontal="center" vertical="center" wrapText="1"/>
    </xf>
    <xf numFmtId="0" fontId="30" fillId="0" borderId="1" xfId="3" applyFont="1" applyFill="1" applyBorder="1" applyAlignment="1">
      <alignment horizontal="left" vertical="top" wrapText="1"/>
    </xf>
    <xf numFmtId="0" fontId="29" fillId="0" borderId="1" xfId="3" applyFont="1" applyFill="1" applyBorder="1" applyAlignment="1">
      <alignment horizontal="left" vertical="top" wrapText="1"/>
    </xf>
    <xf numFmtId="0" fontId="29" fillId="0" borderId="1" xfId="3" applyFont="1" applyFill="1" applyBorder="1" applyAlignment="1">
      <alignment horizontal="center"/>
    </xf>
    <xf numFmtId="0" fontId="29" fillId="0" borderId="0" xfId="0" applyFont="1" applyAlignment="1">
      <alignment wrapText="1"/>
    </xf>
    <xf numFmtId="0" fontId="29" fillId="0" borderId="0" xfId="0" applyFont="1" applyFill="1" applyAlignment="1">
      <alignment horizontal="justify" vertical="top" wrapText="1"/>
    </xf>
    <xf numFmtId="167" fontId="30" fillId="3" borderId="26" xfId="7" applyNumberFormat="1" applyFont="1" applyFill="1" applyBorder="1" applyAlignment="1">
      <alignment horizontal="center" vertical="center" wrapText="1"/>
    </xf>
    <xf numFmtId="0" fontId="30" fillId="3" borderId="1" xfId="2" applyFont="1" applyFill="1" applyBorder="1" applyAlignment="1">
      <alignment horizontal="center" vertical="center" wrapText="1"/>
    </xf>
    <xf numFmtId="1" fontId="29" fillId="2" borderId="1" xfId="0" applyNumberFormat="1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left" vertical="center" wrapText="1"/>
    </xf>
    <xf numFmtId="49" fontId="29" fillId="2" borderId="26" xfId="0" applyNumberFormat="1" applyFont="1" applyFill="1" applyBorder="1" applyAlignment="1">
      <alignment horizontal="center" vertical="center"/>
    </xf>
    <xf numFmtId="1" fontId="29" fillId="2" borderId="7" xfId="0" applyNumberFormat="1" applyFont="1" applyFill="1" applyBorder="1" applyAlignment="1">
      <alignment horizontal="right" vertical="center"/>
    </xf>
    <xf numFmtId="0" fontId="29" fillId="2" borderId="27" xfId="2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justify" vertical="center" wrapText="1"/>
    </xf>
    <xf numFmtId="0" fontId="51" fillId="2" borderId="7" xfId="0" applyFont="1" applyFill="1" applyBorder="1" applyAlignment="1">
      <alignment horizontal="right" vertical="center"/>
    </xf>
    <xf numFmtId="0" fontId="51" fillId="2" borderId="7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/>
    </xf>
    <xf numFmtId="0" fontId="45" fillId="2" borderId="1" xfId="5" applyFont="1" applyFill="1" applyBorder="1" applyAlignment="1">
      <alignment vertical="center" wrapText="1"/>
    </xf>
    <xf numFmtId="0" fontId="30" fillId="0" borderId="1" xfId="5" applyFont="1" applyBorder="1" applyAlignment="1">
      <alignment horizontal="center" vertical="center"/>
    </xf>
    <xf numFmtId="0" fontId="29" fillId="0" borderId="8" xfId="5" applyFont="1" applyBorder="1" applyAlignment="1">
      <alignment horizontal="center" vertical="center"/>
    </xf>
    <xf numFmtId="0" fontId="44" fillId="2" borderId="8" xfId="5" applyFont="1" applyFill="1" applyBorder="1" applyAlignment="1">
      <alignment vertical="center" wrapText="1"/>
    </xf>
    <xf numFmtId="0" fontId="45" fillId="2" borderId="8" xfId="5" applyFont="1" applyFill="1" applyBorder="1" applyAlignment="1">
      <alignment vertical="center" wrapText="1"/>
    </xf>
    <xf numFmtId="49" fontId="30" fillId="0" borderId="1" xfId="5" applyNumberFormat="1" applyFont="1" applyBorder="1" applyAlignment="1">
      <alignment horizontal="center" vertical="center"/>
    </xf>
    <xf numFmtId="49" fontId="29" fillId="0" borderId="1" xfId="5" applyNumberFormat="1" applyFont="1" applyBorder="1" applyAlignment="1">
      <alignment horizontal="center" vertical="center"/>
    </xf>
    <xf numFmtId="0" fontId="44" fillId="2" borderId="1" xfId="5" applyFont="1" applyFill="1" applyBorder="1" applyAlignment="1">
      <alignment vertical="center" wrapText="1"/>
    </xf>
    <xf numFmtId="0" fontId="45" fillId="2" borderId="1" xfId="0" applyFont="1" applyFill="1" applyBorder="1" applyAlignment="1">
      <alignment wrapText="1"/>
    </xf>
    <xf numFmtId="49" fontId="46" fillId="2" borderId="1" xfId="0" applyNumberFormat="1" applyFont="1" applyFill="1" applyBorder="1" applyAlignment="1">
      <alignment horizontal="center" vertical="center"/>
    </xf>
    <xf numFmtId="167" fontId="45" fillId="2" borderId="1" xfId="0" applyNumberFormat="1" applyFont="1" applyFill="1" applyBorder="1" applyAlignment="1">
      <alignment vertical="center" wrapText="1"/>
    </xf>
    <xf numFmtId="49" fontId="46" fillId="2" borderId="8" xfId="0" applyNumberFormat="1" applyFont="1" applyFill="1" applyBorder="1" applyAlignment="1">
      <alignment horizontal="center" vertical="center"/>
    </xf>
    <xf numFmtId="49" fontId="30" fillId="0" borderId="8" xfId="5" applyNumberFormat="1" applyFont="1" applyBorder="1" applyAlignment="1">
      <alignment horizontal="center" vertical="center"/>
    </xf>
    <xf numFmtId="49" fontId="29" fillId="0" borderId="8" xfId="5" applyNumberFormat="1" applyFont="1" applyBorder="1" applyAlignment="1">
      <alignment horizontal="center" vertical="center"/>
    </xf>
    <xf numFmtId="0" fontId="30" fillId="0" borderId="1" xfId="5" applyFont="1" applyBorder="1" applyAlignment="1">
      <alignment vertical="center" wrapText="1"/>
    </xf>
    <xf numFmtId="0" fontId="29" fillId="0" borderId="1" xfId="5" applyFont="1" applyBorder="1" applyAlignment="1">
      <alignment vertical="center" wrapText="1"/>
    </xf>
    <xf numFmtId="167" fontId="45" fillId="2" borderId="8" xfId="0" applyNumberFormat="1" applyFont="1" applyFill="1" applyBorder="1" applyAlignment="1">
      <alignment vertical="center" wrapText="1"/>
    </xf>
    <xf numFmtId="49" fontId="44" fillId="2" borderId="1" xfId="0" applyNumberFormat="1" applyFont="1" applyFill="1" applyBorder="1" applyAlignment="1">
      <alignment vertical="center"/>
    </xf>
    <xf numFmtId="168" fontId="45" fillId="2" borderId="1" xfId="0" applyNumberFormat="1" applyFont="1" applyFill="1" applyBorder="1" applyAlignment="1">
      <alignment vertical="center"/>
    </xf>
    <xf numFmtId="1" fontId="44" fillId="2" borderId="1" xfId="0" applyNumberFormat="1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left" vertical="center" wrapText="1"/>
    </xf>
    <xf numFmtId="0" fontId="49" fillId="2" borderId="0" xfId="0" applyFont="1" applyFill="1" applyBorder="1" applyAlignment="1">
      <alignment horizontal="left" vertical="center" wrapText="1"/>
    </xf>
    <xf numFmtId="0" fontId="44" fillId="2" borderId="4" xfId="0" applyFont="1" applyFill="1" applyBorder="1" applyAlignment="1">
      <alignment vertical="center" wrapText="1"/>
    </xf>
    <xf numFmtId="0" fontId="44" fillId="2" borderId="8" xfId="0" applyFont="1" applyFill="1" applyBorder="1" applyAlignment="1">
      <alignment vertical="center" wrapText="1"/>
    </xf>
    <xf numFmtId="1" fontId="45" fillId="2" borderId="1" xfId="0" applyNumberFormat="1" applyFont="1" applyFill="1" applyBorder="1" applyAlignment="1">
      <alignment horizontal="right" vertical="center"/>
    </xf>
    <xf numFmtId="1" fontId="45" fillId="2" borderId="8" xfId="0" applyNumberFormat="1" applyFont="1" applyFill="1" applyBorder="1" applyAlignment="1">
      <alignment vertical="center" wrapText="1"/>
    </xf>
    <xf numFmtId="9" fontId="29" fillId="2" borderId="1" xfId="0" applyNumberFormat="1" applyFont="1" applyFill="1" applyBorder="1" applyAlignment="1">
      <alignment horizontal="center" vertical="center" wrapText="1"/>
    </xf>
    <xf numFmtId="1" fontId="45" fillId="2" borderId="1" xfId="0" applyNumberFormat="1" applyFont="1" applyFill="1" applyBorder="1" applyAlignment="1">
      <alignment vertical="center"/>
    </xf>
    <xf numFmtId="0" fontId="49" fillId="2" borderId="1" xfId="0" applyFont="1" applyFill="1" applyBorder="1" applyAlignment="1">
      <alignment horizontal="center" vertical="center" wrapText="1"/>
    </xf>
    <xf numFmtId="167" fontId="49" fillId="2" borderId="1" xfId="5" applyNumberFormat="1" applyFont="1" applyFill="1" applyBorder="1" applyAlignment="1">
      <alignment horizontal="center" vertical="center" wrapText="1"/>
    </xf>
    <xf numFmtId="1" fontId="45" fillId="2" borderId="7" xfId="0" applyNumberFormat="1" applyFont="1" applyFill="1" applyBorder="1" applyAlignment="1">
      <alignment horizontal="right" vertical="center"/>
    </xf>
    <xf numFmtId="0" fontId="49" fillId="2" borderId="1" xfId="0" applyFont="1" applyFill="1" applyBorder="1" applyAlignment="1">
      <alignment vertical="center" wrapText="1"/>
    </xf>
    <xf numFmtId="166" fontId="49" fillId="2" borderId="1" xfId="0" applyNumberFormat="1" applyFont="1" applyFill="1" applyBorder="1" applyAlignment="1">
      <alignment horizontal="center" vertical="center" wrapText="1"/>
    </xf>
    <xf numFmtId="166" fontId="45" fillId="2" borderId="1" xfId="0" applyNumberFormat="1" applyFont="1" applyFill="1" applyBorder="1" applyAlignment="1">
      <alignment horizontal="center" vertical="center" wrapText="1"/>
    </xf>
    <xf numFmtId="0" fontId="44" fillId="2" borderId="10" xfId="0" applyFont="1" applyFill="1" applyBorder="1" applyAlignment="1">
      <alignment vertical="center" wrapText="1"/>
    </xf>
    <xf numFmtId="0" fontId="45" fillId="2" borderId="0" xfId="0" applyFont="1" applyFill="1" applyBorder="1" applyAlignment="1">
      <alignment horizontal="left" vertical="center" wrapText="1"/>
    </xf>
    <xf numFmtId="0" fontId="45" fillId="2" borderId="1" xfId="2" applyFont="1" applyFill="1" applyBorder="1" applyAlignment="1">
      <alignment vertical="center" wrapText="1"/>
    </xf>
    <xf numFmtId="0" fontId="45" fillId="2" borderId="1" xfId="0" applyFont="1" applyFill="1" applyBorder="1" applyAlignment="1">
      <alignment horizontal="right" vertical="center" wrapText="1"/>
    </xf>
    <xf numFmtId="0" fontId="54" fillId="2" borderId="1" xfId="0" applyFont="1" applyFill="1" applyBorder="1" applyAlignment="1">
      <alignment vertical="center" wrapText="1"/>
    </xf>
    <xf numFmtId="1" fontId="45" fillId="2" borderId="7" xfId="0" applyNumberFormat="1" applyFont="1" applyFill="1" applyBorder="1" applyAlignment="1">
      <alignment vertical="center" wrapText="1"/>
    </xf>
    <xf numFmtId="166" fontId="44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right" vertical="center" wrapText="1" indent="1"/>
    </xf>
    <xf numFmtId="9" fontId="45" fillId="2" borderId="7" xfId="0" applyNumberFormat="1" applyFont="1" applyFill="1" applyBorder="1" applyAlignment="1">
      <alignment horizontal="center" vertical="center" wrapText="1"/>
    </xf>
    <xf numFmtId="0" fontId="45" fillId="2" borderId="0" xfId="0" applyFont="1" applyFill="1"/>
    <xf numFmtId="1" fontId="45" fillId="2" borderId="8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justify" vertical="center" wrapText="1"/>
    </xf>
    <xf numFmtId="169" fontId="45" fillId="2" borderId="7" xfId="0" applyNumberFormat="1" applyFont="1" applyFill="1" applyBorder="1" applyAlignment="1">
      <alignment horizontal="center" vertical="center" wrapText="1"/>
    </xf>
    <xf numFmtId="1" fontId="45" fillId="2" borderId="1" xfId="0" applyNumberFormat="1" applyFont="1" applyFill="1" applyBorder="1" applyAlignment="1">
      <alignment horizontal="center" vertical="center" wrapText="1"/>
    </xf>
    <xf numFmtId="1" fontId="45" fillId="2" borderId="2" xfId="0" applyNumberFormat="1" applyFont="1" applyFill="1" applyBorder="1" applyAlignment="1">
      <alignment horizontal="right" vertical="center"/>
    </xf>
    <xf numFmtId="0" fontId="49" fillId="2" borderId="8" xfId="2" applyFont="1" applyFill="1" applyBorder="1" applyAlignment="1">
      <alignment vertical="center" wrapText="1"/>
    </xf>
    <xf numFmtId="0" fontId="48" fillId="2" borderId="8" xfId="0" applyFont="1" applyFill="1" applyBorder="1" applyAlignment="1">
      <alignment horizontal="center" vertical="center" wrapText="1"/>
    </xf>
    <xf numFmtId="166" fontId="48" fillId="2" borderId="8" xfId="0" applyNumberFormat="1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left" vertical="center" wrapText="1"/>
    </xf>
    <xf numFmtId="0" fontId="48" fillId="2" borderId="1" xfId="0" applyFont="1" applyFill="1" applyBorder="1" applyAlignment="1">
      <alignment horizontal="center" vertical="center" wrapText="1"/>
    </xf>
    <xf numFmtId="166" fontId="48" fillId="2" borderId="1" xfId="0" applyNumberFormat="1" applyFont="1" applyFill="1" applyBorder="1" applyAlignment="1">
      <alignment horizontal="center" vertical="center" wrapText="1"/>
    </xf>
    <xf numFmtId="174" fontId="48" fillId="2" borderId="1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0" fontId="49" fillId="27" borderId="1" xfId="0" applyFont="1" applyFill="1" applyBorder="1" applyAlignment="1">
      <alignment horizontal="left" vertical="top" wrapText="1"/>
    </xf>
    <xf numFmtId="0" fontId="48" fillId="27" borderId="7" xfId="0" applyFont="1" applyFill="1" applyBorder="1" applyAlignment="1">
      <alignment horizontal="center" vertical="top" wrapText="1"/>
    </xf>
    <xf numFmtId="9" fontId="45" fillId="0" borderId="1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/>
    <xf numFmtId="49" fontId="45" fillId="2" borderId="1" xfId="0" applyNumberFormat="1" applyFont="1" applyFill="1" applyBorder="1"/>
    <xf numFmtId="0" fontId="45" fillId="0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right"/>
    </xf>
    <xf numFmtId="0" fontId="45" fillId="2" borderId="1" xfId="0" applyFont="1" applyFill="1" applyBorder="1" applyAlignment="1"/>
    <xf numFmtId="0" fontId="45" fillId="0" borderId="8" xfId="0" applyFont="1" applyFill="1" applyBorder="1"/>
    <xf numFmtId="0" fontId="45" fillId="2" borderId="8" xfId="0" applyFont="1" applyFill="1" applyBorder="1" applyAlignment="1"/>
    <xf numFmtId="0" fontId="45" fillId="2" borderId="8" xfId="0" applyFont="1" applyFill="1" applyBorder="1"/>
    <xf numFmtId="0" fontId="45" fillId="2" borderId="11" xfId="0" applyFont="1" applyFill="1" applyBorder="1"/>
    <xf numFmtId="0" fontId="45" fillId="2" borderId="1" xfId="0" applyFont="1" applyFill="1" applyBorder="1" applyAlignment="1">
      <alignment horizontal="right"/>
    </xf>
    <xf numFmtId="49" fontId="45" fillId="0" borderId="1" xfId="0" applyNumberFormat="1" applyFont="1" applyFill="1" applyBorder="1" applyAlignment="1">
      <alignment horizontal="left" vertical="center" wrapText="1"/>
    </xf>
    <xf numFmtId="0" fontId="45" fillId="0" borderId="0" xfId="0" applyFont="1"/>
    <xf numFmtId="0" fontId="44" fillId="2" borderId="0" xfId="0" applyFont="1" applyFill="1"/>
    <xf numFmtId="167" fontId="44" fillId="27" borderId="7" xfId="41" applyNumberFormat="1" applyFont="1" applyFill="1" applyBorder="1" applyAlignment="1">
      <alignment horizontal="center" vertical="center" wrapText="1"/>
    </xf>
    <xf numFmtId="167" fontId="48" fillId="27" borderId="7" xfId="41" applyNumberFormat="1" applyFont="1" applyFill="1" applyBorder="1" applyAlignment="1">
      <alignment horizontal="center" vertical="center" wrapText="1"/>
    </xf>
    <xf numFmtId="169" fontId="29" fillId="0" borderId="26" xfId="0" applyNumberFormat="1" applyFont="1" applyFill="1" applyBorder="1" applyAlignment="1">
      <alignment horizontal="center" vertical="center"/>
    </xf>
    <xf numFmtId="0" fontId="49" fillId="2" borderId="8" xfId="0" applyFont="1" applyFill="1" applyBorder="1" applyAlignment="1">
      <alignment horizontal="left" vertical="center" wrapText="1"/>
    </xf>
    <xf numFmtId="174" fontId="45" fillId="2" borderId="8" xfId="0" applyNumberFormat="1" applyFont="1" applyFill="1" applyBorder="1" applyAlignment="1">
      <alignment horizontal="center" vertical="center" wrapText="1"/>
    </xf>
    <xf numFmtId="174" fontId="45" fillId="2" borderId="1" xfId="0" applyNumberFormat="1" applyFont="1" applyFill="1" applyBorder="1" applyAlignment="1">
      <alignment vertical="center" wrapText="1"/>
    </xf>
    <xf numFmtId="169" fontId="49" fillId="2" borderId="8" xfId="0" applyNumberFormat="1" applyFont="1" applyFill="1" applyBorder="1" applyAlignment="1">
      <alignment horizontal="right" vertical="center"/>
    </xf>
    <xf numFmtId="169" fontId="44" fillId="2" borderId="7" xfId="0" applyNumberFormat="1" applyFont="1" applyFill="1" applyBorder="1" applyAlignment="1">
      <alignment horizontal="center" vertical="center"/>
    </xf>
    <xf numFmtId="167" fontId="30" fillId="2" borderId="8" xfId="0" applyNumberFormat="1" applyFont="1" applyFill="1" applyBorder="1" applyAlignment="1">
      <alignment horizontal="center" vertical="center" wrapText="1"/>
    </xf>
    <xf numFmtId="167" fontId="45" fillId="0" borderId="1" xfId="0" applyNumberFormat="1" applyFont="1" applyBorder="1" applyAlignment="1">
      <alignment horizontal="center" vertical="center" wrapText="1"/>
    </xf>
    <xf numFmtId="167" fontId="48" fillId="3" borderId="1" xfId="0" applyNumberFormat="1" applyFont="1" applyFill="1" applyBorder="1" applyAlignment="1">
      <alignment horizontal="center" vertical="center" wrapText="1"/>
    </xf>
    <xf numFmtId="169" fontId="44" fillId="2" borderId="1" xfId="0" applyNumberFormat="1" applyFont="1" applyFill="1" applyBorder="1" applyAlignment="1">
      <alignment vertical="center"/>
    </xf>
    <xf numFmtId="168" fontId="45" fillId="2" borderId="26" xfId="0" applyNumberFormat="1" applyFont="1" applyFill="1" applyBorder="1" applyAlignment="1">
      <alignment vertical="center"/>
    </xf>
    <xf numFmtId="0" fontId="45" fillId="2" borderId="26" xfId="0" applyFont="1" applyFill="1" applyBorder="1" applyAlignment="1">
      <alignment vertical="center" wrapText="1"/>
    </xf>
    <xf numFmtId="174" fontId="45" fillId="2" borderId="8" xfId="0" applyNumberFormat="1" applyFont="1" applyFill="1" applyBorder="1" applyAlignment="1">
      <alignment vertical="center" wrapText="1"/>
    </xf>
    <xf numFmtId="174" fontId="45" fillId="2" borderId="7" xfId="0" applyNumberFormat="1" applyFont="1" applyFill="1" applyBorder="1" applyAlignment="1">
      <alignment vertical="center" wrapText="1"/>
    </xf>
    <xf numFmtId="174" fontId="45" fillId="2" borderId="26" xfId="0" applyNumberFormat="1" applyFont="1" applyFill="1" applyBorder="1" applyAlignment="1">
      <alignment vertical="center" wrapText="1"/>
    </xf>
    <xf numFmtId="0" fontId="49" fillId="2" borderId="26" xfId="0" applyFont="1" applyFill="1" applyBorder="1" applyAlignment="1">
      <alignment vertical="center" wrapText="1"/>
    </xf>
    <xf numFmtId="1" fontId="45" fillId="2" borderId="26" xfId="0" applyNumberFormat="1" applyFont="1" applyFill="1" applyBorder="1" applyAlignment="1">
      <alignment vertical="center"/>
    </xf>
    <xf numFmtId="1" fontId="45" fillId="2" borderId="7" xfId="0" applyNumberFormat="1" applyFont="1" applyFill="1" applyBorder="1" applyAlignment="1">
      <alignment vertical="center"/>
    </xf>
    <xf numFmtId="167" fontId="29" fillId="0" borderId="6" xfId="7" applyNumberFormat="1" applyFont="1" applyFill="1" applyBorder="1" applyAlignment="1">
      <alignment horizontal="center" vertical="center" wrapText="1"/>
    </xf>
    <xf numFmtId="167" fontId="29" fillId="0" borderId="29" xfId="7" applyNumberFormat="1" applyFont="1" applyFill="1" applyBorder="1" applyAlignment="1">
      <alignment horizontal="center" vertical="center" wrapText="1"/>
    </xf>
    <xf numFmtId="0" fontId="44" fillId="0" borderId="26" xfId="0" applyFont="1" applyFill="1" applyBorder="1" applyAlignment="1">
      <alignment horizontal="left" vertical="center" wrapText="1"/>
    </xf>
    <xf numFmtId="0" fontId="44" fillId="0" borderId="7" xfId="0" applyFont="1" applyFill="1" applyBorder="1" applyAlignment="1">
      <alignment vertical="center" wrapText="1"/>
    </xf>
    <xf numFmtId="167" fontId="30" fillId="0" borderId="1" xfId="1" applyNumberFormat="1" applyFont="1" applyFill="1" applyBorder="1" applyAlignment="1">
      <alignment horizontal="center" vertical="center"/>
    </xf>
    <xf numFmtId="167" fontId="29" fillId="0" borderId="1" xfId="1" applyNumberFormat="1" applyFont="1" applyFill="1" applyBorder="1" applyAlignment="1">
      <alignment horizontal="center" vertical="center"/>
    </xf>
    <xf numFmtId="175" fontId="29" fillId="0" borderId="2" xfId="16" applyNumberFormat="1" applyFont="1" applyFill="1" applyBorder="1" applyAlignment="1">
      <alignment horizontal="center" vertical="center" wrapText="1"/>
    </xf>
    <xf numFmtId="175" fontId="29" fillId="0" borderId="8" xfId="16" applyNumberFormat="1" applyFont="1" applyFill="1" applyBorder="1" applyAlignment="1">
      <alignment vertical="center" wrapText="1"/>
    </xf>
    <xf numFmtId="0" fontId="30" fillId="0" borderId="4" xfId="2" applyFont="1" applyFill="1" applyBorder="1" applyAlignment="1">
      <alignment vertical="center" wrapText="1"/>
    </xf>
    <xf numFmtId="0" fontId="49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left" vertical="top" wrapText="1"/>
    </xf>
    <xf numFmtId="0" fontId="45" fillId="2" borderId="26" xfId="2" applyFont="1" applyFill="1" applyBorder="1" applyAlignment="1">
      <alignment vertical="center" wrapText="1"/>
    </xf>
    <xf numFmtId="0" fontId="45" fillId="2" borderId="4" xfId="2" applyFont="1" applyFill="1" applyBorder="1" applyAlignment="1">
      <alignment horizontal="left" vertical="center" wrapText="1"/>
    </xf>
    <xf numFmtId="0" fontId="45" fillId="0" borderId="26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vertical="top" wrapText="1"/>
    </xf>
    <xf numFmtId="0" fontId="45" fillId="0" borderId="0" xfId="0" applyFont="1" applyFill="1" applyBorder="1" applyAlignment="1">
      <alignment wrapText="1"/>
    </xf>
    <xf numFmtId="3" fontId="45" fillId="0" borderId="26" xfId="0" applyNumberFormat="1" applyFont="1" applyFill="1" applyBorder="1" applyAlignment="1">
      <alignment horizontal="center" vertical="center" wrapText="1"/>
    </xf>
    <xf numFmtId="167" fontId="30" fillId="3" borderId="1" xfId="1" applyNumberFormat="1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/>
    </xf>
    <xf numFmtId="49" fontId="29" fillId="29" borderId="0" xfId="0" applyNumberFormat="1" applyFont="1" applyFill="1"/>
    <xf numFmtId="0" fontId="30" fillId="3" borderId="1" xfId="0" applyFont="1" applyFill="1" applyBorder="1" applyAlignment="1">
      <alignment horizontal="center" vertical="center" wrapText="1"/>
    </xf>
    <xf numFmtId="169" fontId="49" fillId="0" borderId="4" xfId="0" applyNumberFormat="1" applyFont="1" applyBorder="1" applyAlignment="1">
      <alignment horizontal="center" vertical="center"/>
    </xf>
    <xf numFmtId="49" fontId="49" fillId="27" borderId="1" xfId="0" applyNumberFormat="1" applyFont="1" applyFill="1" applyBorder="1" applyAlignment="1">
      <alignment horizontal="center" vertical="center"/>
    </xf>
    <xf numFmtId="0" fontId="49" fillId="3" borderId="1" xfId="0" applyFont="1" applyFill="1" applyBorder="1"/>
    <xf numFmtId="166" fontId="45" fillId="0" borderId="1" xfId="0" applyNumberFormat="1" applyFont="1" applyFill="1" applyBorder="1" applyAlignment="1">
      <alignment horizontal="center" vertical="center" wrapText="1"/>
    </xf>
    <xf numFmtId="168" fontId="44" fillId="2" borderId="1" xfId="0" applyNumberFormat="1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vertical="center" wrapText="1"/>
    </xf>
    <xf numFmtId="9" fontId="45" fillId="2" borderId="1" xfId="0" applyNumberFormat="1" applyFont="1" applyFill="1" applyBorder="1" applyAlignment="1">
      <alignment horizontal="center" vertical="center" wrapText="1"/>
    </xf>
    <xf numFmtId="0" fontId="45" fillId="2" borderId="1" xfId="0" applyNumberFormat="1" applyFont="1" applyFill="1" applyBorder="1" applyAlignment="1">
      <alignment horizontal="center" vertical="center" wrapText="1"/>
    </xf>
    <xf numFmtId="49" fontId="44" fillId="2" borderId="1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top" wrapText="1"/>
    </xf>
    <xf numFmtId="0" fontId="45" fillId="2" borderId="4" xfId="0" applyFont="1" applyFill="1" applyBorder="1" applyAlignment="1">
      <alignment vertical="center" wrapText="1"/>
    </xf>
    <xf numFmtId="168" fontId="44" fillId="2" borderId="26" xfId="0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vertical="center"/>
    </xf>
    <xf numFmtId="0" fontId="45" fillId="2" borderId="4" xfId="0" applyFont="1" applyFill="1" applyBorder="1" applyAlignment="1">
      <alignment wrapText="1"/>
    </xf>
    <xf numFmtId="0" fontId="29" fillId="4" borderId="7" xfId="0" applyFont="1" applyFill="1" applyBorder="1"/>
    <xf numFmtId="168" fontId="48" fillId="0" borderId="1" xfId="0" applyNumberFormat="1" applyFont="1" applyBorder="1" applyAlignment="1">
      <alignment horizontal="center" vertical="center"/>
    </xf>
    <xf numFmtId="0" fontId="49" fillId="27" borderId="1" xfId="0" applyFont="1" applyFill="1" applyBorder="1" applyAlignment="1">
      <alignment horizontal="right" vertical="center"/>
    </xf>
    <xf numFmtId="49" fontId="48" fillId="27" borderId="1" xfId="0" applyNumberFormat="1" applyFont="1" applyFill="1" applyBorder="1" applyAlignment="1">
      <alignment horizontal="center" vertical="center"/>
    </xf>
    <xf numFmtId="0" fontId="29" fillId="27" borderId="1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horizontal="left" vertical="center" wrapText="1"/>
    </xf>
    <xf numFmtId="0" fontId="29" fillId="27" borderId="4" xfId="2" applyFont="1" applyFill="1" applyBorder="1" applyAlignment="1">
      <alignment horizontal="left" vertical="center" wrapText="1"/>
    </xf>
    <xf numFmtId="49" fontId="30" fillId="27" borderId="8" xfId="0" applyNumberFormat="1" applyFont="1" applyFill="1" applyBorder="1" applyAlignment="1">
      <alignment horizontal="center" vertical="center"/>
    </xf>
    <xf numFmtId="0" fontId="30" fillId="27" borderId="1" xfId="0" applyFont="1" applyFill="1" applyBorder="1" applyAlignment="1">
      <alignment horizontal="left" vertical="center" wrapText="1"/>
    </xf>
    <xf numFmtId="49" fontId="29" fillId="27" borderId="8" xfId="0" applyNumberFormat="1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vertical="center" wrapText="1"/>
    </xf>
    <xf numFmtId="0" fontId="49" fillId="27" borderId="7" xfId="0" applyFont="1" applyFill="1" applyBorder="1" applyAlignment="1">
      <alignment vertical="center" wrapText="1"/>
    </xf>
    <xf numFmtId="0" fontId="49" fillId="27" borderId="7" xfId="0" applyFont="1" applyFill="1" applyBorder="1" applyAlignment="1">
      <alignment horizontal="left" vertical="center" wrapText="1"/>
    </xf>
    <xf numFmtId="168" fontId="48" fillId="0" borderId="8" xfId="0" applyNumberFormat="1" applyFont="1" applyBorder="1" applyAlignment="1">
      <alignment horizontal="center" vertical="center"/>
    </xf>
    <xf numFmtId="169" fontId="49" fillId="0" borderId="8" xfId="0" applyNumberFormat="1" applyFont="1" applyBorder="1" applyAlignment="1">
      <alignment horizontal="center" vertical="center"/>
    </xf>
    <xf numFmtId="49" fontId="49" fillId="27" borderId="8" xfId="0" applyNumberFormat="1" applyFont="1" applyFill="1" applyBorder="1" applyAlignment="1">
      <alignment horizontal="center" vertical="center"/>
    </xf>
    <xf numFmtId="167" fontId="29" fillId="2" borderId="8" xfId="1" applyNumberFormat="1" applyFont="1" applyFill="1" applyBorder="1" applyAlignment="1">
      <alignment horizontal="center" vertical="center" wrapText="1"/>
    </xf>
    <xf numFmtId="169" fontId="29" fillId="0" borderId="8" xfId="0" applyNumberFormat="1" applyFont="1" applyBorder="1" applyAlignment="1">
      <alignment horizontal="center"/>
    </xf>
    <xf numFmtId="167" fontId="49" fillId="3" borderId="6" xfId="157" applyNumberFormat="1" applyFont="1" applyFill="1" applyBorder="1" applyAlignment="1">
      <alignment wrapText="1"/>
    </xf>
    <xf numFmtId="0" fontId="45" fillId="0" borderId="8" xfId="0" applyFont="1" applyFill="1" applyBorder="1" applyAlignment="1">
      <alignment horizontal="justify" vertical="center" wrapText="1"/>
    </xf>
    <xf numFmtId="0" fontId="30" fillId="3" borderId="6" xfId="0" applyFont="1" applyFill="1" applyBorder="1" applyAlignment="1">
      <alignment vertical="center" wrapText="1"/>
    </xf>
    <xf numFmtId="0" fontId="30" fillId="4" borderId="0" xfId="0" applyFont="1" applyFill="1" applyBorder="1" applyAlignment="1">
      <alignment horizontal="left" vertical="center"/>
    </xf>
    <xf numFmtId="0" fontId="30" fillId="2" borderId="8" xfId="0" applyFont="1" applyFill="1" applyBorder="1" applyAlignment="1">
      <alignment vertical="center" wrapText="1"/>
    </xf>
    <xf numFmtId="0" fontId="32" fillId="2" borderId="7" xfId="0" applyFont="1" applyFill="1" applyBorder="1" applyAlignment="1">
      <alignment vertical="center" wrapText="1"/>
    </xf>
    <xf numFmtId="49" fontId="29" fillId="2" borderId="1" xfId="0" applyNumberFormat="1" applyFont="1" applyFill="1" applyBorder="1" applyAlignment="1">
      <alignment vertical="center" wrapText="1"/>
    </xf>
    <xf numFmtId="49" fontId="29" fillId="2" borderId="26" xfId="0" applyNumberFormat="1" applyFont="1" applyFill="1" applyBorder="1" applyAlignment="1">
      <alignment horizontal="center" vertical="center" wrapText="1"/>
    </xf>
    <xf numFmtId="167" fontId="30" fillId="3" borderId="1" xfId="150" applyNumberFormat="1" applyFont="1" applyFill="1" applyBorder="1" applyAlignment="1">
      <alignment horizontal="center" vertical="center"/>
    </xf>
    <xf numFmtId="0" fontId="49" fillId="0" borderId="7" xfId="0" applyFont="1" applyBorder="1"/>
    <xf numFmtId="0" fontId="29" fillId="27" borderId="26" xfId="2" applyFont="1" applyFill="1" applyBorder="1" applyAlignment="1">
      <alignment horizontal="left" vertical="center" wrapText="1"/>
    </xf>
    <xf numFmtId="0" fontId="30" fillId="27" borderId="26" xfId="0" applyFont="1" applyFill="1" applyBorder="1" applyAlignment="1">
      <alignment horizontal="left" vertical="center" wrapText="1"/>
    </xf>
    <xf numFmtId="0" fontId="29" fillId="27" borderId="26" xfId="0" applyFont="1" applyFill="1" applyBorder="1" applyAlignment="1">
      <alignment horizontal="left" vertical="center" wrapText="1"/>
    </xf>
    <xf numFmtId="0" fontId="29" fillId="27" borderId="8" xfId="0" applyFont="1" applyFill="1" applyBorder="1" applyAlignment="1">
      <alignment horizontal="left" vertical="center" wrapText="1"/>
    </xf>
    <xf numFmtId="0" fontId="29" fillId="27" borderId="7" xfId="0" applyFont="1" applyFill="1" applyBorder="1" applyAlignment="1">
      <alignment horizontal="center" vertical="center"/>
    </xf>
    <xf numFmtId="49" fontId="29" fillId="27" borderId="26" xfId="0" applyNumberFormat="1" applyFont="1" applyFill="1" applyBorder="1" applyAlignment="1">
      <alignment horizontal="center" vertical="center"/>
    </xf>
    <xf numFmtId="49" fontId="30" fillId="27" borderId="26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167" fontId="30" fillId="0" borderId="7" xfId="0" applyNumberFormat="1" applyFont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168" fontId="29" fillId="0" borderId="26" xfId="0" applyNumberFormat="1" applyFont="1" applyBorder="1" applyAlignment="1">
      <alignment horizontal="center" vertical="center"/>
    </xf>
    <xf numFmtId="168" fontId="29" fillId="0" borderId="8" xfId="0" applyNumberFormat="1" applyFont="1" applyBorder="1" applyAlignment="1">
      <alignment horizontal="center" vertical="center"/>
    </xf>
    <xf numFmtId="0" fontId="29" fillId="0" borderId="27" xfId="0" applyFont="1" applyFill="1" applyBorder="1" applyAlignment="1">
      <alignment horizontal="left" vertical="center" wrapText="1"/>
    </xf>
    <xf numFmtId="167" fontId="29" fillId="2" borderId="8" xfId="0" applyNumberFormat="1" applyFont="1" applyFill="1" applyBorder="1" applyAlignment="1">
      <alignment vertical="center" wrapText="1"/>
    </xf>
    <xf numFmtId="0" fontId="47" fillId="2" borderId="7" xfId="0" applyFont="1" applyFill="1" applyBorder="1" applyAlignment="1">
      <alignment vertical="center" wrapText="1"/>
    </xf>
    <xf numFmtId="168" fontId="44" fillId="2" borderId="1" xfId="0" applyNumberFormat="1" applyFont="1" applyFill="1" applyBorder="1" applyAlignment="1">
      <alignment vertical="center"/>
    </xf>
    <xf numFmtId="169" fontId="45" fillId="2" borderId="8" xfId="0" applyNumberFormat="1" applyFont="1" applyFill="1" applyBorder="1" applyAlignment="1">
      <alignment horizontal="center" vertical="center" wrapText="1"/>
    </xf>
    <xf numFmtId="169" fontId="45" fillId="2" borderId="4" xfId="0" applyNumberFormat="1" applyFont="1" applyFill="1" applyBorder="1" applyAlignment="1">
      <alignment horizontal="center" vertical="center"/>
    </xf>
    <xf numFmtId="0" fontId="29" fillId="2" borderId="1" xfId="2" applyNumberFormat="1" applyFont="1" applyFill="1" applyBorder="1" applyAlignment="1">
      <alignment horizontal="center" wrapText="1"/>
    </xf>
    <xf numFmtId="49" fontId="29" fillId="0" borderId="8" xfId="0" applyNumberFormat="1" applyFont="1" applyFill="1" applyBorder="1" applyAlignment="1">
      <alignment vertical="center"/>
    </xf>
    <xf numFmtId="167" fontId="30" fillId="0" borderId="1" xfId="2" applyNumberFormat="1" applyFont="1" applyFill="1" applyBorder="1" applyAlignment="1">
      <alignment horizontal="center" vertical="center" wrapText="1"/>
    </xf>
    <xf numFmtId="0" fontId="30" fillId="0" borderId="8" xfId="2" applyFont="1" applyFill="1" applyBorder="1" applyAlignment="1">
      <alignment horizontal="left" vertical="center" wrapText="1"/>
    </xf>
    <xf numFmtId="0" fontId="30" fillId="0" borderId="8" xfId="0" applyFont="1" applyFill="1" applyBorder="1" applyAlignment="1">
      <alignment horizontal="left" vertical="top" wrapText="1"/>
    </xf>
    <xf numFmtId="0" fontId="32" fillId="0" borderId="7" xfId="0" applyFont="1" applyFill="1" applyBorder="1" applyAlignment="1">
      <alignment horizontal="left" vertical="top" wrapText="1"/>
    </xf>
    <xf numFmtId="0" fontId="32" fillId="0" borderId="1" xfId="0" applyFont="1" applyFill="1" applyBorder="1" applyAlignment="1">
      <alignment horizontal="left" vertical="top" wrapText="1"/>
    </xf>
    <xf numFmtId="0" fontId="30" fillId="0" borderId="8" xfId="0" applyFont="1" applyFill="1" applyBorder="1" applyAlignment="1">
      <alignment horizontal="justify" vertical="top" wrapText="1"/>
    </xf>
    <xf numFmtId="0" fontId="49" fillId="27" borderId="27" xfId="2" applyFont="1" applyFill="1" applyBorder="1" applyAlignment="1">
      <alignment horizontal="left" vertical="center" wrapText="1"/>
    </xf>
    <xf numFmtId="0" fontId="48" fillId="27" borderId="8" xfId="0" applyFont="1" applyFill="1" applyBorder="1" applyAlignment="1">
      <alignment horizontal="center" vertical="center" wrapText="1"/>
    </xf>
    <xf numFmtId="167" fontId="30" fillId="3" borderId="8" xfId="7" applyNumberFormat="1" applyFont="1" applyFill="1" applyBorder="1" applyAlignment="1">
      <alignment horizontal="center" vertical="center" wrapText="1"/>
    </xf>
    <xf numFmtId="0" fontId="30" fillId="3" borderId="8" xfId="3" applyFont="1" applyFill="1" applyBorder="1" applyAlignment="1">
      <alignment horizontal="left" vertical="top" wrapText="1"/>
    </xf>
    <xf numFmtId="0" fontId="30" fillId="3" borderId="8" xfId="3" applyFont="1" applyFill="1" applyBorder="1" applyAlignment="1">
      <alignment horizontal="center" vertical="top" wrapText="1"/>
    </xf>
    <xf numFmtId="0" fontId="29" fillId="3" borderId="8" xfId="3" applyFont="1" applyFill="1" applyBorder="1" applyAlignment="1">
      <alignment horizontal="right" vertical="center" wrapText="1"/>
    </xf>
    <xf numFmtId="0" fontId="29" fillId="3" borderId="8" xfId="3" applyFont="1" applyFill="1" applyBorder="1" applyAlignment="1">
      <alignment horizontal="right" vertical="center"/>
    </xf>
    <xf numFmtId="0" fontId="29" fillId="3" borderId="27" xfId="3" applyFont="1" applyFill="1" applyBorder="1" applyAlignment="1">
      <alignment horizontal="right" vertical="center"/>
    </xf>
    <xf numFmtId="49" fontId="29" fillId="0" borderId="7" xfId="135" applyNumberFormat="1" applyFont="1" applyFill="1" applyBorder="1" applyAlignment="1">
      <alignment horizontal="center" vertical="top"/>
    </xf>
    <xf numFmtId="176" fontId="29" fillId="0" borderId="7" xfId="151" applyNumberFormat="1" applyFont="1" applyFill="1" applyBorder="1"/>
    <xf numFmtId="0" fontId="30" fillId="2" borderId="10" xfId="3" applyFont="1" applyFill="1" applyBorder="1" applyAlignment="1">
      <alignment vertical="center" wrapText="1"/>
    </xf>
    <xf numFmtId="167" fontId="30" fillId="0" borderId="7" xfId="135" applyNumberFormat="1" applyFont="1" applyFill="1" applyBorder="1" applyAlignment="1">
      <alignment horizontal="center" vertical="center" wrapText="1"/>
    </xf>
    <xf numFmtId="0" fontId="29" fillId="0" borderId="7" xfId="0" applyFont="1" applyBorder="1" applyAlignment="1">
      <alignment vertical="top" wrapText="1"/>
    </xf>
    <xf numFmtId="0" fontId="29" fillId="0" borderId="7" xfId="15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/>
    </xf>
    <xf numFmtId="0" fontId="29" fillId="0" borderId="26" xfId="152" applyFont="1" applyFill="1" applyBorder="1" applyAlignment="1">
      <alignment vertical="center" wrapText="1"/>
    </xf>
    <xf numFmtId="0" fontId="45" fillId="2" borderId="26" xfId="0" applyFont="1" applyFill="1" applyBorder="1" applyAlignment="1">
      <alignment horizontal="center" vertical="center" wrapText="1"/>
    </xf>
    <xf numFmtId="0" fontId="44" fillId="2" borderId="26" xfId="0" applyFont="1" applyFill="1" applyBorder="1" applyAlignment="1">
      <alignment horizontal="center" vertical="center" wrapText="1"/>
    </xf>
    <xf numFmtId="167" fontId="30" fillId="4" borderId="7" xfId="0" applyNumberFormat="1" applyFont="1" applyFill="1" applyBorder="1" applyAlignment="1">
      <alignment horizontal="center" vertical="center"/>
    </xf>
    <xf numFmtId="167" fontId="45" fillId="27" borderId="1" xfId="0" applyNumberFormat="1" applyFont="1" applyFill="1" applyBorder="1" applyAlignment="1">
      <alignment horizontal="center" vertical="center" wrapText="1"/>
    </xf>
    <xf numFmtId="167" fontId="45" fillId="27" borderId="8" xfId="0" applyNumberFormat="1" applyFont="1" applyFill="1" applyBorder="1" applyAlignment="1">
      <alignment horizontal="center" vertical="center" wrapText="1"/>
    </xf>
    <xf numFmtId="169" fontId="49" fillId="0" borderId="27" xfId="0" applyNumberFormat="1" applyFont="1" applyBorder="1" applyAlignment="1">
      <alignment horizontal="center" vertical="center"/>
    </xf>
    <xf numFmtId="168" fontId="48" fillId="0" borderId="24" xfId="0" applyNumberFormat="1" applyFont="1" applyBorder="1" applyAlignment="1">
      <alignment horizontal="center" vertical="center"/>
    </xf>
    <xf numFmtId="166" fontId="48" fillId="27" borderId="8" xfId="0" applyNumberFormat="1" applyFont="1" applyFill="1" applyBorder="1" applyAlignment="1">
      <alignment horizontal="center" vertical="center" wrapText="1"/>
    </xf>
    <xf numFmtId="166" fontId="49" fillId="2" borderId="8" xfId="0" applyNumberFormat="1" applyFont="1" applyFill="1" applyBorder="1" applyAlignment="1">
      <alignment horizontal="center" vertical="center" wrapText="1"/>
    </xf>
    <xf numFmtId="166" fontId="49" fillId="27" borderId="8" xfId="0" applyNumberFormat="1" applyFont="1" applyFill="1" applyBorder="1" applyAlignment="1">
      <alignment horizontal="center" vertical="center" wrapText="1"/>
    </xf>
    <xf numFmtId="0" fontId="49" fillId="27" borderId="1" xfId="0" applyFont="1" applyFill="1" applyBorder="1" applyAlignment="1">
      <alignment horizontal="center" vertical="center"/>
    </xf>
    <xf numFmtId="166" fontId="49" fillId="27" borderId="1" xfId="0" applyNumberFormat="1" applyFont="1" applyFill="1" applyBorder="1" applyAlignment="1">
      <alignment horizontal="center" vertical="center" wrapText="1"/>
    </xf>
    <xf numFmtId="166" fontId="48" fillId="27" borderId="1" xfId="0" applyNumberFormat="1" applyFont="1" applyFill="1" applyBorder="1" applyAlignment="1">
      <alignment horizontal="center" vertical="center" wrapText="1"/>
    </xf>
    <xf numFmtId="0" fontId="49" fillId="27" borderId="2" xfId="0" applyFont="1" applyFill="1" applyBorder="1" applyAlignment="1">
      <alignment vertical="center" wrapText="1"/>
    </xf>
    <xf numFmtId="0" fontId="29" fillId="29" borderId="0" xfId="0" applyFont="1" applyFill="1" applyAlignment="1">
      <alignment horizontal="left"/>
    </xf>
    <xf numFmtId="166" fontId="29" fillId="29" borderId="0" xfId="7" applyNumberFormat="1" applyFont="1" applyFill="1" applyAlignment="1">
      <alignment horizontal="left" vertical="center"/>
    </xf>
    <xf numFmtId="168" fontId="30" fillId="0" borderId="7" xfId="151" applyNumberFormat="1" applyFont="1" applyBorder="1" applyAlignment="1">
      <alignment horizontal="center" vertical="center"/>
    </xf>
    <xf numFmtId="0" fontId="30" fillId="4" borderId="4" xfId="0" applyFont="1" applyFill="1" applyBorder="1" applyAlignment="1"/>
    <xf numFmtId="0" fontId="30" fillId="4" borderId="5" xfId="0" applyFont="1" applyFill="1" applyBorder="1" applyAlignment="1"/>
    <xf numFmtId="0" fontId="30" fillId="4" borderId="6" xfId="0" applyFont="1" applyFill="1" applyBorder="1" applyAlignment="1"/>
    <xf numFmtId="167" fontId="49" fillId="27" borderId="26" xfId="0" applyNumberFormat="1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vertical="top" wrapText="1"/>
    </xf>
    <xf numFmtId="3" fontId="30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168" fontId="29" fillId="2" borderId="1" xfId="151" applyNumberFormat="1" applyFont="1" applyFill="1" applyBorder="1" applyAlignment="1">
      <alignment vertical="top" wrapText="1"/>
    </xf>
    <xf numFmtId="0" fontId="30" fillId="3" borderId="1" xfId="0" applyFont="1" applyFill="1" applyBorder="1" applyAlignment="1">
      <alignment vertical="top" wrapText="1"/>
    </xf>
    <xf numFmtId="0" fontId="54" fillId="30" borderId="33" xfId="0" applyNumberFormat="1" applyFont="1" applyFill="1" applyBorder="1" applyAlignment="1" applyProtection="1">
      <alignment horizontal="left" vertical="center" wrapText="1"/>
    </xf>
    <xf numFmtId="170" fontId="44" fillId="0" borderId="0" xfId="0" applyNumberFormat="1" applyFont="1" applyFill="1" applyBorder="1" applyAlignment="1">
      <alignment horizontal="left" vertical="center"/>
    </xf>
    <xf numFmtId="170" fontId="44" fillId="0" borderId="1" xfId="0" applyNumberFormat="1" applyFont="1" applyFill="1" applyBorder="1" applyAlignment="1">
      <alignment horizontal="left" vertical="center"/>
    </xf>
    <xf numFmtId="49" fontId="29" fillId="0" borderId="26" xfId="0" applyNumberFormat="1" applyFont="1" applyBorder="1" applyAlignment="1">
      <alignment horizontal="center" vertical="center"/>
    </xf>
    <xf numFmtId="169" fontId="29" fillId="2" borderId="0" xfId="0" applyNumberFormat="1" applyFont="1" applyFill="1" applyAlignment="1">
      <alignment horizontal="center"/>
    </xf>
    <xf numFmtId="0" fontId="29" fillId="2" borderId="0" xfId="0" applyFont="1" applyFill="1"/>
    <xf numFmtId="0" fontId="45" fillId="2" borderId="7" xfId="0" applyFont="1" applyFill="1" applyBorder="1" applyAlignment="1">
      <alignment wrapText="1"/>
    </xf>
    <xf numFmtId="0" fontId="45" fillId="2" borderId="10" xfId="0" applyFont="1" applyFill="1" applyBorder="1" applyAlignment="1">
      <alignment wrapText="1"/>
    </xf>
    <xf numFmtId="167" fontId="45" fillId="2" borderId="6" xfId="0" applyNumberFormat="1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wrapText="1"/>
    </xf>
    <xf numFmtId="49" fontId="44" fillId="2" borderId="1" xfId="0" applyNumberFormat="1" applyFont="1" applyFill="1" applyBorder="1" applyAlignment="1">
      <alignment horizontal="left" vertical="center" wrapText="1"/>
    </xf>
    <xf numFmtId="0" fontId="45" fillId="2" borderId="11" xfId="0" applyFont="1" applyFill="1" applyBorder="1" applyAlignment="1">
      <alignment horizontal="center" vertical="center" wrapText="1"/>
    </xf>
    <xf numFmtId="16" fontId="45" fillId="2" borderId="8" xfId="0" applyNumberFormat="1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wrapText="1"/>
    </xf>
    <xf numFmtId="0" fontId="45" fillId="2" borderId="27" xfId="0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/>
    </xf>
    <xf numFmtId="0" fontId="45" fillId="2" borderId="7" xfId="0" applyFont="1" applyFill="1" applyBorder="1" applyAlignment="1">
      <alignment horizontal="center"/>
    </xf>
    <xf numFmtId="0" fontId="44" fillId="2" borderId="14" xfId="0" applyFont="1" applyFill="1" applyBorder="1" applyAlignment="1">
      <alignment vertical="center" wrapText="1"/>
    </xf>
    <xf numFmtId="49" fontId="44" fillId="0" borderId="1" xfId="0" applyNumberFormat="1" applyFont="1" applyFill="1" applyBorder="1" applyAlignment="1">
      <alignment horizontal="center" vertical="center" wrapText="1"/>
    </xf>
    <xf numFmtId="0" fontId="45" fillId="0" borderId="8" xfId="0" applyFont="1" applyFill="1" applyBorder="1" applyAlignment="1">
      <alignment vertical="top" wrapText="1"/>
    </xf>
    <xf numFmtId="0" fontId="45" fillId="0" borderId="7" xfId="0" applyFont="1" applyFill="1" applyBorder="1" applyAlignment="1">
      <alignment vertical="top" wrapText="1"/>
    </xf>
    <xf numFmtId="0" fontId="45" fillId="0" borderId="1" xfId="0" applyFont="1" applyFill="1" applyBorder="1" applyAlignment="1">
      <alignment horizontal="left" vertical="top" wrapText="1"/>
    </xf>
    <xf numFmtId="49" fontId="45" fillId="0" borderId="8" xfId="0" applyNumberFormat="1" applyFont="1" applyFill="1" applyBorder="1" applyAlignment="1">
      <alignment vertical="center" wrapText="1"/>
    </xf>
    <xf numFmtId="49" fontId="45" fillId="0" borderId="1" xfId="0" applyNumberFormat="1" applyFont="1" applyFill="1" applyBorder="1" applyAlignment="1">
      <alignment vertical="center" wrapText="1"/>
    </xf>
    <xf numFmtId="49" fontId="45" fillId="0" borderId="1" xfId="0" applyNumberFormat="1" applyFont="1" applyFill="1" applyBorder="1" applyAlignment="1">
      <alignment horizontal="left" vertical="top" wrapText="1"/>
    </xf>
    <xf numFmtId="0" fontId="44" fillId="0" borderId="11" xfId="0" applyFont="1" applyFill="1" applyBorder="1"/>
    <xf numFmtId="0" fontId="44" fillId="0" borderId="8" xfId="0" applyFont="1" applyFill="1" applyBorder="1"/>
    <xf numFmtId="0" fontId="45" fillId="0" borderId="11" xfId="0" applyFont="1" applyFill="1" applyBorder="1"/>
    <xf numFmtId="49" fontId="44" fillId="0" borderId="1" xfId="0" applyNumberFormat="1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right" vertical="center" wrapText="1"/>
    </xf>
    <xf numFmtId="0" fontId="45" fillId="0" borderId="27" xfId="0" applyFont="1" applyFill="1" applyBorder="1"/>
    <xf numFmtId="49" fontId="44" fillId="0" borderId="7" xfId="0" applyNumberFormat="1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left" vertical="top" wrapText="1"/>
    </xf>
    <xf numFmtId="49" fontId="44" fillId="0" borderId="1" xfId="0" applyNumberFormat="1" applyFont="1" applyFill="1" applyBorder="1" applyAlignment="1">
      <alignment vertical="center" wrapText="1"/>
    </xf>
    <xf numFmtId="49" fontId="29" fillId="0" borderId="11" xfId="0" applyNumberFormat="1" applyFont="1" applyFill="1" applyBorder="1" applyAlignment="1">
      <alignment horizontal="center" vertical="top"/>
    </xf>
    <xf numFmtId="167" fontId="30" fillId="0" borderId="13" xfId="7" applyNumberFormat="1" applyFont="1" applyFill="1" applyBorder="1" applyAlignment="1">
      <alignment horizontal="center" vertical="center" wrapText="1"/>
    </xf>
    <xf numFmtId="167" fontId="30" fillId="2" borderId="6" xfId="7" applyNumberFormat="1" applyFont="1" applyFill="1" applyBorder="1" applyAlignment="1">
      <alignment horizontal="center" vertical="center" wrapText="1"/>
    </xf>
    <xf numFmtId="167" fontId="30" fillId="2" borderId="13" xfId="7" applyNumberFormat="1" applyFont="1" applyFill="1" applyBorder="1" applyAlignment="1">
      <alignment horizontal="center" vertical="center" wrapText="1"/>
    </xf>
    <xf numFmtId="167" fontId="30" fillId="2" borderId="8" xfId="7" applyNumberFormat="1" applyFont="1" applyFill="1" applyBorder="1" applyAlignment="1">
      <alignment horizontal="center" vertical="center" wrapText="1"/>
    </xf>
    <xf numFmtId="0" fontId="29" fillId="0" borderId="7" xfId="0" applyFont="1" applyBorder="1" applyAlignment="1">
      <alignment vertical="center" wrapText="1"/>
    </xf>
    <xf numFmtId="0" fontId="44" fillId="3" borderId="1" xfId="0" applyFont="1" applyFill="1" applyBorder="1" applyAlignment="1">
      <alignment vertical="center"/>
    </xf>
    <xf numFmtId="49" fontId="45" fillId="2" borderId="1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horizontal="center" vertical="center" wrapText="1"/>
    </xf>
    <xf numFmtId="49" fontId="45" fillId="2" borderId="1" xfId="0" applyNumberFormat="1" applyFont="1" applyFill="1" applyBorder="1" applyAlignment="1">
      <alignment horizontal="center" vertical="center"/>
    </xf>
    <xf numFmtId="0" fontId="45" fillId="2" borderId="6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right" vertical="center"/>
    </xf>
    <xf numFmtId="0" fontId="29" fillId="2" borderId="8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/>
    </xf>
    <xf numFmtId="0" fontId="45" fillId="2" borderId="1" xfId="2" applyFont="1" applyFill="1" applyBorder="1" applyAlignment="1">
      <alignment horizontal="left" vertical="center" wrapText="1"/>
    </xf>
    <xf numFmtId="167" fontId="49" fillId="2" borderId="8" xfId="0" applyNumberFormat="1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vertical="center" wrapText="1"/>
    </xf>
    <xf numFmtId="167" fontId="48" fillId="2" borderId="1" xfId="0" applyNumberFormat="1" applyFont="1" applyFill="1" applyBorder="1" applyAlignment="1">
      <alignment horizontal="center"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167" fontId="49" fillId="2" borderId="1" xfId="0" applyNumberFormat="1" applyFont="1" applyFill="1" applyBorder="1" applyAlignment="1">
      <alignment horizontal="center" vertical="center" wrapText="1"/>
    </xf>
    <xf numFmtId="0" fontId="45" fillId="2" borderId="7" xfId="0" applyFont="1" applyFill="1" applyBorder="1" applyAlignment="1">
      <alignment horizontal="right" vertical="center"/>
    </xf>
    <xf numFmtId="169" fontId="45" fillId="0" borderId="4" xfId="0" applyNumberFormat="1" applyFont="1" applyBorder="1" applyAlignment="1">
      <alignment horizontal="center" vertical="center"/>
    </xf>
    <xf numFmtId="169" fontId="45" fillId="0" borderId="1" xfId="0" applyNumberFormat="1" applyFont="1" applyBorder="1" applyAlignment="1">
      <alignment horizontal="center" vertical="center"/>
    </xf>
    <xf numFmtId="49" fontId="44" fillId="2" borderId="8" xfId="0" applyNumberFormat="1" applyFont="1" applyFill="1" applyBorder="1" applyAlignment="1">
      <alignment vertical="center"/>
    </xf>
    <xf numFmtId="0" fontId="45" fillId="2" borderId="8" xfId="0" applyFont="1" applyFill="1" applyBorder="1" applyAlignment="1">
      <alignment vertical="center" wrapText="1"/>
    </xf>
    <xf numFmtId="0" fontId="45" fillId="2" borderId="7" xfId="0" applyFont="1" applyFill="1" applyBorder="1" applyAlignment="1">
      <alignment vertical="center" wrapText="1"/>
    </xf>
    <xf numFmtId="49" fontId="44" fillId="2" borderId="1" xfId="0" applyNumberFormat="1" applyFont="1" applyFill="1" applyBorder="1" applyAlignment="1">
      <alignment horizontal="center" vertical="center"/>
    </xf>
    <xf numFmtId="49" fontId="45" fillId="2" borderId="1" xfId="0" applyNumberFormat="1" applyFont="1" applyFill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167" fontId="44" fillId="2" borderId="1" xfId="0" applyNumberFormat="1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left" vertical="center" wrapText="1"/>
    </xf>
    <xf numFmtId="167" fontId="45" fillId="2" borderId="1" xfId="0" applyNumberFormat="1" applyFont="1" applyFill="1" applyBorder="1" applyAlignment="1">
      <alignment horizontal="center" vertical="center"/>
    </xf>
    <xf numFmtId="168" fontId="29" fillId="2" borderId="1" xfId="0" applyNumberFormat="1" applyFont="1" applyFill="1" applyBorder="1" applyAlignment="1">
      <alignment horizontal="center" vertical="center" wrapText="1"/>
    </xf>
    <xf numFmtId="168" fontId="30" fillId="2" borderId="1" xfId="0" applyNumberFormat="1" applyFont="1" applyFill="1" applyBorder="1" applyAlignment="1">
      <alignment horizontal="center" vertical="center" wrapText="1"/>
    </xf>
    <xf numFmtId="0" fontId="29" fillId="2" borderId="8" xfId="2" applyFont="1" applyFill="1" applyBorder="1" applyAlignment="1">
      <alignment horizontal="left" vertical="center" wrapText="1"/>
    </xf>
    <xf numFmtId="0" fontId="29" fillId="2" borderId="8" xfId="2" applyFont="1" applyFill="1" applyBorder="1" applyAlignment="1">
      <alignment horizontal="center" vertical="center" wrapText="1"/>
    </xf>
    <xf numFmtId="0" fontId="29" fillId="2" borderId="7" xfId="2" applyFont="1" applyFill="1" applyBorder="1" applyAlignment="1">
      <alignment horizontal="left" vertical="center" wrapText="1"/>
    </xf>
    <xf numFmtId="0" fontId="29" fillId="2" borderId="7" xfId="2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vertical="center" wrapText="1"/>
    </xf>
    <xf numFmtId="0" fontId="45" fillId="2" borderId="8" xfId="2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vertical="center"/>
    </xf>
    <xf numFmtId="0" fontId="30" fillId="3" borderId="1" xfId="0" applyFont="1" applyFill="1" applyBorder="1" applyAlignment="1">
      <alignment vertical="center"/>
    </xf>
    <xf numFmtId="167" fontId="30" fillId="3" borderId="1" xfId="0" applyNumberFormat="1" applyFont="1" applyFill="1" applyBorder="1" applyAlignment="1"/>
    <xf numFmtId="0" fontId="29" fillId="2" borderId="7" xfId="0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vertical="top" wrapText="1"/>
    </xf>
    <xf numFmtId="0" fontId="29" fillId="2" borderId="7" xfId="0" applyFont="1" applyFill="1" applyBorder="1" applyAlignment="1">
      <alignment vertical="top" wrapText="1"/>
    </xf>
    <xf numFmtId="49" fontId="29" fillId="2" borderId="8" xfId="0" applyNumberFormat="1" applyFont="1" applyFill="1" applyBorder="1" applyAlignment="1">
      <alignment horizontal="center" vertical="center"/>
    </xf>
    <xf numFmtId="3" fontId="29" fillId="2" borderId="8" xfId="0" applyNumberFormat="1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49" fontId="45" fillId="0" borderId="1" xfId="0" applyNumberFormat="1" applyFont="1" applyFill="1" applyBorder="1" applyAlignment="1">
      <alignment horizontal="center" vertical="center" wrapText="1"/>
    </xf>
    <xf numFmtId="167" fontId="45" fillId="0" borderId="1" xfId="0" applyNumberFormat="1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vertical="center" wrapText="1"/>
    </xf>
    <xf numFmtId="0" fontId="45" fillId="0" borderId="7" xfId="0" applyFont="1" applyFill="1" applyBorder="1" applyAlignment="1">
      <alignment horizontal="right" vertical="center"/>
    </xf>
    <xf numFmtId="0" fontId="44" fillId="0" borderId="7" xfId="0" applyFont="1" applyFill="1" applyBorder="1" applyAlignment="1">
      <alignment horizontal="right" vertical="center"/>
    </xf>
    <xf numFmtId="49" fontId="45" fillId="0" borderId="8" xfId="0" applyNumberFormat="1" applyFont="1" applyFill="1" applyBorder="1" applyAlignment="1">
      <alignment horizontal="center" vertical="center"/>
    </xf>
    <xf numFmtId="167" fontId="44" fillId="0" borderId="1" xfId="0" applyNumberFormat="1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49" fontId="45" fillId="0" borderId="1" xfId="0" applyNumberFormat="1" applyFont="1" applyFill="1" applyBorder="1" applyAlignment="1">
      <alignment horizontal="center" vertical="center"/>
    </xf>
    <xf numFmtId="0" fontId="54" fillId="30" borderId="1" xfId="0" applyNumberFormat="1" applyFont="1" applyFill="1" applyBorder="1" applyAlignment="1" applyProtection="1">
      <alignment horizontal="left" vertical="center" wrapText="1"/>
    </xf>
    <xf numFmtId="0" fontId="29" fillId="0" borderId="1" xfId="5" applyFont="1" applyBorder="1" applyAlignment="1">
      <alignment horizontal="center" vertical="center"/>
    </xf>
    <xf numFmtId="167" fontId="29" fillId="0" borderId="1" xfId="0" applyNumberFormat="1" applyFont="1" applyBorder="1" applyAlignment="1">
      <alignment horizontal="center" vertical="center"/>
    </xf>
    <xf numFmtId="0" fontId="49" fillId="27" borderId="7" xfId="0" applyFont="1" applyFill="1" applyBorder="1" applyAlignment="1">
      <alignment horizontal="center" vertical="center" wrapText="1"/>
    </xf>
    <xf numFmtId="167" fontId="44" fillId="2" borderId="2" xfId="0" applyNumberFormat="1" applyFont="1" applyFill="1" applyBorder="1" applyAlignment="1">
      <alignment horizontal="center" vertical="center" wrapText="1"/>
    </xf>
    <xf numFmtId="167" fontId="44" fillId="0" borderId="2" xfId="0" applyNumberFormat="1" applyFont="1" applyFill="1" applyBorder="1" applyAlignment="1">
      <alignment horizontal="center" vertical="center" wrapText="1"/>
    </xf>
    <xf numFmtId="183" fontId="44" fillId="0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wrapText="1"/>
    </xf>
    <xf numFmtId="0" fontId="29" fillId="27" borderId="8" xfId="2" applyFont="1" applyFill="1" applyBorder="1" applyAlignment="1">
      <alignment horizontal="left" vertical="center" wrapText="1"/>
    </xf>
    <xf numFmtId="49" fontId="29" fillId="0" borderId="11" xfId="0" applyNumberFormat="1" applyFont="1" applyFill="1" applyBorder="1" applyAlignment="1">
      <alignment horizontal="center" vertical="center"/>
    </xf>
    <xf numFmtId="168" fontId="30" fillId="0" borderId="26" xfId="151" applyNumberFormat="1" applyFont="1" applyBorder="1" applyAlignment="1">
      <alignment horizontal="center" vertical="center"/>
    </xf>
    <xf numFmtId="4" fontId="54" fillId="30" borderId="1" xfId="0" applyNumberFormat="1" applyFont="1" applyFill="1" applyBorder="1" applyAlignment="1" applyProtection="1">
      <alignment horizontal="center" vertical="center" wrapText="1"/>
    </xf>
    <xf numFmtId="4" fontId="54" fillId="30" borderId="33" xfId="0" applyNumberFormat="1" applyFont="1" applyFill="1" applyBorder="1" applyAlignment="1" applyProtection="1">
      <alignment horizontal="center" vertical="center" wrapText="1"/>
    </xf>
    <xf numFmtId="4" fontId="56" fillId="30" borderId="33" xfId="0" applyNumberFormat="1" applyFont="1" applyFill="1" applyBorder="1" applyAlignment="1" applyProtection="1">
      <alignment horizontal="center" vertical="center" wrapText="1"/>
    </xf>
    <xf numFmtId="167" fontId="44" fillId="0" borderId="1" xfId="0" applyNumberFormat="1" applyFont="1" applyFill="1" applyBorder="1" applyAlignment="1">
      <alignment horizontal="center" vertical="center"/>
    </xf>
    <xf numFmtId="167" fontId="45" fillId="0" borderId="8" xfId="0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67" fontId="48" fillId="3" borderId="1" xfId="0" applyNumberFormat="1" applyFont="1" applyFill="1" applyBorder="1" applyAlignment="1">
      <alignment horizontal="center" vertical="center"/>
    </xf>
    <xf numFmtId="167" fontId="29" fillId="29" borderId="0" xfId="0" applyNumberFormat="1" applyFont="1" applyFill="1" applyAlignment="1">
      <alignment horizontal="center" vertical="center"/>
    </xf>
    <xf numFmtId="167" fontId="29" fillId="29" borderId="0" xfId="7" applyNumberFormat="1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56" fillId="30" borderId="34" xfId="0" applyNumberFormat="1" applyFont="1" applyFill="1" applyBorder="1" applyAlignment="1" applyProtection="1">
      <alignment horizontal="center" vertical="center" wrapText="1"/>
    </xf>
    <xf numFmtId="0" fontId="56" fillId="30" borderId="1" xfId="0" applyNumberFormat="1" applyFont="1" applyFill="1" applyBorder="1" applyAlignment="1" applyProtection="1">
      <alignment horizontal="center" vertical="center" wrapText="1"/>
    </xf>
    <xf numFmtId="1" fontId="30" fillId="2" borderId="7" xfId="0" applyNumberFormat="1" applyFont="1" applyFill="1" applyBorder="1" applyAlignment="1">
      <alignment horizontal="center" vertical="center" wrapText="1"/>
    </xf>
    <xf numFmtId="168" fontId="44" fillId="0" borderId="2" xfId="0" applyNumberFormat="1" applyFont="1" applyFill="1" applyBorder="1" applyAlignment="1">
      <alignment vertical="center"/>
    </xf>
    <xf numFmtId="168" fontId="44" fillId="0" borderId="26" xfId="0" applyNumberFormat="1" applyFont="1" applyBorder="1" applyAlignment="1">
      <alignment vertical="center"/>
    </xf>
    <xf numFmtId="0" fontId="45" fillId="2" borderId="26" xfId="0" applyFont="1" applyFill="1" applyBorder="1" applyAlignment="1">
      <alignment vertical="center"/>
    </xf>
    <xf numFmtId="168" fontId="44" fillId="0" borderId="26" xfId="0" applyNumberFormat="1" applyFont="1" applyFill="1" applyBorder="1" applyAlignment="1">
      <alignment vertical="center"/>
    </xf>
    <xf numFmtId="0" fontId="45" fillId="0" borderId="0" xfId="0" applyFont="1" applyFill="1"/>
    <xf numFmtId="169" fontId="45" fillId="0" borderId="1" xfId="0" applyNumberFormat="1" applyFont="1" applyFill="1" applyBorder="1" applyAlignment="1">
      <alignment horizontal="right" vertical="center"/>
    </xf>
    <xf numFmtId="169" fontId="45" fillId="0" borderId="1" xfId="0" applyNumberFormat="1" applyFont="1" applyBorder="1" applyAlignment="1">
      <alignment horizontal="right" vertical="center"/>
    </xf>
    <xf numFmtId="169" fontId="45" fillId="0" borderId="26" xfId="0" applyNumberFormat="1" applyFont="1" applyFill="1" applyBorder="1" applyAlignment="1">
      <alignment horizontal="right" vertical="center"/>
    </xf>
    <xf numFmtId="0" fontId="30" fillId="4" borderId="5" xfId="0" applyFont="1" applyFill="1" applyBorder="1" applyAlignment="1">
      <alignment horizontal="left" vertical="center" wrapText="1"/>
    </xf>
    <xf numFmtId="0" fontId="30" fillId="4" borderId="12" xfId="0" applyFont="1" applyFill="1" applyBorder="1" applyAlignment="1">
      <alignment horizontal="left" vertical="center" wrapText="1"/>
    </xf>
    <xf numFmtId="49" fontId="44" fillId="0" borderId="1" xfId="0" applyNumberFormat="1" applyFont="1" applyBorder="1" applyAlignment="1">
      <alignment horizontal="center" vertical="center"/>
    </xf>
    <xf numFmtId="167" fontId="45" fillId="2" borderId="8" xfId="0" applyNumberFormat="1" applyFont="1" applyFill="1" applyBorder="1" applyAlignment="1">
      <alignment horizontal="center" vertical="center" wrapText="1"/>
    </xf>
    <xf numFmtId="167" fontId="45" fillId="2" borderId="7" xfId="0" applyNumberFormat="1" applyFont="1" applyFill="1" applyBorder="1" applyAlignment="1">
      <alignment horizontal="center" vertical="center" wrapText="1"/>
    </xf>
    <xf numFmtId="167" fontId="45" fillId="2" borderId="2" xfId="0" applyNumberFormat="1" applyFont="1" applyFill="1" applyBorder="1" applyAlignment="1">
      <alignment horizontal="center" vertical="center" wrapText="1"/>
    </xf>
    <xf numFmtId="49" fontId="45" fillId="2" borderId="8" xfId="0" applyNumberFormat="1" applyFont="1" applyFill="1" applyBorder="1" applyAlignment="1">
      <alignment horizontal="center" vertical="center"/>
    </xf>
    <xf numFmtId="49" fontId="45" fillId="2" borderId="7" xfId="0" applyNumberFormat="1" applyFont="1" applyFill="1" applyBorder="1" applyAlignment="1">
      <alignment horizontal="center" vertical="center"/>
    </xf>
    <xf numFmtId="0" fontId="45" fillId="0" borderId="7" xfId="0" applyFont="1" applyFill="1" applyBorder="1" applyAlignment="1">
      <alignment horizontal="left" vertical="center" wrapText="1"/>
    </xf>
    <xf numFmtId="167" fontId="29" fillId="2" borderId="8" xfId="0" applyNumberFormat="1" applyFont="1" applyFill="1" applyBorder="1" applyAlignment="1">
      <alignment horizontal="center" vertical="center" wrapText="1"/>
    </xf>
    <xf numFmtId="167" fontId="29" fillId="2" borderId="7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 vertical="center" wrapText="1"/>
    </xf>
    <xf numFmtId="0" fontId="45" fillId="2" borderId="7" xfId="0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 wrapText="1"/>
    </xf>
    <xf numFmtId="49" fontId="30" fillId="2" borderId="8" xfId="0" applyNumberFormat="1" applyFont="1" applyFill="1" applyBorder="1" applyAlignment="1">
      <alignment horizontal="center" vertical="top"/>
    </xf>
    <xf numFmtId="0" fontId="30" fillId="3" borderId="1" xfId="0" applyFont="1" applyFill="1" applyBorder="1" applyAlignment="1">
      <alignment horizontal="left" vertical="center" wrapText="1"/>
    </xf>
    <xf numFmtId="168" fontId="44" fillId="0" borderId="2" xfId="0" applyNumberFormat="1" applyFont="1" applyBorder="1" applyAlignment="1">
      <alignment horizontal="center" vertical="center"/>
    </xf>
    <xf numFmtId="49" fontId="30" fillId="2" borderId="7" xfId="0" applyNumberFormat="1" applyFont="1" applyFill="1" applyBorder="1" applyAlignment="1">
      <alignment horizontal="center" vertical="top"/>
    </xf>
    <xf numFmtId="0" fontId="29" fillId="2" borderId="7" xfId="0" applyFont="1" applyFill="1" applyBorder="1" applyAlignment="1">
      <alignment horizontal="center" vertical="center" wrapText="1"/>
    </xf>
    <xf numFmtId="49" fontId="45" fillId="2" borderId="8" xfId="0" applyNumberFormat="1" applyFont="1" applyFill="1" applyBorder="1" applyAlignment="1">
      <alignment horizontal="center" vertical="center" wrapText="1"/>
    </xf>
    <xf numFmtId="0" fontId="45" fillId="2" borderId="7" xfId="0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30" fillId="2" borderId="7" xfId="0" applyFont="1" applyFill="1" applyBorder="1" applyAlignment="1">
      <alignment horizontal="center" vertical="center" wrapText="1"/>
    </xf>
    <xf numFmtId="49" fontId="30" fillId="0" borderId="2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left" vertical="center" wrapText="1"/>
    </xf>
    <xf numFmtId="0" fontId="30" fillId="3" borderId="4" xfId="0" applyFont="1" applyFill="1" applyBorder="1" applyAlignment="1">
      <alignment horizontal="left" vertical="center"/>
    </xf>
    <xf numFmtId="0" fontId="30" fillId="3" borderId="5" xfId="0" applyFont="1" applyFill="1" applyBorder="1" applyAlignment="1">
      <alignment horizontal="left" vertical="center"/>
    </xf>
    <xf numFmtId="0" fontId="30" fillId="3" borderId="6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 wrapText="1"/>
    </xf>
    <xf numFmtId="0" fontId="30" fillId="4" borderId="0" xfId="0" applyFont="1" applyFill="1" applyAlignment="1">
      <alignment horizontal="left"/>
    </xf>
    <xf numFmtId="0" fontId="30" fillId="4" borderId="30" xfId="0" applyFont="1" applyFill="1" applyBorder="1" applyAlignment="1">
      <alignment horizontal="left"/>
    </xf>
    <xf numFmtId="0" fontId="45" fillId="2" borderId="8" xfId="0" applyFont="1" applyFill="1" applyBorder="1" applyAlignment="1">
      <alignment horizontal="center" vertical="center" wrapText="1"/>
    </xf>
    <xf numFmtId="0" fontId="45" fillId="2" borderId="7" xfId="0" applyFont="1" applyFill="1" applyBorder="1" applyAlignment="1">
      <alignment horizontal="center" vertical="center" wrapText="1"/>
    </xf>
    <xf numFmtId="167" fontId="45" fillId="2" borderId="1" xfId="0" applyNumberFormat="1" applyFont="1" applyFill="1" applyBorder="1" applyAlignment="1">
      <alignment horizontal="center" vertical="center" wrapText="1"/>
    </xf>
    <xf numFmtId="0" fontId="45" fillId="0" borderId="8" xfId="0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vertical="center" wrapText="1"/>
    </xf>
    <xf numFmtId="167" fontId="45" fillId="0" borderId="8" xfId="0" applyNumberFormat="1" applyFont="1" applyFill="1" applyBorder="1" applyAlignment="1">
      <alignment horizontal="center" vertical="center" wrapText="1"/>
    </xf>
    <xf numFmtId="167" fontId="45" fillId="0" borderId="7" xfId="0" applyNumberFormat="1" applyFont="1" applyFill="1" applyBorder="1" applyAlignment="1">
      <alignment horizontal="center" vertical="center" wrapText="1"/>
    </xf>
    <xf numFmtId="167" fontId="45" fillId="0" borderId="2" xfId="0" applyNumberFormat="1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vertical="center" wrapText="1"/>
    </xf>
    <xf numFmtId="49" fontId="29" fillId="2" borderId="1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center" vertical="top"/>
    </xf>
    <xf numFmtId="169" fontId="45" fillId="2" borderId="8" xfId="0" applyNumberFormat="1" applyFont="1" applyFill="1" applyBorder="1" applyAlignment="1">
      <alignment horizontal="center" vertical="center"/>
    </xf>
    <xf numFmtId="169" fontId="45" fillId="2" borderId="7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 wrapText="1"/>
    </xf>
    <xf numFmtId="0" fontId="30" fillId="2" borderId="7" xfId="0" applyFont="1" applyFill="1" applyBorder="1" applyAlignment="1">
      <alignment horizontal="left" vertical="center" wrapText="1"/>
    </xf>
    <xf numFmtId="167" fontId="48" fillId="3" borderId="1" xfId="0" applyNumberFormat="1" applyFont="1" applyFill="1" applyBorder="1"/>
    <xf numFmtId="49" fontId="29" fillId="0" borderId="8" xfId="0" applyNumberFormat="1" applyFont="1" applyFill="1" applyBorder="1" applyAlignment="1">
      <alignment horizontal="center" vertical="center"/>
    </xf>
    <xf numFmtId="49" fontId="29" fillId="0" borderId="2" xfId="0" applyNumberFormat="1" applyFont="1" applyFill="1" applyBorder="1" applyAlignment="1">
      <alignment horizontal="center" vertical="center"/>
    </xf>
    <xf numFmtId="49" fontId="29" fillId="0" borderId="7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left" vertical="center" wrapText="1"/>
    </xf>
    <xf numFmtId="167" fontId="29" fillId="0" borderId="8" xfId="0" applyNumberFormat="1" applyFont="1" applyFill="1" applyBorder="1" applyAlignment="1">
      <alignment horizontal="center" vertical="center" wrapText="1"/>
    </xf>
    <xf numFmtId="167" fontId="29" fillId="0" borderId="2" xfId="0" applyNumberFormat="1" applyFont="1" applyFill="1" applyBorder="1" applyAlignment="1">
      <alignment horizontal="center" vertical="center" wrapText="1"/>
    </xf>
    <xf numFmtId="167" fontId="29" fillId="0" borderId="7" xfId="0" applyNumberFormat="1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left" vertical="center" wrapText="1"/>
    </xf>
    <xf numFmtId="0" fontId="29" fillId="0" borderId="7" xfId="0" applyFont="1" applyBorder="1" applyAlignment="1">
      <alignment horizontal="center" vertical="center"/>
    </xf>
    <xf numFmtId="0" fontId="44" fillId="2" borderId="7" xfId="0" applyFont="1" applyFill="1" applyBorder="1" applyAlignment="1">
      <alignment horizontal="center" vertical="center" wrapText="1"/>
    </xf>
    <xf numFmtId="167" fontId="29" fillId="0" borderId="7" xfId="2" applyNumberFormat="1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167" fontId="29" fillId="2" borderId="1" xfId="7" applyNumberFormat="1" applyFont="1" applyFill="1" applyBorder="1" applyAlignment="1">
      <alignment horizontal="center" vertical="center"/>
    </xf>
    <xf numFmtId="0" fontId="29" fillId="2" borderId="8" xfId="3" applyFont="1" applyFill="1" applyBorder="1" applyAlignment="1">
      <alignment horizontal="left" vertical="center" wrapText="1"/>
    </xf>
    <xf numFmtId="167" fontId="29" fillId="0" borderId="26" xfId="135" applyNumberFormat="1" applyFont="1" applyFill="1" applyBorder="1" applyAlignment="1">
      <alignment horizontal="center" vertical="center"/>
    </xf>
    <xf numFmtId="0" fontId="29" fillId="2" borderId="1" xfId="3" applyFont="1" applyFill="1" applyBorder="1" applyAlignment="1">
      <alignment horizontal="left" vertical="center" wrapText="1"/>
    </xf>
    <xf numFmtId="49" fontId="44" fillId="0" borderId="7" xfId="0" applyNumberFormat="1" applyFont="1" applyBorder="1" applyAlignment="1">
      <alignment horizontal="center" vertical="center"/>
    </xf>
    <xf numFmtId="169" fontId="45" fillId="0" borderId="8" xfId="0" applyNumberFormat="1" applyFont="1" applyFill="1" applyBorder="1" applyAlignment="1">
      <alignment horizontal="center" vertical="center"/>
    </xf>
    <xf numFmtId="167" fontId="29" fillId="2" borderId="8" xfId="7" applyNumberFormat="1" applyFont="1" applyFill="1" applyBorder="1" applyAlignment="1">
      <alignment horizontal="center" vertical="center"/>
    </xf>
    <xf numFmtId="169" fontId="29" fillId="0" borderId="8" xfId="0" applyNumberFormat="1" applyFont="1" applyBorder="1" applyAlignment="1">
      <alignment horizontal="center" vertical="center"/>
    </xf>
    <xf numFmtId="167" fontId="29" fillId="0" borderId="1" xfId="2" applyNumberFormat="1" applyFont="1" applyFill="1" applyBorder="1" applyAlignment="1">
      <alignment horizontal="center" vertical="center" wrapText="1"/>
    </xf>
    <xf numFmtId="0" fontId="29" fillId="0" borderId="8" xfId="2" applyFont="1" applyFill="1" applyBorder="1" applyAlignment="1">
      <alignment horizontal="left" vertical="center" wrapText="1"/>
    </xf>
    <xf numFmtId="0" fontId="29" fillId="0" borderId="2" xfId="2" applyFont="1" applyFill="1" applyBorder="1" applyAlignment="1">
      <alignment horizontal="left" vertical="center" wrapText="1"/>
    </xf>
    <xf numFmtId="0" fontId="29" fillId="0" borderId="7" xfId="2" applyFont="1" applyFill="1" applyBorder="1" applyAlignment="1">
      <alignment horizontal="left" vertical="center" wrapText="1"/>
    </xf>
    <xf numFmtId="167" fontId="29" fillId="0" borderId="7" xfId="7" applyNumberFormat="1" applyFont="1" applyFill="1" applyBorder="1" applyAlignment="1">
      <alignment horizontal="center" vertical="center"/>
    </xf>
    <xf numFmtId="0" fontId="29" fillId="2" borderId="8" xfId="3" applyFont="1" applyFill="1" applyBorder="1" applyAlignment="1">
      <alignment horizontal="center" vertical="center" wrapText="1"/>
    </xf>
    <xf numFmtId="169" fontId="29" fillId="0" borderId="1" xfId="0" applyNumberFormat="1" applyFont="1" applyBorder="1" applyAlignment="1">
      <alignment horizontal="center" vertical="center"/>
    </xf>
    <xf numFmtId="0" fontId="29" fillId="2" borderId="1" xfId="3" applyFont="1" applyFill="1" applyBorder="1" applyAlignment="1">
      <alignment horizontal="left" vertical="top" wrapText="1"/>
    </xf>
    <xf numFmtId="0" fontId="29" fillId="0" borderId="1" xfId="2" applyFont="1" applyFill="1" applyBorder="1" applyAlignment="1">
      <alignment horizontal="left" vertical="center" wrapText="1"/>
    </xf>
    <xf numFmtId="168" fontId="30" fillId="0" borderId="8" xfId="151" applyNumberFormat="1" applyFont="1" applyBorder="1" applyAlignment="1">
      <alignment horizontal="center" vertical="top"/>
    </xf>
    <xf numFmtId="168" fontId="30" fillId="0" borderId="26" xfId="151" applyNumberFormat="1" applyFont="1" applyBorder="1" applyAlignment="1">
      <alignment horizontal="center" vertical="top"/>
    </xf>
    <xf numFmtId="49" fontId="29" fillId="0" borderId="26" xfId="0" applyNumberFormat="1" applyFont="1" applyFill="1" applyBorder="1" applyAlignment="1">
      <alignment horizontal="center" vertical="center"/>
    </xf>
    <xf numFmtId="167" fontId="29" fillId="0" borderId="2" xfId="135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center" vertical="top"/>
    </xf>
    <xf numFmtId="167" fontId="29" fillId="0" borderId="1" xfId="7" applyNumberFormat="1" applyFont="1" applyFill="1" applyBorder="1" applyAlignment="1">
      <alignment horizontal="center" vertical="center" wrapText="1"/>
    </xf>
    <xf numFmtId="167" fontId="30" fillId="2" borderId="1" xfId="7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center" vertical="center"/>
    </xf>
    <xf numFmtId="167" fontId="29" fillId="2" borderId="1" xfId="7" applyNumberFormat="1" applyFont="1" applyFill="1" applyBorder="1" applyAlignment="1">
      <alignment horizontal="center" vertical="center" wrapText="1"/>
    </xf>
    <xf numFmtId="167" fontId="30" fillId="0" borderId="8" xfId="7" applyNumberFormat="1" applyFont="1" applyFill="1" applyBorder="1" applyAlignment="1">
      <alignment horizontal="center" vertical="center" wrapText="1"/>
    </xf>
    <xf numFmtId="167" fontId="29" fillId="0" borderId="7" xfId="7" applyNumberFormat="1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168" fontId="44" fillId="2" borderId="8" xfId="0" applyNumberFormat="1" applyFont="1" applyFill="1" applyBorder="1" applyAlignment="1">
      <alignment horizontal="center" vertical="center"/>
    </xf>
    <xf numFmtId="168" fontId="44" fillId="2" borderId="7" xfId="0" applyNumberFormat="1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horizontal="left" vertical="center" wrapText="1"/>
    </xf>
    <xf numFmtId="167" fontId="30" fillId="2" borderId="1" xfId="3" applyNumberFormat="1" applyFont="1" applyFill="1" applyBorder="1" applyAlignment="1">
      <alignment horizontal="center" vertical="center" wrapText="1"/>
    </xf>
    <xf numFmtId="0" fontId="30" fillId="2" borderId="1" xfId="3" applyFont="1" applyFill="1" applyBorder="1" applyAlignment="1">
      <alignment vertical="top" wrapText="1"/>
    </xf>
    <xf numFmtId="0" fontId="30" fillId="0" borderId="1" xfId="2" applyFont="1" applyFill="1" applyBorder="1" applyAlignment="1">
      <alignment horizontal="left" vertical="center" wrapText="1"/>
    </xf>
    <xf numFmtId="49" fontId="29" fillId="0" borderId="26" xfId="0" applyNumberFormat="1" applyFont="1" applyFill="1" applyBorder="1" applyAlignment="1">
      <alignment horizontal="center" vertical="top"/>
    </xf>
    <xf numFmtId="0" fontId="30" fillId="3" borderId="0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left" vertical="top" wrapText="1"/>
    </xf>
    <xf numFmtId="168" fontId="30" fillId="2" borderId="1" xfId="0" applyNumberFormat="1" applyFont="1" applyFill="1" applyBorder="1" applyAlignment="1">
      <alignment horizontal="center" vertical="center"/>
    </xf>
    <xf numFmtId="169" fontId="29" fillId="2" borderId="1" xfId="0" applyNumberFormat="1" applyFont="1" applyFill="1" applyBorder="1" applyAlignment="1">
      <alignment horizontal="center" vertical="center"/>
    </xf>
    <xf numFmtId="167" fontId="29" fillId="2" borderId="1" xfId="0" applyNumberFormat="1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left" vertical="center" wrapText="1"/>
    </xf>
    <xf numFmtId="1" fontId="45" fillId="2" borderId="8" xfId="0" applyNumberFormat="1" applyFont="1" applyFill="1" applyBorder="1" applyAlignment="1">
      <alignment horizontal="center" vertical="center"/>
    </xf>
    <xf numFmtId="1" fontId="45" fillId="2" borderId="7" xfId="0" applyNumberFormat="1" applyFont="1" applyFill="1" applyBorder="1" applyAlignment="1">
      <alignment horizontal="center" vertical="center"/>
    </xf>
    <xf numFmtId="169" fontId="45" fillId="0" borderId="26" xfId="0" applyNumberFormat="1" applyFont="1" applyBorder="1" applyAlignment="1">
      <alignment horizontal="center" vertical="center"/>
    </xf>
    <xf numFmtId="169" fontId="45" fillId="0" borderId="1" xfId="0" applyNumberFormat="1" applyFont="1" applyFill="1" applyBorder="1" applyAlignment="1">
      <alignment horizontal="center" vertical="center"/>
    </xf>
    <xf numFmtId="0" fontId="44" fillId="2" borderId="7" xfId="0" applyFont="1" applyFill="1" applyBorder="1" applyAlignment="1">
      <alignment horizontal="center" vertical="center"/>
    </xf>
    <xf numFmtId="168" fontId="30" fillId="0" borderId="26" xfId="0" applyNumberFormat="1" applyFont="1" applyBorder="1" applyAlignment="1">
      <alignment horizontal="center" vertical="center"/>
    </xf>
    <xf numFmtId="168" fontId="30" fillId="0" borderId="2" xfId="0" applyNumberFormat="1" applyFont="1" applyBorder="1" applyAlignment="1">
      <alignment horizontal="center" vertical="center"/>
    </xf>
    <xf numFmtId="169" fontId="45" fillId="2" borderId="1" xfId="0" applyNumberFormat="1" applyFont="1" applyFill="1" applyBorder="1" applyAlignment="1">
      <alignment horizontal="center" vertical="center" wrapText="1"/>
    </xf>
    <xf numFmtId="1" fontId="45" fillId="2" borderId="1" xfId="0" applyNumberFormat="1" applyFont="1" applyFill="1" applyBorder="1" applyAlignment="1">
      <alignment vertical="center" wrapText="1"/>
    </xf>
    <xf numFmtId="0" fontId="45" fillId="0" borderId="26" xfId="0" applyFont="1" applyFill="1" applyBorder="1" applyAlignment="1">
      <alignment horizontal="left" vertical="center" wrapText="1"/>
    </xf>
    <xf numFmtId="169" fontId="45" fillId="2" borderId="1" xfId="0" applyNumberFormat="1" applyFont="1" applyFill="1" applyBorder="1" applyAlignment="1">
      <alignment horizontal="center" vertical="center"/>
    </xf>
    <xf numFmtId="169" fontId="29" fillId="0" borderId="26" xfId="0" applyNumberFormat="1" applyFont="1" applyBorder="1" applyAlignment="1">
      <alignment horizontal="center" vertical="center"/>
    </xf>
    <xf numFmtId="169" fontId="45" fillId="2" borderId="26" xfId="0" applyNumberFormat="1" applyFont="1" applyFill="1" applyBorder="1" applyAlignment="1">
      <alignment horizontal="center" vertical="center"/>
    </xf>
    <xf numFmtId="167" fontId="44" fillId="2" borderId="7" xfId="0" applyNumberFormat="1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/>
    </xf>
    <xf numFmtId="0" fontId="45" fillId="0" borderId="26" xfId="0" applyFont="1" applyFill="1" applyBorder="1" applyAlignment="1">
      <alignment vertical="center" wrapText="1"/>
    </xf>
    <xf numFmtId="169" fontId="44" fillId="2" borderId="1" xfId="0" applyNumberFormat="1" applyFont="1" applyFill="1" applyBorder="1" applyAlignment="1">
      <alignment horizontal="center" vertical="center"/>
    </xf>
    <xf numFmtId="167" fontId="29" fillId="2" borderId="26" xfId="0" applyNumberFormat="1" applyFont="1" applyFill="1" applyBorder="1" applyAlignment="1">
      <alignment horizontal="center" vertical="center" wrapText="1"/>
    </xf>
    <xf numFmtId="167" fontId="45" fillId="0" borderId="26" xfId="0" applyNumberFormat="1" applyFont="1" applyFill="1" applyBorder="1" applyAlignment="1">
      <alignment horizontal="center" vertical="center" wrapText="1"/>
    </xf>
    <xf numFmtId="1" fontId="45" fillId="2" borderId="1" xfId="0" applyNumberFormat="1" applyFont="1" applyFill="1" applyBorder="1" applyAlignment="1">
      <alignment horizontal="center" vertical="center"/>
    </xf>
    <xf numFmtId="169" fontId="45" fillId="0" borderId="8" xfId="0" applyNumberFormat="1" applyFont="1" applyFill="1" applyBorder="1" applyAlignment="1">
      <alignment vertical="center"/>
    </xf>
    <xf numFmtId="169" fontId="29" fillId="0" borderId="8" xfId="158" applyNumberFormat="1" applyFont="1" applyFill="1" applyBorder="1" applyAlignment="1">
      <alignment horizontal="center" vertical="center"/>
    </xf>
    <xf numFmtId="49" fontId="29" fillId="0" borderId="8" xfId="158" applyNumberFormat="1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left" vertical="center" wrapText="1"/>
    </xf>
    <xf numFmtId="167" fontId="29" fillId="0" borderId="2" xfId="7" applyNumberFormat="1" applyFont="1" applyFill="1" applyBorder="1" applyAlignment="1">
      <alignment horizontal="center" vertical="center" wrapText="1"/>
    </xf>
    <xf numFmtId="167" fontId="29" fillId="2" borderId="8" xfId="7" applyNumberFormat="1" applyFont="1" applyFill="1" applyBorder="1" applyAlignment="1">
      <alignment horizontal="center" vertical="center" wrapText="1"/>
    </xf>
    <xf numFmtId="1" fontId="49" fillId="2" borderId="7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right" vertical="center"/>
    </xf>
    <xf numFmtId="169" fontId="29" fillId="0" borderId="8" xfId="0" applyNumberFormat="1" applyFont="1" applyBorder="1" applyAlignment="1">
      <alignment horizontal="right" vertical="center"/>
    </xf>
    <xf numFmtId="167" fontId="29" fillId="2" borderId="7" xfId="7" applyNumberFormat="1" applyFont="1" applyFill="1" applyBorder="1" applyAlignment="1">
      <alignment horizontal="center" vertical="center" wrapText="1"/>
    </xf>
    <xf numFmtId="167" fontId="30" fillId="0" borderId="1" xfId="7" applyNumberFormat="1" applyFont="1" applyFill="1" applyBorder="1" applyAlignment="1">
      <alignment horizontal="center" vertical="center" wrapText="1"/>
    </xf>
    <xf numFmtId="167" fontId="29" fillId="0" borderId="8" xfId="7" applyNumberFormat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horizontal="center" vertical="top"/>
    </xf>
    <xf numFmtId="0" fontId="29" fillId="2" borderId="8" xfId="0" applyFont="1" applyFill="1" applyBorder="1" applyAlignment="1">
      <alignment horizontal="left" vertical="top" wrapText="1"/>
    </xf>
    <xf numFmtId="0" fontId="29" fillId="0" borderId="7" xfId="0" applyFont="1" applyFill="1" applyBorder="1" applyAlignment="1">
      <alignment horizontal="left" vertical="top" wrapText="1"/>
    </xf>
    <xf numFmtId="49" fontId="30" fillId="0" borderId="8" xfId="0" applyNumberFormat="1" applyFont="1" applyFill="1" applyBorder="1" applyAlignment="1">
      <alignment horizontal="center" vertical="top"/>
    </xf>
    <xf numFmtId="49" fontId="30" fillId="0" borderId="7" xfId="0" applyNumberFormat="1" applyFont="1" applyFill="1" applyBorder="1" applyAlignment="1">
      <alignment horizontal="center" vertical="top"/>
    </xf>
    <xf numFmtId="49" fontId="29" fillId="0" borderId="8" xfId="0" applyNumberFormat="1" applyFont="1" applyFill="1" applyBorder="1" applyAlignment="1">
      <alignment horizontal="center" vertical="top"/>
    </xf>
    <xf numFmtId="0" fontId="29" fillId="0" borderId="7" xfId="0" applyFont="1" applyFill="1" applyBorder="1" applyAlignment="1">
      <alignment horizontal="center" vertical="top" wrapText="1"/>
    </xf>
    <xf numFmtId="0" fontId="29" fillId="0" borderId="2" xfId="2" applyFont="1" applyFill="1" applyBorder="1" applyAlignment="1">
      <alignment horizontal="center" vertical="center" wrapTex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top" wrapText="1"/>
    </xf>
    <xf numFmtId="0" fontId="29" fillId="0" borderId="8" xfId="0" applyFont="1" applyFill="1" applyBorder="1" applyAlignment="1">
      <alignment horizontal="left" vertical="top" wrapText="1"/>
    </xf>
    <xf numFmtId="0" fontId="30" fillId="0" borderId="1" xfId="2" applyFont="1" applyFill="1" applyBorder="1" applyAlignment="1">
      <alignment horizontal="center" vertical="center" wrapText="1"/>
    </xf>
    <xf numFmtId="167" fontId="30" fillId="3" borderId="1" xfId="0" applyNumberFormat="1" applyFont="1" applyFill="1" applyBorder="1" applyAlignment="1">
      <alignment horizontal="center"/>
    </xf>
    <xf numFmtId="0" fontId="30" fillId="0" borderId="7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top"/>
    </xf>
    <xf numFmtId="170" fontId="30" fillId="2" borderId="0" xfId="0" applyNumberFormat="1" applyFont="1" applyFill="1" applyBorder="1" applyAlignment="1">
      <alignment horizontal="left" vertical="center" wrapText="1"/>
    </xf>
    <xf numFmtId="169" fontId="30" fillId="0" borderId="8" xfId="0" applyNumberFormat="1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168" fontId="30" fillId="0" borderId="1" xfId="0" applyNumberFormat="1" applyFont="1" applyBorder="1" applyAlignment="1">
      <alignment horizontal="center" vertical="center" wrapText="1"/>
    </xf>
    <xf numFmtId="168" fontId="29" fillId="2" borderId="1" xfId="151" applyNumberFormat="1" applyFont="1" applyFill="1" applyBorder="1" applyAlignment="1">
      <alignment horizontal="left" vertical="top" wrapText="1"/>
    </xf>
    <xf numFmtId="168" fontId="30" fillId="0" borderId="8" xfId="0" applyNumberFormat="1" applyFont="1" applyBorder="1" applyAlignment="1">
      <alignment horizontal="right" vertical="center"/>
    </xf>
    <xf numFmtId="168" fontId="30" fillId="0" borderId="2" xfId="0" applyNumberFormat="1" applyFont="1" applyBorder="1" applyAlignment="1">
      <alignment horizontal="right" vertical="center"/>
    </xf>
    <xf numFmtId="0" fontId="29" fillId="2" borderId="1" xfId="0" applyFont="1" applyFill="1" applyBorder="1" applyAlignment="1">
      <alignment horizontal="center" vertical="center" wrapText="1"/>
    </xf>
    <xf numFmtId="167" fontId="30" fillId="2" borderId="26" xfId="0" applyNumberFormat="1" applyFont="1" applyFill="1" applyBorder="1" applyAlignment="1">
      <alignment horizontal="center" vertical="center" wrapText="1"/>
    </xf>
    <xf numFmtId="167" fontId="30" fillId="2" borderId="7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30" fillId="3" borderId="1" xfId="0" applyFont="1" applyFill="1" applyBorder="1" applyAlignment="1">
      <alignment vertical="center" wrapText="1"/>
    </xf>
    <xf numFmtId="167" fontId="30" fillId="2" borderId="29" xfId="0" applyNumberFormat="1" applyFont="1" applyFill="1" applyBorder="1" applyAlignment="1">
      <alignment horizontal="center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45" fillId="0" borderId="7" xfId="2" applyFont="1" applyFill="1" applyBorder="1" applyAlignment="1">
      <alignment horizontal="center" vertical="center" wrapText="1"/>
    </xf>
    <xf numFmtId="49" fontId="44" fillId="0" borderId="1" xfId="0" applyNumberFormat="1" applyFont="1" applyFill="1" applyBorder="1" applyAlignment="1">
      <alignment horizontal="center" vertical="center"/>
    </xf>
    <xf numFmtId="168" fontId="30" fillId="0" borderId="8" xfId="0" applyNumberFormat="1" applyFont="1" applyBorder="1" applyAlignment="1">
      <alignment horizontal="center" vertical="center"/>
    </xf>
    <xf numFmtId="0" fontId="29" fillId="0" borderId="7" xfId="158" applyFont="1" applyFill="1" applyBorder="1" applyAlignment="1">
      <alignment horizontal="center" vertical="center"/>
    </xf>
    <xf numFmtId="49" fontId="45" fillId="0" borderId="8" xfId="0" applyNumberFormat="1" applyFont="1" applyFill="1" applyBorder="1" applyAlignment="1">
      <alignment horizontal="left" vertical="center" wrapText="1"/>
    </xf>
    <xf numFmtId="0" fontId="45" fillId="0" borderId="8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167" fontId="29" fillId="0" borderId="26" xfId="0" applyNumberFormat="1" applyFont="1" applyFill="1" applyBorder="1" applyAlignment="1">
      <alignment horizontal="center" vertical="center" wrapText="1"/>
    </xf>
    <xf numFmtId="167" fontId="30" fillId="0" borderId="1" xfId="36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167" fontId="29" fillId="0" borderId="1" xfId="36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167" fontId="29" fillId="0" borderId="1" xfId="36" applyNumberFormat="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 wrapText="1"/>
    </xf>
    <xf numFmtId="168" fontId="29" fillId="0" borderId="1" xfId="0" applyNumberFormat="1" applyFont="1" applyBorder="1" applyAlignment="1">
      <alignment horizontal="center" wrapText="1"/>
    </xf>
    <xf numFmtId="49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vertical="center"/>
    </xf>
    <xf numFmtId="168" fontId="29" fillId="0" borderId="1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vertical="center" wrapText="1"/>
    </xf>
    <xf numFmtId="0" fontId="29" fillId="0" borderId="8" xfId="0" applyFont="1" applyBorder="1" applyAlignment="1">
      <alignment wrapText="1"/>
    </xf>
    <xf numFmtId="168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vertical="center"/>
    </xf>
    <xf numFmtId="0" fontId="29" fillId="3" borderId="1" xfId="0" applyFont="1" applyFill="1" applyBorder="1" applyAlignment="1">
      <alignment wrapText="1"/>
    </xf>
    <xf numFmtId="0" fontId="30" fillId="4" borderId="0" xfId="0" applyFont="1" applyFill="1" applyAlignment="1">
      <alignment horizontal="left" wrapText="1"/>
    </xf>
    <xf numFmtId="167" fontId="30" fillId="4" borderId="0" xfId="0" applyNumberFormat="1" applyFont="1" applyFill="1" applyAlignment="1">
      <alignment horizontal="center" vertical="center"/>
    </xf>
    <xf numFmtId="168" fontId="30" fillId="0" borderId="35" xfId="0" applyNumberFormat="1" applyFont="1" applyBorder="1" applyAlignment="1">
      <alignment horizontal="right" vertical="center"/>
    </xf>
    <xf numFmtId="0" fontId="29" fillId="2" borderId="1" xfId="0" applyFont="1" applyFill="1" applyBorder="1" applyAlignment="1">
      <alignment horizontal="right" vertical="center"/>
    </xf>
    <xf numFmtId="0" fontId="30" fillId="2" borderId="1" xfId="0" applyFont="1" applyFill="1" applyBorder="1" applyAlignment="1">
      <alignment horizontal="right" vertical="center"/>
    </xf>
    <xf numFmtId="0" fontId="30" fillId="2" borderId="1" xfId="0" applyFont="1" applyFill="1" applyBorder="1" applyAlignment="1">
      <alignment vertical="center" wrapText="1"/>
    </xf>
    <xf numFmtId="10" fontId="30" fillId="2" borderId="1" xfId="163" applyNumberFormat="1" applyFont="1" applyFill="1" applyBorder="1" applyAlignment="1">
      <alignment horizontal="center" vertical="center" wrapText="1"/>
    </xf>
    <xf numFmtId="168" fontId="30" fillId="0" borderId="36" xfId="0" applyNumberFormat="1" applyFont="1" applyBorder="1" applyAlignment="1">
      <alignment horizontal="right" vertical="center"/>
    </xf>
    <xf numFmtId="9" fontId="30" fillId="2" borderId="1" xfId="0" applyNumberFormat="1" applyFont="1" applyFill="1" applyBorder="1" applyAlignment="1">
      <alignment horizontal="center" vertical="center" wrapText="1"/>
    </xf>
    <xf numFmtId="175" fontId="30" fillId="2" borderId="1" xfId="0" applyNumberFormat="1" applyFont="1" applyFill="1" applyBorder="1" applyAlignment="1">
      <alignment horizontal="center" vertical="center" wrapText="1"/>
    </xf>
    <xf numFmtId="10" fontId="30" fillId="2" borderId="1" xfId="0" applyNumberFormat="1" applyFont="1" applyFill="1" applyBorder="1" applyAlignment="1">
      <alignment horizontal="center" vertical="center" wrapText="1"/>
    </xf>
    <xf numFmtId="168" fontId="30" fillId="0" borderId="37" xfId="0" applyNumberFormat="1" applyFont="1" applyBorder="1" applyAlignment="1">
      <alignment horizontal="right" vertical="center"/>
    </xf>
    <xf numFmtId="49" fontId="29" fillId="2" borderId="1" xfId="0" applyNumberFormat="1" applyFont="1" applyFill="1" applyBorder="1" applyAlignment="1">
      <alignment vertical="center"/>
    </xf>
    <xf numFmtId="167" fontId="29" fillId="2" borderId="4" xfId="0" applyNumberFormat="1" applyFont="1" applyFill="1" applyBorder="1" applyAlignment="1">
      <alignment vertical="center" wrapText="1"/>
    </xf>
    <xf numFmtId="10" fontId="30" fillId="2" borderId="4" xfId="0" applyNumberFormat="1" applyFont="1" applyFill="1" applyBorder="1" applyAlignment="1">
      <alignment vertical="center"/>
    </xf>
    <xf numFmtId="10" fontId="30" fillId="2" borderId="1" xfId="163" applyNumberFormat="1" applyFont="1" applyFill="1" applyBorder="1" applyAlignment="1">
      <alignment vertical="center"/>
    </xf>
    <xf numFmtId="0" fontId="29" fillId="2" borderId="4" xfId="0" applyFont="1" applyFill="1" applyBorder="1"/>
    <xf numFmtId="167" fontId="29" fillId="2" borderId="11" xfId="0" applyNumberFormat="1" applyFont="1" applyFill="1" applyBorder="1" applyAlignment="1">
      <alignment vertical="center" wrapText="1"/>
    </xf>
    <xf numFmtId="169" fontId="30" fillId="0" borderId="4" xfId="0" applyNumberFormat="1" applyFont="1" applyBorder="1" applyAlignment="1">
      <alignment horizontal="center" vertical="center" wrapText="1"/>
    </xf>
    <xf numFmtId="168" fontId="30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vertical="center" wrapText="1"/>
    </xf>
    <xf numFmtId="166" fontId="29" fillId="0" borderId="1" xfId="0" applyNumberFormat="1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vertical="center" wrapText="1"/>
    </xf>
    <xf numFmtId="0" fontId="30" fillId="4" borderId="0" xfId="0" applyFont="1" applyFill="1" applyBorder="1" applyAlignment="1">
      <alignment horizontal="left" vertical="center" wrapText="1"/>
    </xf>
    <xf numFmtId="49" fontId="44" fillId="2" borderId="8" xfId="0" applyNumberFormat="1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/>
    </xf>
    <xf numFmtId="167" fontId="44" fillId="2" borderId="8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/>
    </xf>
    <xf numFmtId="0" fontId="45" fillId="2" borderId="1" xfId="0" applyFont="1" applyFill="1" applyBorder="1" applyAlignment="1">
      <alignment horizontal="center"/>
    </xf>
    <xf numFmtId="167" fontId="45" fillId="2" borderId="1" xfId="2" applyNumberFormat="1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left" vertical="center" wrapText="1"/>
    </xf>
    <xf numFmtId="166" fontId="45" fillId="2" borderId="1" xfId="0" applyNumberFormat="1" applyFont="1" applyFill="1" applyBorder="1" applyAlignment="1">
      <alignment horizontal="center"/>
    </xf>
    <xf numFmtId="166" fontId="45" fillId="2" borderId="8" xfId="0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left" vertical="center" wrapText="1"/>
    </xf>
    <xf numFmtId="166" fontId="46" fillId="2" borderId="1" xfId="0" applyNumberFormat="1" applyFont="1" applyFill="1" applyBorder="1" applyAlignment="1">
      <alignment horizontal="center" vertical="center" wrapText="1"/>
    </xf>
    <xf numFmtId="1" fontId="45" fillId="2" borderId="7" xfId="0" applyNumberFormat="1" applyFont="1" applyFill="1" applyBorder="1" applyAlignment="1">
      <alignment horizontal="center" vertical="center" wrapText="1"/>
    </xf>
    <xf numFmtId="0" fontId="45" fillId="2" borderId="0" xfId="0" applyFont="1" applyFill="1" applyAlignment="1">
      <alignment horizontal="center"/>
    </xf>
    <xf numFmtId="184" fontId="29" fillId="2" borderId="1" xfId="0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166" fontId="45" fillId="2" borderId="1" xfId="0" applyNumberFormat="1" applyFont="1" applyFill="1" applyBorder="1" applyAlignment="1">
      <alignment horizontal="center" vertical="center"/>
    </xf>
    <xf numFmtId="3" fontId="45" fillId="2" borderId="1" xfId="0" applyNumberFormat="1" applyFont="1" applyFill="1" applyBorder="1" applyAlignment="1">
      <alignment horizontal="center" vertical="center" wrapText="1"/>
    </xf>
    <xf numFmtId="167" fontId="45" fillId="2" borderId="3" xfId="0" applyNumberFormat="1" applyFont="1" applyFill="1" applyBorder="1" applyAlignment="1">
      <alignment horizontal="left" vertical="center" wrapText="1"/>
    </xf>
    <xf numFmtId="167" fontId="45" fillId="2" borderId="1" xfId="0" applyNumberFormat="1" applyFont="1" applyFill="1" applyBorder="1" applyAlignment="1">
      <alignment horizontal="left" vertical="center" wrapText="1"/>
    </xf>
    <xf numFmtId="167" fontId="46" fillId="2" borderId="1" xfId="0" applyNumberFormat="1" applyFont="1" applyFill="1" applyBorder="1" applyAlignment="1">
      <alignment horizontal="center" vertical="center" wrapText="1"/>
    </xf>
    <xf numFmtId="3" fontId="46" fillId="2" borderId="1" xfId="0" applyNumberFormat="1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left" vertical="center" wrapText="1"/>
    </xf>
    <xf numFmtId="180" fontId="45" fillId="2" borderId="1" xfId="0" applyNumberFormat="1" applyFont="1" applyFill="1" applyBorder="1" applyAlignment="1">
      <alignment horizontal="center" vertical="center"/>
    </xf>
    <xf numFmtId="180" fontId="29" fillId="2" borderId="7" xfId="0" applyNumberFormat="1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right" vertical="center" wrapText="1"/>
    </xf>
    <xf numFmtId="49" fontId="30" fillId="0" borderId="1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right" vertical="center" wrapText="1"/>
    </xf>
    <xf numFmtId="0" fontId="29" fillId="0" borderId="4" xfId="0" applyFont="1" applyFill="1" applyBorder="1" applyAlignment="1">
      <alignment vertical="top" wrapText="1"/>
    </xf>
    <xf numFmtId="180" fontId="29" fillId="0" borderId="1" xfId="0" applyNumberFormat="1" applyFont="1" applyFill="1" applyBorder="1"/>
    <xf numFmtId="0" fontId="30" fillId="0" borderId="5" xfId="0" applyFont="1" applyFill="1" applyBorder="1" applyAlignment="1">
      <alignment vertical="center" wrapText="1"/>
    </xf>
    <xf numFmtId="167" fontId="30" fillId="0" borderId="7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left"/>
    </xf>
    <xf numFmtId="0" fontId="30" fillId="0" borderId="0" xfId="0" applyFont="1" applyAlignment="1">
      <alignment vertical="center" wrapText="1"/>
    </xf>
    <xf numFmtId="167" fontId="30" fillId="2" borderId="7" xfId="1" applyNumberFormat="1" applyFont="1" applyFill="1" applyBorder="1" applyAlignment="1">
      <alignment horizontal="center" vertical="center" wrapText="1"/>
    </xf>
    <xf numFmtId="168" fontId="29" fillId="2" borderId="1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left" vertical="center" wrapText="1"/>
    </xf>
    <xf numFmtId="167" fontId="44" fillId="3" borderId="1" xfId="0" applyNumberFormat="1" applyFont="1" applyFill="1" applyBorder="1" applyAlignment="1">
      <alignment horizontal="center"/>
    </xf>
    <xf numFmtId="0" fontId="45" fillId="3" borderId="1" xfId="0" applyFont="1" applyFill="1" applyBorder="1" applyAlignment="1">
      <alignment horizontal="left"/>
    </xf>
    <xf numFmtId="168" fontId="48" fillId="0" borderId="2" xfId="0" applyNumberFormat="1" applyFont="1" applyBorder="1" applyAlignment="1">
      <alignment horizontal="center" vertical="center"/>
    </xf>
    <xf numFmtId="0" fontId="49" fillId="27" borderId="7" xfId="0" applyFont="1" applyFill="1" applyBorder="1" applyAlignment="1">
      <alignment horizontal="center" vertical="center"/>
    </xf>
    <xf numFmtId="167" fontId="48" fillId="2" borderId="7" xfId="0" applyNumberFormat="1" applyFont="1" applyFill="1" applyBorder="1" applyAlignment="1">
      <alignment horizontal="center" vertical="center" wrapText="1"/>
    </xf>
    <xf numFmtId="169" fontId="49" fillId="0" borderId="1" xfId="0" applyNumberFormat="1" applyFont="1" applyBorder="1" applyAlignment="1">
      <alignment horizontal="center" vertical="center"/>
    </xf>
    <xf numFmtId="0" fontId="49" fillId="27" borderId="1" xfId="0" applyFont="1" applyFill="1" applyBorder="1" applyAlignment="1">
      <alignment horizontal="center"/>
    </xf>
    <xf numFmtId="3" fontId="49" fillId="27" borderId="1" xfId="0" applyNumberFormat="1" applyFont="1" applyFill="1" applyBorder="1" applyAlignment="1">
      <alignment vertical="center" wrapText="1"/>
    </xf>
    <xf numFmtId="49" fontId="48" fillId="27" borderId="1" xfId="0" applyNumberFormat="1" applyFont="1" applyFill="1" applyBorder="1" applyAlignment="1">
      <alignment vertical="center"/>
    </xf>
    <xf numFmtId="49" fontId="49" fillId="27" borderId="1" xfId="0" applyNumberFormat="1" applyFont="1" applyFill="1" applyBorder="1" applyAlignment="1">
      <alignment vertical="center"/>
    </xf>
    <xf numFmtId="167" fontId="48" fillId="3" borderId="1" xfId="0" applyNumberFormat="1" applyFont="1" applyFill="1" applyBorder="1" applyAlignment="1">
      <alignment horizontal="center"/>
    </xf>
    <xf numFmtId="168" fontId="44" fillId="0" borderId="1" xfId="0" applyNumberFormat="1" applyFont="1" applyBorder="1" applyAlignment="1">
      <alignment horizontal="center" vertical="center"/>
    </xf>
    <xf numFmtId="0" fontId="45" fillId="2" borderId="1" xfId="0" applyFont="1" applyFill="1" applyBorder="1" applyAlignment="1">
      <alignment horizontal="right" vertical="center"/>
    </xf>
    <xf numFmtId="0" fontId="44" fillId="2" borderId="1" xfId="0" applyFont="1" applyFill="1" applyBorder="1" applyAlignment="1">
      <alignment horizontal="right" vertical="center"/>
    </xf>
    <xf numFmtId="168" fontId="48" fillId="2" borderId="1" xfId="0" applyNumberFormat="1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167" fontId="60" fillId="2" borderId="1" xfId="0" applyNumberFormat="1" applyFont="1" applyFill="1" applyBorder="1" applyAlignment="1">
      <alignment horizontal="center" vertical="center" wrapText="1"/>
    </xf>
    <xf numFmtId="168" fontId="49" fillId="2" borderId="1" xfId="0" applyNumberFormat="1" applyFont="1" applyFill="1" applyBorder="1" applyAlignment="1">
      <alignment horizontal="center" vertical="center"/>
    </xf>
    <xf numFmtId="169" fontId="49" fillId="2" borderId="1" xfId="0" applyNumberFormat="1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167" fontId="49" fillId="2" borderId="1" xfId="0" applyNumberFormat="1" applyFont="1" applyFill="1" applyBorder="1" applyAlignment="1">
      <alignment horizontal="center" vertical="center"/>
    </xf>
    <xf numFmtId="167" fontId="61" fillId="2" borderId="1" xfId="0" applyNumberFormat="1" applyFont="1" applyFill="1" applyBorder="1" applyAlignment="1">
      <alignment horizontal="center" vertical="center" wrapText="1"/>
    </xf>
    <xf numFmtId="167" fontId="62" fillId="2" borderId="1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49" fontId="49" fillId="2" borderId="1" xfId="0" applyNumberFormat="1" applyFont="1" applyFill="1" applyBorder="1" applyAlignment="1">
      <alignment horizontal="center" vertical="center"/>
    </xf>
    <xf numFmtId="167" fontId="29" fillId="2" borderId="1" xfId="41" applyNumberFormat="1" applyFont="1" applyFill="1" applyBorder="1" applyAlignment="1">
      <alignment horizontal="center" vertical="center"/>
    </xf>
    <xf numFmtId="167" fontId="49" fillId="2" borderId="1" xfId="0" applyNumberFormat="1" applyFont="1" applyFill="1" applyBorder="1" applyAlignment="1">
      <alignment vertical="center" wrapText="1"/>
    </xf>
    <xf numFmtId="0" fontId="48" fillId="2" borderId="1" xfId="0" applyFont="1" applyFill="1" applyBorder="1" applyAlignment="1">
      <alignment vertical="center" wrapText="1"/>
    </xf>
    <xf numFmtId="2" fontId="29" fillId="2" borderId="1" xfId="0" applyNumberFormat="1" applyFont="1" applyFill="1" applyBorder="1" applyAlignment="1">
      <alignment horizontal="center" vertical="center" wrapText="1"/>
    </xf>
    <xf numFmtId="166" fontId="29" fillId="2" borderId="1" xfId="0" applyNumberFormat="1" applyFont="1" applyFill="1" applyBorder="1" applyAlignment="1">
      <alignment horizontal="center" vertical="center"/>
    </xf>
    <xf numFmtId="49" fontId="48" fillId="2" borderId="1" xfId="0" applyNumberFormat="1" applyFont="1" applyFill="1" applyBorder="1" applyAlignment="1">
      <alignment horizontal="center" vertical="center"/>
    </xf>
    <xf numFmtId="167" fontId="63" fillId="2" borderId="1" xfId="0" applyNumberFormat="1" applyFont="1" applyFill="1" applyBorder="1" applyAlignment="1">
      <alignment horizontal="center" vertical="center" wrapText="1"/>
    </xf>
    <xf numFmtId="167" fontId="30" fillId="3" borderId="1" xfId="41" applyNumberFormat="1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/>
    </xf>
    <xf numFmtId="168" fontId="44" fillId="0" borderId="24" xfId="0" applyNumberFormat="1" applyFont="1" applyBorder="1" applyAlignment="1">
      <alignment horizontal="center" vertical="center"/>
    </xf>
    <xf numFmtId="0" fontId="44" fillId="2" borderId="7" xfId="0" applyFont="1" applyFill="1" applyBorder="1" applyAlignment="1">
      <alignment horizontal="right" vertical="center"/>
    </xf>
    <xf numFmtId="0" fontId="44" fillId="2" borderId="7" xfId="0" applyFont="1" applyFill="1" applyBorder="1" applyAlignment="1">
      <alignment vertical="center" wrapText="1"/>
    </xf>
    <xf numFmtId="168" fontId="44" fillId="0" borderId="8" xfId="0" applyNumberFormat="1" applyFont="1" applyBorder="1" applyAlignment="1">
      <alignment horizontal="right" vertical="center"/>
    </xf>
    <xf numFmtId="169" fontId="45" fillId="0" borderId="8" xfId="0" applyNumberFormat="1" applyFont="1" applyBorder="1" applyAlignment="1">
      <alignment horizontal="center" vertical="center"/>
    </xf>
    <xf numFmtId="0" fontId="45" fillId="2" borderId="8" xfId="2" applyFont="1" applyFill="1" applyBorder="1" applyAlignment="1">
      <alignment vertical="center" wrapText="1"/>
    </xf>
    <xf numFmtId="49" fontId="45" fillId="2" borderId="8" xfId="0" applyNumberFormat="1" applyFont="1" applyFill="1" applyBorder="1" applyAlignment="1">
      <alignment vertical="center"/>
    </xf>
    <xf numFmtId="3" fontId="45" fillId="2" borderId="1" xfId="0" applyNumberFormat="1" applyFont="1" applyFill="1" applyBorder="1" applyAlignment="1">
      <alignment vertical="center" wrapText="1"/>
    </xf>
    <xf numFmtId="166" fontId="45" fillId="2" borderId="1" xfId="0" applyNumberFormat="1" applyFont="1" applyFill="1" applyBorder="1" applyAlignment="1">
      <alignment vertical="center" wrapText="1"/>
    </xf>
    <xf numFmtId="167" fontId="44" fillId="3" borderId="25" xfId="0" applyNumberFormat="1" applyFont="1" applyFill="1" applyBorder="1" applyAlignment="1">
      <alignment horizontal="center"/>
    </xf>
    <xf numFmtId="0" fontId="45" fillId="3" borderId="25" xfId="0" applyFont="1" applyFill="1" applyBorder="1"/>
    <xf numFmtId="4" fontId="44" fillId="2" borderId="1" xfId="0" applyNumberFormat="1" applyFont="1" applyFill="1" applyBorder="1" applyAlignment="1">
      <alignment vertical="center" wrapText="1"/>
    </xf>
    <xf numFmtId="2" fontId="44" fillId="2" borderId="1" xfId="0" applyNumberFormat="1" applyFont="1" applyFill="1" applyBorder="1" applyAlignment="1">
      <alignment horizontal="center" vertical="center"/>
    </xf>
    <xf numFmtId="166" fontId="44" fillId="2" borderId="1" xfId="0" applyNumberFormat="1" applyFont="1" applyFill="1" applyBorder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 wrapText="1"/>
    </xf>
    <xf numFmtId="167" fontId="45" fillId="0" borderId="1" xfId="0" applyNumberFormat="1" applyFont="1" applyBorder="1" applyAlignment="1">
      <alignment horizontal="center" vertical="center"/>
    </xf>
    <xf numFmtId="3" fontId="45" fillId="2" borderId="1" xfId="0" applyNumberFormat="1" applyFont="1" applyFill="1" applyBorder="1" applyAlignment="1">
      <alignment horizontal="center" vertical="center"/>
    </xf>
    <xf numFmtId="167" fontId="44" fillId="3" borderId="2" xfId="0" applyNumberFormat="1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left"/>
    </xf>
    <xf numFmtId="168" fontId="64" fillId="2" borderId="2" xfId="0" applyNumberFormat="1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64" fillId="2" borderId="7" xfId="0" applyFont="1" applyFill="1" applyBorder="1" applyAlignment="1">
      <alignment horizontal="right" vertical="center"/>
    </xf>
    <xf numFmtId="167" fontId="64" fillId="2" borderId="7" xfId="0" applyNumberFormat="1" applyFont="1" applyFill="1" applyBorder="1" applyAlignment="1">
      <alignment horizontal="center" vertical="center" wrapText="1"/>
    </xf>
    <xf numFmtId="0" fontId="64" fillId="2" borderId="7" xfId="0" applyFont="1" applyFill="1" applyBorder="1" applyAlignment="1">
      <alignment horizontal="left" vertical="center" wrapText="1"/>
    </xf>
    <xf numFmtId="0" fontId="64" fillId="2" borderId="7" xfId="0" applyFont="1" applyFill="1" applyBorder="1" applyAlignment="1">
      <alignment horizontal="center" vertical="center" wrapText="1"/>
    </xf>
    <xf numFmtId="168" fontId="64" fillId="0" borderId="8" xfId="0" applyNumberFormat="1" applyFont="1" applyBorder="1" applyAlignment="1">
      <alignment horizontal="right" vertical="center"/>
    </xf>
    <xf numFmtId="169" fontId="4" fillId="0" borderId="8" xfId="0" applyNumberFormat="1" applyFont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169" fontId="4" fillId="0" borderId="4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168" fontId="64" fillId="2" borderId="8" xfId="0" applyNumberFormat="1" applyFont="1" applyFill="1" applyBorder="1" applyAlignment="1">
      <alignment horizontal="right" vertical="center"/>
    </xf>
    <xf numFmtId="169" fontId="4" fillId="2" borderId="1" xfId="0" applyNumberFormat="1" applyFont="1" applyFill="1" applyBorder="1" applyAlignment="1">
      <alignment horizontal="center" vertical="center"/>
    </xf>
    <xf numFmtId="1" fontId="64" fillId="2" borderId="1" xfId="0" applyNumberFormat="1" applyFont="1" applyFill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/>
    </xf>
    <xf numFmtId="169" fontId="4" fillId="2" borderId="1" xfId="0" applyNumberFormat="1" applyFont="1" applyFill="1" applyBorder="1" applyAlignment="1">
      <alignment horizontal="right" vertical="center"/>
    </xf>
    <xf numFmtId="49" fontId="4" fillId="2" borderId="8" xfId="0" applyNumberFormat="1" applyFont="1" applyFill="1" applyBorder="1" applyAlignment="1">
      <alignment vertical="center"/>
    </xf>
    <xf numFmtId="167" fontId="6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vertical="center" wrapText="1"/>
    </xf>
    <xf numFmtId="168" fontId="6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4" fillId="2" borderId="8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167" fontId="4" fillId="2" borderId="8" xfId="0" applyNumberFormat="1" applyFont="1" applyFill="1" applyBorder="1" applyAlignment="1">
      <alignment vertical="center" wrapText="1"/>
    </xf>
    <xf numFmtId="167" fontId="6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wrapText="1"/>
    </xf>
    <xf numFmtId="49" fontId="4" fillId="2" borderId="8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49" fontId="64" fillId="2" borderId="3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67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49" fontId="56" fillId="31" borderId="1" xfId="0" applyNumberFormat="1" applyFont="1" applyFill="1" applyBorder="1" applyAlignment="1">
      <alignment horizontal="center" vertical="center" wrapText="1"/>
    </xf>
    <xf numFmtId="49" fontId="68" fillId="31" borderId="1" xfId="0" applyNumberFormat="1" applyFont="1" applyFill="1" applyBorder="1" applyAlignment="1">
      <alignment horizontal="center" vertical="top" wrapText="1"/>
    </xf>
    <xf numFmtId="49" fontId="54" fillId="31" borderId="1" xfId="0" applyNumberFormat="1" applyFont="1" applyFill="1" applyBorder="1" applyAlignment="1">
      <alignment horizontal="center" wrapText="1"/>
    </xf>
    <xf numFmtId="0" fontId="54" fillId="31" borderId="1" xfId="0" applyFont="1" applyFill="1" applyBorder="1" applyAlignment="1">
      <alignment horizontal="left" wrapText="1"/>
    </xf>
    <xf numFmtId="167" fontId="56" fillId="31" borderId="8" xfId="0" applyNumberFormat="1" applyFont="1" applyFill="1" applyBorder="1" applyAlignment="1">
      <alignment horizontal="center" vertical="center" wrapText="1"/>
    </xf>
    <xf numFmtId="0" fontId="54" fillId="31" borderId="1" xfId="0" applyFont="1" applyFill="1" applyBorder="1" applyAlignment="1">
      <alignment horizontal="center" wrapText="1"/>
    </xf>
    <xf numFmtId="0" fontId="68" fillId="31" borderId="1" xfId="0" applyFont="1" applyFill="1" applyBorder="1" applyAlignment="1">
      <alignment vertical="top" wrapText="1"/>
    </xf>
    <xf numFmtId="49" fontId="54" fillId="31" borderId="1" xfId="0" applyNumberFormat="1" applyFont="1" applyFill="1" applyBorder="1" applyAlignment="1">
      <alignment horizontal="center" vertical="center" wrapText="1"/>
    </xf>
    <xf numFmtId="0" fontId="54" fillId="31" borderId="4" xfId="0" applyFont="1" applyFill="1" applyBorder="1" applyAlignment="1">
      <alignment horizontal="left" vertical="center" wrapText="1"/>
    </xf>
    <xf numFmtId="167" fontId="54" fillId="31" borderId="1" xfId="0" applyNumberFormat="1" applyFont="1" applyFill="1" applyBorder="1" applyAlignment="1">
      <alignment horizontal="center" vertical="center" wrapText="1"/>
    </xf>
    <xf numFmtId="0" fontId="54" fillId="31" borderId="1" xfId="0" applyFont="1" applyFill="1" applyBorder="1" applyAlignment="1">
      <alignment horizontal="left" vertical="center" wrapText="1"/>
    </xf>
    <xf numFmtId="0" fontId="54" fillId="31" borderId="4" xfId="0" applyFont="1" applyFill="1" applyBorder="1" applyAlignment="1">
      <alignment horizontal="left" wrapText="1"/>
    </xf>
    <xf numFmtId="167" fontId="54" fillId="31" borderId="1" xfId="0" applyNumberFormat="1" applyFont="1" applyFill="1" applyBorder="1" applyAlignment="1">
      <alignment horizontal="center" vertical="top" wrapText="1"/>
    </xf>
    <xf numFmtId="0" fontId="54" fillId="31" borderId="11" xfId="0" applyFont="1" applyFill="1" applyBorder="1" applyAlignment="1">
      <alignment horizontal="left" vertical="center" wrapText="1"/>
    </xf>
    <xf numFmtId="0" fontId="56" fillId="31" borderId="11" xfId="0" applyFont="1" applyFill="1" applyBorder="1" applyAlignment="1">
      <alignment horizontal="left" wrapText="1"/>
    </xf>
    <xf numFmtId="0" fontId="58" fillId="31" borderId="10" xfId="0" applyFont="1" applyFill="1" applyBorder="1" applyAlignment="1">
      <alignment horizontal="left" wrapText="1"/>
    </xf>
    <xf numFmtId="49" fontId="54" fillId="31" borderId="1" xfId="0" applyNumberFormat="1" applyFont="1" applyFill="1" applyBorder="1" applyAlignment="1">
      <alignment horizontal="left" wrapText="1"/>
    </xf>
    <xf numFmtId="49" fontId="54" fillId="31" borderId="1" xfId="0" applyNumberFormat="1" applyFont="1" applyFill="1" applyBorder="1" applyAlignment="1">
      <alignment horizontal="right" wrapText="1"/>
    </xf>
    <xf numFmtId="0" fontId="54" fillId="31" borderId="10" xfId="0" applyFont="1" applyFill="1" applyBorder="1" applyAlignment="1">
      <alignment horizontal="left" wrapText="1"/>
    </xf>
    <xf numFmtId="49" fontId="68" fillId="31" borderId="1" xfId="0" applyNumberFormat="1" applyFont="1" applyFill="1" applyBorder="1" applyAlignment="1">
      <alignment vertical="top" wrapText="1"/>
    </xf>
    <xf numFmtId="49" fontId="54" fillId="31" borderId="1" xfId="0" applyNumberFormat="1" applyFont="1" applyFill="1" applyBorder="1" applyAlignment="1">
      <alignment horizontal="center" vertical="top" wrapText="1"/>
    </xf>
    <xf numFmtId="0" fontId="68" fillId="31" borderId="1" xfId="0" applyFont="1" applyFill="1" applyBorder="1" applyAlignment="1">
      <alignment wrapText="1"/>
    </xf>
    <xf numFmtId="0" fontId="45" fillId="31" borderId="4" xfId="0" applyFont="1" applyFill="1" applyBorder="1" applyAlignment="1">
      <alignment horizontal="left" wrapText="1"/>
    </xf>
    <xf numFmtId="167" fontId="54" fillId="31" borderId="1" xfId="0" applyNumberFormat="1" applyFont="1" applyFill="1" applyBorder="1" applyAlignment="1">
      <alignment horizontal="center" wrapText="1"/>
    </xf>
    <xf numFmtId="9" fontId="45" fillId="2" borderId="1" xfId="0" applyNumberFormat="1" applyFont="1" applyFill="1" applyBorder="1" applyAlignment="1">
      <alignment vertical="center" wrapText="1"/>
    </xf>
    <xf numFmtId="0" fontId="45" fillId="0" borderId="1" xfId="0" applyFont="1" applyBorder="1"/>
    <xf numFmtId="167" fontId="56" fillId="3" borderId="1" xfId="0" applyNumberFormat="1" applyFont="1" applyFill="1" applyBorder="1" applyAlignment="1">
      <alignment horizontal="center" wrapText="1"/>
    </xf>
    <xf numFmtId="0" fontId="44" fillId="3" borderId="1" xfId="0" applyFont="1" applyFill="1" applyBorder="1" applyAlignment="1">
      <alignment horizontal="left" vertical="center"/>
    </xf>
    <xf numFmtId="173" fontId="44" fillId="3" borderId="1" xfId="7" applyNumberFormat="1" applyFont="1" applyFill="1" applyBorder="1" applyAlignment="1">
      <alignment vertical="center"/>
    </xf>
    <xf numFmtId="0" fontId="44" fillId="3" borderId="1" xfId="0" applyFont="1" applyFill="1" applyBorder="1" applyAlignment="1">
      <alignment horizontal="center"/>
    </xf>
    <xf numFmtId="0" fontId="44" fillId="3" borderId="1" xfId="0" applyFont="1" applyFill="1" applyBorder="1" applyAlignment="1">
      <alignment horizontal="left"/>
    </xf>
    <xf numFmtId="0" fontId="44" fillId="31" borderId="1" xfId="0" applyFont="1" applyFill="1" applyBorder="1" applyAlignment="1">
      <alignment horizontal="center" vertical="center" wrapText="1"/>
    </xf>
    <xf numFmtId="168" fontId="45" fillId="0" borderId="1" xfId="0" applyNumberFormat="1" applyFont="1" applyBorder="1" applyAlignment="1">
      <alignment horizontal="center" vertical="center"/>
    </xf>
    <xf numFmtId="0" fontId="45" fillId="31" borderId="1" xfId="0" applyFont="1" applyFill="1" applyBorder="1" applyAlignment="1">
      <alignment horizontal="left" vertical="center" wrapText="1"/>
    </xf>
    <xf numFmtId="0" fontId="45" fillId="31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left" vertical="center"/>
    </xf>
    <xf numFmtId="0" fontId="44" fillId="31" borderId="1" xfId="0" applyFont="1" applyFill="1" applyBorder="1" applyAlignment="1">
      <alignment horizontal="left" vertical="center" wrapText="1"/>
    </xf>
    <xf numFmtId="169" fontId="29" fillId="2" borderId="1" xfId="0" applyNumberFormat="1" applyFont="1" applyFill="1" applyBorder="1" applyAlignment="1">
      <alignment horizontal="center" vertical="center" wrapText="1"/>
    </xf>
    <xf numFmtId="170" fontId="29" fillId="2" borderId="1" xfId="0" applyNumberFormat="1" applyFont="1" applyFill="1" applyBorder="1" applyAlignment="1">
      <alignment horizontal="center" vertical="center" wrapText="1"/>
    </xf>
    <xf numFmtId="0" fontId="69" fillId="2" borderId="1" xfId="2" applyFont="1" applyFill="1" applyBorder="1" applyAlignment="1">
      <alignment horizontal="left" vertical="center" wrapText="1"/>
    </xf>
    <xf numFmtId="166" fontId="30" fillId="2" borderId="1" xfId="0" applyNumberFormat="1" applyFont="1" applyFill="1" applyBorder="1" applyAlignment="1">
      <alignment horizontal="center" vertical="center" wrapText="1"/>
    </xf>
    <xf numFmtId="168" fontId="44" fillId="2" borderId="1" xfId="0" applyNumberFormat="1" applyFont="1" applyFill="1" applyBorder="1" applyAlignment="1">
      <alignment horizontal="center" vertical="center" wrapText="1"/>
    </xf>
    <xf numFmtId="167" fontId="44" fillId="0" borderId="1" xfId="7" applyNumberFormat="1" applyFont="1" applyFill="1" applyBorder="1" applyAlignment="1">
      <alignment horizontal="center" vertical="center" wrapText="1"/>
    </xf>
    <xf numFmtId="168" fontId="45" fillId="2" borderId="1" xfId="0" applyNumberFormat="1" applyFont="1" applyFill="1" applyBorder="1" applyAlignment="1">
      <alignment horizontal="center" vertical="center" wrapText="1"/>
    </xf>
    <xf numFmtId="167" fontId="45" fillId="0" borderId="1" xfId="7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49" fontId="44" fillId="2" borderId="7" xfId="0" applyNumberFormat="1" applyFont="1" applyFill="1" applyBorder="1" applyAlignment="1">
      <alignment horizontal="center" vertical="center"/>
    </xf>
    <xf numFmtId="167" fontId="44" fillId="2" borderId="7" xfId="135" applyNumberFormat="1" applyFont="1" applyFill="1" applyBorder="1" applyAlignment="1">
      <alignment horizontal="center" vertical="center" wrapText="1"/>
    </xf>
    <xf numFmtId="167" fontId="45" fillId="2" borderId="1" xfId="135" applyNumberFormat="1" applyFont="1" applyFill="1" applyBorder="1" applyAlignment="1">
      <alignment horizontal="center" vertical="center" wrapText="1"/>
    </xf>
    <xf numFmtId="167" fontId="45" fillId="0" borderId="1" xfId="135" applyNumberFormat="1" applyFont="1" applyFill="1" applyBorder="1" applyAlignment="1">
      <alignment horizontal="center" vertical="center" wrapText="1"/>
    </xf>
    <xf numFmtId="167" fontId="4" fillId="0" borderId="1" xfId="135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" fontId="45" fillId="2" borderId="1" xfId="135" applyNumberFormat="1" applyFont="1" applyFill="1" applyBorder="1" applyAlignment="1">
      <alignment vertical="center" wrapText="1"/>
    </xf>
    <xf numFmtId="167" fontId="44" fillId="2" borderId="1" xfId="135" applyNumberFormat="1" applyFont="1" applyFill="1" applyBorder="1" applyAlignment="1">
      <alignment horizontal="center" vertical="center" wrapText="1"/>
    </xf>
    <xf numFmtId="167" fontId="44" fillId="2" borderId="1" xfId="0" applyNumberFormat="1" applyFont="1" applyFill="1" applyBorder="1" applyAlignment="1">
      <alignment vertical="center" wrapText="1"/>
    </xf>
    <xf numFmtId="167" fontId="44" fillId="0" borderId="1" xfId="135" applyNumberFormat="1" applyFont="1" applyFill="1" applyBorder="1" applyAlignment="1">
      <alignment horizontal="center" vertical="center" wrapText="1"/>
    </xf>
    <xf numFmtId="0" fontId="45" fillId="2" borderId="1" xfId="0" applyNumberFormat="1" applyFont="1" applyFill="1" applyBorder="1" applyAlignment="1">
      <alignment vertical="center" wrapText="1"/>
    </xf>
    <xf numFmtId="49" fontId="48" fillId="0" borderId="1" xfId="2" applyNumberFormat="1" applyFont="1" applyBorder="1" applyAlignment="1">
      <alignment horizontal="center" vertical="center"/>
    </xf>
    <xf numFmtId="0" fontId="48" fillId="27" borderId="1" xfId="2" applyFont="1" applyFill="1" applyBorder="1" applyAlignment="1">
      <alignment vertical="center" wrapText="1"/>
    </xf>
    <xf numFmtId="0" fontId="48" fillId="27" borderId="5" xfId="2" applyFont="1" applyFill="1" applyBorder="1" applyAlignment="1">
      <alignment vertical="center" wrapText="1"/>
    </xf>
    <xf numFmtId="167" fontId="48" fillId="27" borderId="1" xfId="2" applyNumberFormat="1" applyFont="1" applyFill="1" applyBorder="1" applyAlignment="1">
      <alignment horizontal="center" vertical="center" wrapText="1"/>
    </xf>
    <xf numFmtId="0" fontId="30" fillId="0" borderId="1" xfId="2" applyFont="1" applyBorder="1" applyAlignment="1">
      <alignment horizontal="left" vertical="center" wrapText="1"/>
    </xf>
    <xf numFmtId="0" fontId="30" fillId="0" borderId="1" xfId="2" applyFont="1" applyBorder="1" applyAlignment="1">
      <alignment horizontal="center" vertical="center" wrapText="1"/>
    </xf>
    <xf numFmtId="175" fontId="30" fillId="0" borderId="1" xfId="16" applyNumberFormat="1" applyFont="1" applyBorder="1" applyAlignment="1">
      <alignment horizontal="center" vertical="center" wrapText="1"/>
    </xf>
    <xf numFmtId="168" fontId="48" fillId="0" borderId="1" xfId="2" applyNumberFormat="1" applyFont="1" applyBorder="1" applyAlignment="1">
      <alignment horizontal="right" vertical="center"/>
    </xf>
    <xf numFmtId="169" fontId="49" fillId="0" borderId="1" xfId="2" applyNumberFormat="1" applyFont="1" applyBorder="1" applyAlignment="1">
      <alignment horizontal="center" vertical="center"/>
    </xf>
    <xf numFmtId="0" fontId="49" fillId="27" borderId="1" xfId="2" applyFont="1" applyFill="1" applyBorder="1" applyAlignment="1">
      <alignment horizontal="right" vertical="center"/>
    </xf>
    <xf numFmtId="0" fontId="49" fillId="27" borderId="1" xfId="2" applyFont="1" applyFill="1" applyBorder="1" applyAlignment="1">
      <alignment horizontal="left" vertical="center" wrapText="1"/>
    </xf>
    <xf numFmtId="167" fontId="49" fillId="27" borderId="1" xfId="2" applyNumberFormat="1" applyFont="1" applyFill="1" applyBorder="1" applyAlignment="1">
      <alignment horizontal="center" vertical="center" wrapText="1"/>
    </xf>
    <xf numFmtId="0" fontId="29" fillId="0" borderId="1" xfId="2" applyFont="1" applyBorder="1" applyAlignment="1">
      <alignment horizontal="left" vertical="center" wrapText="1"/>
    </xf>
    <xf numFmtId="0" fontId="29" fillId="0" borderId="1" xfId="2" applyFont="1" applyBorder="1" applyAlignment="1">
      <alignment horizontal="center" vertical="center" wrapText="1"/>
    </xf>
    <xf numFmtId="175" fontId="29" fillId="0" borderId="1" xfId="2" applyNumberFormat="1" applyFont="1" applyBorder="1" applyAlignment="1">
      <alignment horizontal="center" vertical="center" wrapText="1"/>
    </xf>
    <xf numFmtId="168" fontId="48" fillId="0" borderId="1" xfId="2" applyNumberFormat="1" applyFont="1" applyBorder="1" applyAlignment="1">
      <alignment horizontal="center" vertical="center"/>
    </xf>
    <xf numFmtId="0" fontId="49" fillId="0" borderId="1" xfId="2" applyFont="1" applyBorder="1" applyAlignment="1">
      <alignment horizontal="center" vertical="center"/>
    </xf>
    <xf numFmtId="0" fontId="49" fillId="0" borderId="1" xfId="2" applyFont="1" applyBorder="1" applyAlignment="1">
      <alignment horizontal="left" vertical="center" wrapText="1"/>
    </xf>
    <xf numFmtId="167" fontId="49" fillId="0" borderId="1" xfId="2" applyNumberFormat="1" applyFont="1" applyBorder="1" applyAlignment="1">
      <alignment horizontal="center" vertical="center" wrapText="1"/>
    </xf>
    <xf numFmtId="168" fontId="48" fillId="0" borderId="7" xfId="2" applyNumberFormat="1" applyFont="1" applyBorder="1" applyAlignment="1">
      <alignment horizontal="center" vertical="center"/>
    </xf>
    <xf numFmtId="169" fontId="49" fillId="0" borderId="7" xfId="2" applyNumberFormat="1" applyFont="1" applyBorder="1" applyAlignment="1">
      <alignment horizontal="center" vertical="center"/>
    </xf>
    <xf numFmtId="0" fontId="49" fillId="0" borderId="7" xfId="2" applyFont="1" applyBorder="1" applyAlignment="1">
      <alignment horizontal="center" vertical="center"/>
    </xf>
    <xf numFmtId="0" fontId="49" fillId="0" borderId="2" xfId="2" applyFont="1" applyBorder="1" applyAlignment="1">
      <alignment horizontal="left" vertical="center" wrapText="1"/>
    </xf>
    <xf numFmtId="167" fontId="49" fillId="0" borderId="7" xfId="2" applyNumberFormat="1" applyFont="1" applyBorder="1" applyAlignment="1">
      <alignment horizontal="center" vertical="center" wrapText="1"/>
    </xf>
    <xf numFmtId="0" fontId="29" fillId="0" borderId="7" xfId="2" applyFont="1" applyBorder="1" applyAlignment="1">
      <alignment horizontal="left" vertical="center" wrapText="1"/>
    </xf>
    <xf numFmtId="0" fontId="29" fillId="0" borderId="7" xfId="2" applyFont="1" applyBorder="1" applyAlignment="1">
      <alignment horizontal="center" vertical="center" wrapText="1"/>
    </xf>
    <xf numFmtId="175" fontId="29" fillId="0" borderId="7" xfId="2" applyNumberFormat="1" applyFont="1" applyBorder="1" applyAlignment="1">
      <alignment horizontal="center" vertical="center" wrapText="1"/>
    </xf>
    <xf numFmtId="168" fontId="48" fillId="2" borderId="1" xfId="2" applyNumberFormat="1" applyFont="1" applyFill="1" applyBorder="1" applyAlignment="1">
      <alignment horizontal="right" vertical="center"/>
    </xf>
    <xf numFmtId="169" fontId="49" fillId="2" borderId="1" xfId="2" applyNumberFormat="1" applyFont="1" applyFill="1" applyBorder="1" applyAlignment="1">
      <alignment horizontal="center" vertical="center"/>
    </xf>
    <xf numFmtId="0" fontId="49" fillId="2" borderId="1" xfId="2" applyFont="1" applyFill="1" applyBorder="1" applyAlignment="1">
      <alignment horizontal="right" vertical="center"/>
    </xf>
    <xf numFmtId="0" fontId="49" fillId="2" borderId="1" xfId="2" applyFont="1" applyFill="1" applyBorder="1" applyAlignment="1">
      <alignment horizontal="left" vertical="center" wrapText="1"/>
    </xf>
    <xf numFmtId="167" fontId="49" fillId="2" borderId="1" xfId="2" applyNumberFormat="1" applyFont="1" applyFill="1" applyBorder="1" applyAlignment="1">
      <alignment horizontal="center" vertical="center" wrapText="1"/>
    </xf>
    <xf numFmtId="167" fontId="49" fillId="2" borderId="7" xfId="2" applyNumberFormat="1" applyFont="1" applyFill="1" applyBorder="1" applyAlignment="1">
      <alignment horizontal="center" vertical="center" wrapText="1"/>
    </xf>
    <xf numFmtId="49" fontId="48" fillId="2" borderId="1" xfId="2" applyNumberFormat="1" applyFont="1" applyFill="1" applyBorder="1" applyAlignment="1">
      <alignment horizontal="center" vertical="center" wrapText="1"/>
    </xf>
    <xf numFmtId="49" fontId="49" fillId="2" borderId="1" xfId="2" applyNumberFormat="1" applyFont="1" applyFill="1" applyBorder="1" applyAlignment="1">
      <alignment horizontal="center" wrapText="1"/>
    </xf>
    <xf numFmtId="0" fontId="30" fillId="2" borderId="1" xfId="2" applyFont="1" applyFill="1" applyBorder="1" applyAlignment="1">
      <alignment horizontal="left" vertical="center" wrapText="1"/>
    </xf>
    <xf numFmtId="167" fontId="48" fillId="2" borderId="1" xfId="2" applyNumberFormat="1" applyFont="1" applyFill="1" applyBorder="1" applyAlignment="1">
      <alignment horizontal="center" vertical="center" wrapText="1"/>
    </xf>
    <xf numFmtId="0" fontId="30" fillId="2" borderId="1" xfId="2" applyFont="1" applyFill="1" applyBorder="1" applyAlignment="1">
      <alignment horizontal="center" vertical="center" wrapText="1"/>
    </xf>
    <xf numFmtId="175" fontId="49" fillId="2" borderId="1" xfId="2" applyNumberFormat="1" applyFont="1" applyFill="1" applyBorder="1" applyAlignment="1">
      <alignment horizontal="center" vertical="center"/>
    </xf>
    <xf numFmtId="0" fontId="49" fillId="2" borderId="0" xfId="2" applyFont="1" applyFill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/>
    </xf>
    <xf numFmtId="2" fontId="29" fillId="2" borderId="1" xfId="2" applyNumberFormat="1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center" wrapText="1"/>
    </xf>
    <xf numFmtId="0" fontId="45" fillId="2" borderId="1" xfId="2" applyFont="1" applyFill="1" applyBorder="1" applyAlignment="1">
      <alignment horizontal="center" vertical="center" wrapText="1"/>
    </xf>
    <xf numFmtId="0" fontId="45" fillId="2" borderId="1" xfId="2" applyFont="1" applyFill="1" applyBorder="1" applyAlignment="1">
      <alignment horizontal="center" vertical="center"/>
    </xf>
    <xf numFmtId="175" fontId="45" fillId="2" borderId="1" xfId="2" applyNumberFormat="1" applyFont="1" applyFill="1" applyBorder="1" applyAlignment="1">
      <alignment horizontal="center" vertical="center"/>
    </xf>
    <xf numFmtId="9" fontId="45" fillId="2" borderId="1" xfId="2" applyNumberFormat="1" applyFont="1" applyFill="1" applyBorder="1" applyAlignment="1">
      <alignment horizontal="center" vertical="center"/>
    </xf>
    <xf numFmtId="49" fontId="48" fillId="2" borderId="1" xfId="135" applyNumberFormat="1" applyFont="1" applyFill="1" applyBorder="1" applyAlignment="1">
      <alignment horizontal="center" vertical="center"/>
    </xf>
    <xf numFmtId="49" fontId="49" fillId="2" borderId="1" xfId="2" applyNumberFormat="1" applyFont="1" applyFill="1" applyBorder="1"/>
    <xf numFmtId="0" fontId="29" fillId="2" borderId="1" xfId="2" applyFont="1" applyFill="1" applyBorder="1" applyAlignment="1">
      <alignment horizontal="center" vertical="center"/>
    </xf>
    <xf numFmtId="9" fontId="29" fillId="2" borderId="1" xfId="2" applyNumberFormat="1" applyFont="1" applyFill="1" applyBorder="1" applyAlignment="1">
      <alignment horizontal="center" vertical="center"/>
    </xf>
    <xf numFmtId="175" fontId="29" fillId="2" borderId="1" xfId="2" applyNumberFormat="1" applyFont="1" applyFill="1" applyBorder="1" applyAlignment="1">
      <alignment horizontal="center" vertical="center"/>
    </xf>
    <xf numFmtId="167" fontId="48" fillId="3" borderId="1" xfId="2" applyNumberFormat="1" applyFont="1" applyFill="1" applyBorder="1" applyAlignment="1">
      <alignment horizontal="center" vertical="center"/>
    </xf>
    <xf numFmtId="0" fontId="48" fillId="3" borderId="1" xfId="2" applyFont="1" applyFill="1" applyBorder="1" applyAlignment="1">
      <alignment vertical="center"/>
    </xf>
    <xf numFmtId="0" fontId="48" fillId="3" borderId="1" xfId="2" applyFont="1" applyFill="1" applyBorder="1"/>
    <xf numFmtId="167" fontId="71" fillId="2" borderId="1" xfId="41" applyNumberFormat="1" applyFont="1" applyFill="1" applyBorder="1" applyAlignment="1">
      <alignment horizontal="center" vertical="center"/>
    </xf>
    <xf numFmtId="0" fontId="71" fillId="2" borderId="1" xfId="0" applyFont="1" applyFill="1" applyBorder="1" applyAlignment="1">
      <alignment horizontal="left" vertical="center" wrapText="1"/>
    </xf>
    <xf numFmtId="0" fontId="71" fillId="2" borderId="1" xfId="0" applyFont="1" applyFill="1" applyBorder="1" applyAlignment="1">
      <alignment horizontal="center" vertical="center" wrapText="1"/>
    </xf>
    <xf numFmtId="167" fontId="45" fillId="2" borderId="1" xfId="41" applyNumberFormat="1" applyFont="1" applyFill="1" applyBorder="1" applyAlignment="1">
      <alignment horizontal="center" vertical="center"/>
    </xf>
    <xf numFmtId="167" fontId="45" fillId="2" borderId="1" xfId="41" applyNumberFormat="1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left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/>
    </xf>
    <xf numFmtId="49" fontId="61" fillId="2" borderId="1" xfId="14" applyNumberFormat="1" applyFont="1" applyFill="1" applyBorder="1" applyAlignment="1">
      <alignment horizontal="center" vertical="center"/>
    </xf>
    <xf numFmtId="167" fontId="72" fillId="2" borderId="1" xfId="41" applyNumberFormat="1" applyFont="1" applyFill="1" applyBorder="1" applyAlignment="1">
      <alignment horizontal="center" vertical="center" wrapText="1"/>
    </xf>
    <xf numFmtId="49" fontId="72" fillId="2" borderId="1" xfId="0" applyNumberFormat="1" applyFont="1" applyFill="1" applyBorder="1" applyAlignment="1">
      <alignment horizontal="center" vertical="center" wrapText="1"/>
    </xf>
    <xf numFmtId="13" fontId="45" fillId="2" borderId="1" xfId="0" applyNumberFormat="1" applyFont="1" applyFill="1" applyBorder="1" applyAlignment="1">
      <alignment horizontal="center" vertical="center" wrapText="1"/>
    </xf>
    <xf numFmtId="49" fontId="71" fillId="2" borderId="1" xfId="0" applyNumberFormat="1" applyFont="1" applyFill="1" applyBorder="1" applyAlignment="1">
      <alignment horizontal="center" vertical="center" wrapText="1"/>
    </xf>
    <xf numFmtId="49" fontId="44" fillId="2" borderId="1" xfId="0" applyNumberFormat="1" applyFont="1" applyFill="1" applyBorder="1" applyAlignment="1">
      <alignment horizontal="left" vertical="top" wrapText="1"/>
    </xf>
    <xf numFmtId="167" fontId="44" fillId="2" borderId="1" xfId="41" applyNumberFormat="1" applyFont="1" applyFill="1" applyBorder="1" applyAlignment="1">
      <alignment horizontal="center" vertical="center" wrapText="1"/>
    </xf>
    <xf numFmtId="49" fontId="45" fillId="2" borderId="1" xfId="0" applyNumberFormat="1" applyFont="1" applyFill="1" applyBorder="1" applyAlignment="1">
      <alignment horizontal="left" vertical="top" wrapText="1"/>
    </xf>
    <xf numFmtId="49" fontId="45" fillId="2" borderId="1" xfId="0" applyNumberFormat="1" applyFont="1" applyFill="1" applyBorder="1" applyAlignment="1">
      <alignment vertical="top" wrapText="1"/>
    </xf>
    <xf numFmtId="167" fontId="71" fillId="2" borderId="1" xfId="41" applyNumberFormat="1" applyFont="1" applyFill="1" applyBorder="1" applyAlignment="1">
      <alignment horizontal="center" vertical="center" wrapText="1"/>
    </xf>
    <xf numFmtId="167" fontId="72" fillId="2" borderId="1" xfId="0" applyNumberFormat="1" applyFont="1" applyFill="1" applyBorder="1" applyAlignment="1">
      <alignment horizontal="center" vertical="center" wrapText="1"/>
    </xf>
    <xf numFmtId="0" fontId="72" fillId="2" borderId="1" xfId="0" applyFont="1" applyFill="1" applyBorder="1"/>
    <xf numFmtId="167" fontId="71" fillId="2" borderId="1" xfId="0" applyNumberFormat="1" applyFont="1" applyFill="1" applyBorder="1" applyAlignment="1">
      <alignment vertical="center" wrapText="1"/>
    </xf>
    <xf numFmtId="0" fontId="71" fillId="2" borderId="1" xfId="0" applyFont="1" applyFill="1" applyBorder="1" applyAlignment="1">
      <alignment vertical="center" wrapText="1"/>
    </xf>
    <xf numFmtId="0" fontId="71" fillId="2" borderId="1" xfId="0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vertical="center" wrapText="1"/>
    </xf>
    <xf numFmtId="3" fontId="72" fillId="2" borderId="1" xfId="0" applyNumberFormat="1" applyFont="1" applyFill="1" applyBorder="1" applyAlignment="1">
      <alignment horizontal="center" vertical="center" wrapText="1"/>
    </xf>
    <xf numFmtId="167" fontId="44" fillId="3" borderId="1" xfId="41" applyNumberFormat="1" applyFont="1" applyFill="1" applyBorder="1" applyAlignment="1">
      <alignment horizontal="center" vertical="center"/>
    </xf>
    <xf numFmtId="168" fontId="64" fillId="0" borderId="1" xfId="0" applyNumberFormat="1" applyFont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5" fillId="2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6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7" fontId="4" fillId="2" borderId="8" xfId="0" applyNumberFormat="1" applyFont="1" applyFill="1" applyBorder="1" applyAlignment="1">
      <alignment horizontal="center" vertical="center"/>
    </xf>
    <xf numFmtId="167" fontId="64" fillId="2" borderId="8" xfId="0" applyNumberFormat="1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/>
    </xf>
    <xf numFmtId="167" fontId="4" fillId="3" borderId="1" xfId="0" applyNumberFormat="1" applyFont="1" applyFill="1" applyBorder="1" applyAlignment="1"/>
    <xf numFmtId="167" fontId="4" fillId="3" borderId="4" xfId="0" applyNumberFormat="1" applyFont="1" applyFill="1" applyBorder="1" applyAlignment="1"/>
    <xf numFmtId="0" fontId="72" fillId="3" borderId="1" xfId="0" applyFont="1" applyFill="1" applyBorder="1" applyAlignment="1"/>
    <xf numFmtId="168" fontId="44" fillId="2" borderId="24" xfId="0" applyNumberFormat="1" applyFont="1" applyFill="1" applyBorder="1" applyAlignment="1">
      <alignment horizontal="center" vertical="center"/>
    </xf>
    <xf numFmtId="0" fontId="44" fillId="2" borderId="7" xfId="0" applyFont="1" applyFill="1" applyBorder="1" applyAlignment="1">
      <alignment vertical="center"/>
    </xf>
    <xf numFmtId="166" fontId="44" fillId="2" borderId="1" xfId="0" applyNumberFormat="1" applyFont="1" applyFill="1" applyBorder="1" applyAlignment="1">
      <alignment vertical="center" wrapText="1"/>
    </xf>
    <xf numFmtId="168" fontId="45" fillId="2" borderId="8" xfId="0" applyNumberFormat="1" applyFont="1" applyFill="1" applyBorder="1" applyAlignment="1">
      <alignment horizontal="center" vertical="center"/>
    </xf>
    <xf numFmtId="0" fontId="45" fillId="2" borderId="7" xfId="0" applyFont="1" applyFill="1" applyBorder="1" applyAlignment="1">
      <alignment vertical="center"/>
    </xf>
    <xf numFmtId="167" fontId="45" fillId="2" borderId="1" xfId="7" applyNumberFormat="1" applyFont="1" applyFill="1" applyBorder="1" applyAlignment="1">
      <alignment horizontal="center" vertical="center" wrapText="1"/>
    </xf>
    <xf numFmtId="0" fontId="29" fillId="2" borderId="4" xfId="141" applyFont="1" applyFill="1" applyBorder="1" applyAlignment="1">
      <alignment vertical="center" wrapText="1"/>
    </xf>
    <xf numFmtId="9" fontId="45" fillId="2" borderId="1" xfId="16" applyFont="1" applyFill="1" applyBorder="1" applyAlignment="1">
      <alignment vertical="center" wrapText="1"/>
    </xf>
    <xf numFmtId="0" fontId="45" fillId="2" borderId="4" xfId="2" applyFont="1" applyFill="1" applyBorder="1" applyAlignment="1">
      <alignment vertical="center" wrapText="1"/>
    </xf>
    <xf numFmtId="0" fontId="45" fillId="2" borderId="1" xfId="141" applyFont="1" applyFill="1" applyBorder="1" applyAlignment="1">
      <alignment vertical="center" wrapText="1"/>
    </xf>
    <xf numFmtId="0" fontId="45" fillId="2" borderId="4" xfId="141" applyFont="1" applyFill="1" applyBorder="1" applyAlignment="1">
      <alignment vertical="center" wrapText="1"/>
    </xf>
    <xf numFmtId="167" fontId="44" fillId="2" borderId="1" xfId="7" applyNumberFormat="1" applyFont="1" applyFill="1" applyBorder="1" applyAlignment="1">
      <alignment horizontal="center" vertical="center" wrapText="1"/>
    </xf>
    <xf numFmtId="0" fontId="49" fillId="2" borderId="1" xfId="3" applyFont="1" applyFill="1" applyBorder="1" applyAlignment="1">
      <alignment vertical="center" wrapText="1"/>
    </xf>
    <xf numFmtId="169" fontId="45" fillId="2" borderId="11" xfId="0" applyNumberFormat="1" applyFont="1" applyFill="1" applyBorder="1" applyAlignment="1">
      <alignment vertical="center"/>
    </xf>
    <xf numFmtId="167" fontId="45" fillId="2" borderId="8" xfId="7" applyNumberFormat="1" applyFont="1" applyFill="1" applyBorder="1" applyAlignment="1">
      <alignment horizontal="center" vertical="center" wrapText="1"/>
    </xf>
    <xf numFmtId="175" fontId="45" fillId="2" borderId="1" xfId="0" applyNumberFormat="1" applyFont="1" applyFill="1" applyBorder="1" applyAlignment="1">
      <alignment vertical="center" wrapText="1"/>
    </xf>
    <xf numFmtId="169" fontId="45" fillId="2" borderId="4" xfId="0" applyNumberFormat="1" applyFont="1" applyFill="1" applyBorder="1" applyAlignment="1">
      <alignment vertical="center"/>
    </xf>
    <xf numFmtId="169" fontId="45" fillId="2" borderId="8" xfId="0" applyNumberFormat="1" applyFont="1" applyFill="1" applyBorder="1" applyAlignment="1">
      <alignment vertical="center"/>
    </xf>
    <xf numFmtId="169" fontId="30" fillId="2" borderId="8" xfId="0" applyNumberFormat="1" applyFont="1" applyFill="1" applyBorder="1" applyAlignment="1">
      <alignment vertical="center"/>
    </xf>
    <xf numFmtId="0" fontId="30" fillId="2" borderId="7" xfId="0" applyFont="1" applyFill="1" applyBorder="1" applyAlignment="1">
      <alignment vertical="center"/>
    </xf>
    <xf numFmtId="0" fontId="30" fillId="2" borderId="4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/>
    </xf>
    <xf numFmtId="168" fontId="45" fillId="2" borderId="1" xfId="0" applyNumberFormat="1" applyFont="1" applyFill="1" applyBorder="1" applyAlignment="1">
      <alignment horizontal="center" vertical="center"/>
    </xf>
    <xf numFmtId="169" fontId="45" fillId="2" borderId="1" xfId="0" applyNumberFormat="1" applyFont="1" applyFill="1" applyBorder="1" applyAlignment="1">
      <alignment vertical="center"/>
    </xf>
    <xf numFmtId="0" fontId="45" fillId="2" borderId="11" xfId="0" applyFont="1" applyFill="1" applyBorder="1" applyAlignment="1">
      <alignment vertical="center" wrapText="1"/>
    </xf>
    <xf numFmtId="0" fontId="48" fillId="2" borderId="4" xfId="3" applyFont="1" applyFill="1" applyBorder="1" applyAlignment="1">
      <alignment vertical="center" wrapText="1"/>
    </xf>
    <xf numFmtId="0" fontId="48" fillId="2" borderId="1" xfId="3" applyFont="1" applyFill="1" applyBorder="1" applyAlignment="1">
      <alignment vertical="center" wrapText="1"/>
    </xf>
    <xf numFmtId="1" fontId="48" fillId="2" borderId="1" xfId="3" applyNumberFormat="1" applyFont="1" applyFill="1" applyBorder="1" applyAlignment="1">
      <alignment vertical="center" wrapText="1"/>
    </xf>
    <xf numFmtId="0" fontId="49" fillId="2" borderId="5" xfId="3" applyFont="1" applyFill="1" applyBorder="1" applyAlignment="1">
      <alignment vertical="center" wrapText="1"/>
    </xf>
    <xf numFmtId="1" fontId="49" fillId="2" borderId="1" xfId="3" applyNumberFormat="1" applyFont="1" applyFill="1" applyBorder="1" applyAlignment="1">
      <alignment vertical="center" wrapText="1"/>
    </xf>
    <xf numFmtId="0" fontId="45" fillId="2" borderId="0" xfId="0" applyFont="1" applyFill="1" applyBorder="1" applyAlignment="1">
      <alignment vertical="center" wrapText="1"/>
    </xf>
    <xf numFmtId="0" fontId="49" fillId="2" borderId="4" xfId="3" applyFont="1" applyFill="1" applyBorder="1" applyAlignment="1">
      <alignment vertical="center" wrapText="1"/>
    </xf>
    <xf numFmtId="0" fontId="45" fillId="2" borderId="2" xfId="0" applyFont="1" applyFill="1" applyBorder="1" applyAlignment="1">
      <alignment vertical="center"/>
    </xf>
    <xf numFmtId="0" fontId="29" fillId="2" borderId="11" xfId="3" applyFont="1" applyFill="1" applyBorder="1" applyAlignment="1">
      <alignment vertical="center" wrapText="1"/>
    </xf>
    <xf numFmtId="0" fontId="29" fillId="2" borderId="8" xfId="3" applyFont="1" applyFill="1" applyBorder="1" applyAlignment="1">
      <alignment vertical="center" wrapText="1"/>
    </xf>
    <xf numFmtId="1" fontId="29" fillId="2" borderId="8" xfId="3" applyNumberFormat="1" applyFont="1" applyFill="1" applyBorder="1" applyAlignment="1">
      <alignment vertical="center" wrapText="1"/>
    </xf>
    <xf numFmtId="173" fontId="30" fillId="3" borderId="1" xfId="7" applyNumberFormat="1" applyFont="1" applyFill="1" applyBorder="1" applyAlignment="1">
      <alignment horizontal="center"/>
    </xf>
    <xf numFmtId="0" fontId="30" fillId="3" borderId="1" xfId="0" applyFont="1" applyFill="1" applyBorder="1" applyAlignment="1"/>
    <xf numFmtId="0" fontId="30" fillId="2" borderId="8" xfId="0" applyFont="1" applyFill="1" applyBorder="1" applyAlignment="1">
      <alignment horizontal="left" vertical="top" wrapText="1"/>
    </xf>
    <xf numFmtId="0" fontId="32" fillId="2" borderId="7" xfId="0" applyFont="1" applyFill="1" applyBorder="1" applyAlignment="1">
      <alignment horizontal="left" vertical="top" wrapText="1"/>
    </xf>
    <xf numFmtId="167" fontId="45" fillId="2" borderId="8" xfId="1" applyNumberFormat="1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justify" vertical="top"/>
    </xf>
    <xf numFmtId="167" fontId="45" fillId="2" borderId="1" xfId="1" applyNumberFormat="1" applyFont="1" applyFill="1" applyBorder="1" applyAlignment="1">
      <alignment horizontal="center" vertical="center" wrapText="1"/>
    </xf>
    <xf numFmtId="16" fontId="44" fillId="2" borderId="1" xfId="0" applyNumberFormat="1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left" vertical="center"/>
    </xf>
    <xf numFmtId="167" fontId="44" fillId="2" borderId="1" xfId="0" applyNumberFormat="1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left" vertical="center"/>
    </xf>
    <xf numFmtId="0" fontId="44" fillId="2" borderId="10" xfId="0" applyFont="1" applyFill="1" applyBorder="1" applyAlignment="1">
      <alignment horizontal="center" vertical="center"/>
    </xf>
    <xf numFmtId="168" fontId="44" fillId="0" borderId="8" xfId="0" applyNumberFormat="1" applyFont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49" fontId="45" fillId="2" borderId="11" xfId="0" applyNumberFormat="1" applyFont="1" applyFill="1" applyBorder="1" applyAlignment="1">
      <alignment horizontal="center" vertical="center"/>
    </xf>
    <xf numFmtId="49" fontId="45" fillId="2" borderId="2" xfId="0" applyNumberFormat="1" applyFont="1" applyFill="1" applyBorder="1" applyAlignment="1">
      <alignment horizontal="center" vertical="center"/>
    </xf>
    <xf numFmtId="49" fontId="44" fillId="2" borderId="2" xfId="0" applyNumberFormat="1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left" wrapText="1"/>
    </xf>
    <xf numFmtId="49" fontId="45" fillId="2" borderId="3" xfId="0" applyNumberFormat="1" applyFont="1" applyFill="1" applyBorder="1" applyAlignment="1">
      <alignment horizontal="center" vertical="center"/>
    </xf>
    <xf numFmtId="167" fontId="45" fillId="2" borderId="7" xfId="0" applyNumberFormat="1" applyFont="1" applyFill="1" applyBorder="1" applyAlignment="1">
      <alignment vertical="center" wrapText="1"/>
    </xf>
    <xf numFmtId="3" fontId="45" fillId="0" borderId="1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wrapText="1"/>
    </xf>
    <xf numFmtId="167" fontId="44" fillId="3" borderId="30" xfId="0" applyNumberFormat="1" applyFont="1" applyFill="1" applyBorder="1" applyAlignment="1">
      <alignment horizontal="center" vertical="center"/>
    </xf>
    <xf numFmtId="167" fontId="44" fillId="3" borderId="8" xfId="0" applyNumberFormat="1" applyFont="1" applyFill="1" applyBorder="1" applyAlignment="1">
      <alignment horizontal="center"/>
    </xf>
    <xf numFmtId="0" fontId="45" fillId="3" borderId="8" xfId="0" applyFont="1" applyFill="1" applyBorder="1"/>
    <xf numFmtId="0" fontId="44" fillId="0" borderId="8" xfId="0" applyFont="1" applyBorder="1" applyAlignment="1">
      <alignment vertical="center" wrapText="1"/>
    </xf>
    <xf numFmtId="166" fontId="45" fillId="0" borderId="1" xfId="0" applyNumberFormat="1" applyFont="1" applyBorder="1" applyAlignment="1">
      <alignment vertical="center" wrapText="1"/>
    </xf>
    <xf numFmtId="0" fontId="45" fillId="0" borderId="1" xfId="0" applyFont="1" applyBorder="1" applyAlignment="1">
      <alignment vertical="center" wrapText="1"/>
    </xf>
    <xf numFmtId="0" fontId="47" fillId="0" borderId="7" xfId="0" applyFont="1" applyBorder="1" applyAlignment="1">
      <alignment vertical="center" wrapText="1"/>
    </xf>
    <xf numFmtId="0" fontId="45" fillId="0" borderId="1" xfId="0" applyFont="1" applyBorder="1" applyAlignment="1">
      <alignment horizontal="center" vertical="center" wrapText="1"/>
    </xf>
    <xf numFmtId="49" fontId="45" fillId="0" borderId="1" xfId="0" applyNumberFormat="1" applyFont="1" applyBorder="1" applyAlignment="1">
      <alignment horizontal="center" vertical="center" wrapText="1"/>
    </xf>
    <xf numFmtId="0" fontId="45" fillId="0" borderId="7" xfId="0" applyFont="1" applyBorder="1" applyAlignment="1">
      <alignment vertical="center" wrapText="1"/>
    </xf>
    <xf numFmtId="166" fontId="45" fillId="0" borderId="1" xfId="0" applyNumberFormat="1" applyFont="1" applyBorder="1" applyAlignment="1">
      <alignment horizontal="center" vertical="center" wrapText="1"/>
    </xf>
    <xf numFmtId="49" fontId="44" fillId="0" borderId="1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0" fontId="29" fillId="2" borderId="1" xfId="152" applyFont="1" applyFill="1" applyBorder="1" applyAlignment="1">
      <alignment horizontal="left" vertical="center" wrapText="1"/>
    </xf>
    <xf numFmtId="168" fontId="44" fillId="0" borderId="24" xfId="0" applyNumberFormat="1" applyFont="1" applyFill="1" applyBorder="1" applyAlignment="1">
      <alignment horizontal="center" vertical="center"/>
    </xf>
    <xf numFmtId="168" fontId="44" fillId="0" borderId="8" xfId="0" applyNumberFormat="1" applyFont="1" applyFill="1" applyBorder="1" applyAlignment="1">
      <alignment horizontal="right" vertical="center"/>
    </xf>
    <xf numFmtId="0" fontId="45" fillId="0" borderId="8" xfId="2" applyFont="1" applyFill="1" applyBorder="1" applyAlignment="1">
      <alignment vertical="center" wrapText="1"/>
    </xf>
    <xf numFmtId="169" fontId="45" fillId="0" borderId="4" xfId="0" applyNumberFormat="1" applyFont="1" applyFill="1" applyBorder="1" applyAlignment="1">
      <alignment horizontal="center" vertical="center"/>
    </xf>
    <xf numFmtId="0" fontId="45" fillId="0" borderId="4" xfId="2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/>
    </xf>
    <xf numFmtId="167" fontId="45" fillId="2" borderId="11" xfId="0" applyNumberFormat="1" applyFont="1" applyFill="1" applyBorder="1" applyAlignment="1">
      <alignment horizontal="center" vertical="center" wrapText="1"/>
    </xf>
    <xf numFmtId="0" fontId="45" fillId="2" borderId="4" xfId="0" applyFont="1" applyFill="1" applyBorder="1" applyAlignment="1">
      <alignment horizontal="center" vertical="center" wrapText="1"/>
    </xf>
    <xf numFmtId="167" fontId="56" fillId="31" borderId="1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wrapText="1"/>
    </xf>
    <xf numFmtId="0" fontId="30" fillId="4" borderId="7" xfId="0" applyFont="1" applyFill="1" applyBorder="1"/>
    <xf numFmtId="0" fontId="29" fillId="4" borderId="7" xfId="0" applyFont="1" applyFill="1" applyBorder="1" applyAlignment="1">
      <alignment horizontal="center" vertical="center"/>
    </xf>
    <xf numFmtId="167" fontId="30" fillId="0" borderId="1" xfId="150" applyNumberFormat="1" applyFont="1" applyBorder="1" applyAlignment="1">
      <alignment horizontal="center" vertical="center" wrapText="1"/>
    </xf>
    <xf numFmtId="167" fontId="30" fillId="0" borderId="1" xfId="150" applyNumberFormat="1" applyFont="1" applyBorder="1" applyAlignment="1">
      <alignment horizontal="left" vertical="center" wrapText="1"/>
    </xf>
    <xf numFmtId="0" fontId="45" fillId="0" borderId="1" xfId="0" applyFont="1" applyBorder="1" applyAlignment="1">
      <alignment vertical="center"/>
    </xf>
    <xf numFmtId="167" fontId="45" fillId="2" borderId="1" xfId="147" applyNumberFormat="1" applyFont="1" applyFill="1" applyBorder="1" applyAlignment="1">
      <alignment horizontal="center" vertical="center" wrapText="1"/>
    </xf>
    <xf numFmtId="167" fontId="29" fillId="2" borderId="4" xfId="0" applyNumberFormat="1" applyFont="1" applyFill="1" applyBorder="1" applyAlignment="1">
      <alignment horizontal="center" vertical="center" wrapText="1"/>
    </xf>
    <xf numFmtId="167" fontId="30" fillId="2" borderId="1" xfId="150" applyNumberFormat="1" applyFont="1" applyFill="1" applyBorder="1" applyAlignment="1">
      <alignment horizontal="center" vertical="center" wrapText="1"/>
    </xf>
    <xf numFmtId="0" fontId="30" fillId="0" borderId="6" xfId="0" applyFont="1" applyBorder="1" applyAlignment="1">
      <alignment vertical="center" wrapText="1"/>
    </xf>
    <xf numFmtId="0" fontId="44" fillId="0" borderId="1" xfId="0" applyFont="1" applyBorder="1" applyAlignment="1">
      <alignment vertical="center"/>
    </xf>
    <xf numFmtId="0" fontId="29" fillId="0" borderId="9" xfId="0" applyFont="1" applyBorder="1" applyAlignment="1">
      <alignment vertical="center" wrapText="1"/>
    </xf>
    <xf numFmtId="167" fontId="45" fillId="2" borderId="1" xfId="150" applyNumberFormat="1" applyFont="1" applyFill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167" fontId="30" fillId="3" borderId="1" xfId="150" applyNumberFormat="1" applyFont="1" applyFill="1" applyBorder="1" applyAlignment="1">
      <alignment horizontal="center" vertical="center" wrapText="1"/>
    </xf>
    <xf numFmtId="167" fontId="45" fillId="0" borderId="1" xfId="0" applyNumberFormat="1" applyFont="1" applyFill="1" applyBorder="1" applyAlignment="1">
      <alignment vertical="center" wrapText="1"/>
    </xf>
    <xf numFmtId="167" fontId="54" fillId="0" borderId="1" xfId="0" applyNumberFormat="1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center" wrapText="1"/>
    </xf>
    <xf numFmtId="9" fontId="45" fillId="2" borderId="1" xfId="16" applyFont="1" applyFill="1" applyBorder="1" applyAlignment="1">
      <alignment horizontal="center" vertical="center" wrapText="1"/>
    </xf>
    <xf numFmtId="9" fontId="44" fillId="0" borderId="1" xfId="16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45" fillId="2" borderId="1" xfId="16" applyNumberFormat="1" applyFont="1" applyFill="1" applyBorder="1" applyAlignment="1">
      <alignment horizontal="center" vertical="center" wrapText="1"/>
    </xf>
    <xf numFmtId="9" fontId="45" fillId="0" borderId="1" xfId="16" applyNumberFormat="1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left" vertical="center" wrapText="1"/>
    </xf>
    <xf numFmtId="49" fontId="49" fillId="0" borderId="1" xfId="0" applyNumberFormat="1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horizontal="left" vertical="center" wrapText="1"/>
    </xf>
    <xf numFmtId="167" fontId="49" fillId="0" borderId="1" xfId="0" applyNumberFormat="1" applyFont="1" applyFill="1" applyBorder="1" applyAlignment="1">
      <alignment horizontal="center" vertical="center" wrapText="1"/>
    </xf>
    <xf numFmtId="167" fontId="44" fillId="3" borderId="1" xfId="1" applyNumberFormat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168" fontId="30" fillId="0" borderId="1" xfId="0" applyNumberFormat="1" applyFont="1" applyFill="1" applyBorder="1" applyAlignment="1">
      <alignment horizontal="left" vertical="center"/>
    </xf>
    <xf numFmtId="168" fontId="30" fillId="2" borderId="1" xfId="0" applyNumberFormat="1" applyFont="1" applyFill="1" applyBorder="1" applyAlignment="1">
      <alignment horizontal="left" vertical="center"/>
    </xf>
    <xf numFmtId="168" fontId="44" fillId="0" borderId="1" xfId="0" applyNumberFormat="1" applyFont="1" applyBorder="1" applyAlignment="1">
      <alignment horizontal="right" vertical="center"/>
    </xf>
    <xf numFmtId="0" fontId="49" fillId="0" borderId="1" xfId="0" applyFont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 wrapText="1"/>
    </xf>
    <xf numFmtId="186" fontId="29" fillId="3" borderId="1" xfId="0" applyNumberFormat="1" applyFont="1" applyFill="1" applyBorder="1" applyAlignment="1">
      <alignment horizontal="center" vertical="center"/>
    </xf>
    <xf numFmtId="49" fontId="45" fillId="2" borderId="1" xfId="0" applyNumberFormat="1" applyFont="1" applyFill="1" applyBorder="1" applyAlignment="1">
      <alignment horizontal="right" vertical="center" wrapText="1"/>
    </xf>
    <xf numFmtId="0" fontId="48" fillId="3" borderId="1" xfId="8" applyFont="1" applyFill="1" applyBorder="1" applyAlignment="1">
      <alignment horizontal="center" vertical="center"/>
    </xf>
    <xf numFmtId="168" fontId="45" fillId="0" borderId="1" xfId="0" applyNumberFormat="1" applyFont="1" applyBorder="1" applyAlignment="1">
      <alignment horizontal="right" vertical="center"/>
    </xf>
    <xf numFmtId="0" fontId="45" fillId="3" borderId="1" xfId="0" applyFont="1" applyFill="1" applyBorder="1" applyAlignment="1"/>
    <xf numFmtId="169" fontId="45" fillId="0" borderId="4" xfId="0" applyNumberFormat="1" applyFont="1" applyBorder="1" applyAlignment="1">
      <alignment horizontal="right" vertical="center"/>
    </xf>
    <xf numFmtId="0" fontId="44" fillId="2" borderId="4" xfId="2" applyFont="1" applyFill="1" applyBorder="1" applyAlignment="1">
      <alignment horizontal="left" vertical="center" wrapText="1"/>
    </xf>
    <xf numFmtId="169" fontId="45" fillId="0" borderId="11" xfId="0" applyNumberFormat="1" applyFont="1" applyBorder="1" applyAlignment="1">
      <alignment horizontal="center" vertical="center"/>
    </xf>
    <xf numFmtId="0" fontId="45" fillId="2" borderId="2" xfId="0" applyFont="1" applyFill="1" applyBorder="1" applyAlignment="1">
      <alignment horizontal="right" vertical="center"/>
    </xf>
    <xf numFmtId="0" fontId="45" fillId="2" borderId="11" xfId="2" applyFont="1" applyFill="1" applyBorder="1" applyAlignment="1">
      <alignment horizontal="left" vertical="center" wrapText="1"/>
    </xf>
    <xf numFmtId="0" fontId="48" fillId="27" borderId="1" xfId="0" applyFont="1" applyFill="1" applyBorder="1" applyAlignment="1">
      <alignment horizontal="right" vertical="center"/>
    </xf>
    <xf numFmtId="168" fontId="48" fillId="0" borderId="1" xfId="0" applyNumberFormat="1" applyFont="1" applyBorder="1" applyAlignment="1">
      <alignment horizontal="right" vertical="center"/>
    </xf>
    <xf numFmtId="0" fontId="49" fillId="27" borderId="1" xfId="2" applyFont="1" applyFill="1" applyBorder="1" applyAlignment="1">
      <alignment vertical="center" wrapText="1"/>
    </xf>
    <xf numFmtId="0" fontId="49" fillId="27" borderId="1" xfId="0" applyFont="1" applyFill="1" applyBorder="1" applyAlignment="1"/>
    <xf numFmtId="167" fontId="44" fillId="3" borderId="1" xfId="151" applyNumberFormat="1" applyFont="1" applyFill="1" applyBorder="1" applyAlignment="1">
      <alignment horizontal="center"/>
    </xf>
    <xf numFmtId="0" fontId="49" fillId="3" borderId="1" xfId="0" applyFont="1" applyFill="1" applyBorder="1" applyAlignment="1"/>
    <xf numFmtId="168" fontId="44" fillId="0" borderId="35" xfId="0" applyNumberFormat="1" applyFont="1" applyBorder="1" applyAlignment="1">
      <alignment horizontal="center" vertical="center"/>
    </xf>
    <xf numFmtId="0" fontId="44" fillId="2" borderId="10" xfId="0" applyFont="1" applyFill="1" applyBorder="1" applyAlignment="1">
      <alignment horizontal="center" vertical="center" wrapText="1"/>
    </xf>
    <xf numFmtId="0" fontId="45" fillId="0" borderId="44" xfId="0" applyFont="1" applyBorder="1" applyAlignment="1"/>
    <xf numFmtId="168" fontId="44" fillId="0" borderId="36" xfId="0" applyNumberFormat="1" applyFont="1" applyBorder="1" applyAlignment="1">
      <alignment horizontal="right" vertical="center"/>
    </xf>
    <xf numFmtId="0" fontId="45" fillId="2" borderId="11" xfId="2" applyFont="1" applyFill="1" applyBorder="1" applyAlignment="1">
      <alignment vertical="center" wrapText="1"/>
    </xf>
    <xf numFmtId="0" fontId="45" fillId="2" borderId="44" xfId="0" applyFont="1" applyFill="1" applyBorder="1" applyAlignment="1">
      <alignment horizontal="center" vertical="center" wrapText="1"/>
    </xf>
    <xf numFmtId="0" fontId="45" fillId="0" borderId="11" xfId="2" applyFont="1" applyFill="1" applyBorder="1" applyAlignment="1">
      <alignment vertical="center" wrapText="1"/>
    </xf>
    <xf numFmtId="49" fontId="44" fillId="2" borderId="36" xfId="0" applyNumberFormat="1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left" vertical="center" wrapText="1"/>
    </xf>
    <xf numFmtId="49" fontId="45" fillId="2" borderId="1" xfId="0" applyNumberFormat="1" applyFont="1" applyFill="1" applyBorder="1" applyAlignment="1">
      <alignment vertical="center" wrapText="1"/>
    </xf>
    <xf numFmtId="0" fontId="45" fillId="2" borderId="4" xfId="0" applyFont="1" applyFill="1" applyBorder="1" applyAlignment="1"/>
    <xf numFmtId="0" fontId="45" fillId="2" borderId="44" xfId="0" applyFont="1" applyFill="1" applyBorder="1" applyAlignment="1"/>
    <xf numFmtId="1" fontId="45" fillId="2" borderId="4" xfId="0" applyNumberFormat="1" applyFont="1" applyFill="1" applyBorder="1" applyAlignment="1">
      <alignment horizontal="center" vertical="center" wrapText="1"/>
    </xf>
    <xf numFmtId="1" fontId="45" fillId="2" borderId="44" xfId="0" applyNumberFormat="1" applyFont="1" applyFill="1" applyBorder="1" applyAlignment="1">
      <alignment horizontal="center" vertical="center" wrapText="1"/>
    </xf>
    <xf numFmtId="167" fontId="45" fillId="2" borderId="4" xfId="0" applyNumberFormat="1" applyFont="1" applyFill="1" applyBorder="1" applyAlignment="1">
      <alignment horizontal="center" vertical="center" wrapText="1"/>
    </xf>
    <xf numFmtId="167" fontId="45" fillId="2" borderId="44" xfId="0" applyNumberFormat="1" applyFont="1" applyFill="1" applyBorder="1" applyAlignment="1">
      <alignment horizontal="center" vertical="center" wrapText="1"/>
    </xf>
    <xf numFmtId="167" fontId="45" fillId="2" borderId="47" xfId="0" applyNumberFormat="1" applyFont="1" applyFill="1" applyBorder="1" applyAlignment="1">
      <alignment horizontal="center" vertical="center" wrapText="1"/>
    </xf>
    <xf numFmtId="0" fontId="44" fillId="3" borderId="8" xfId="0" applyFont="1" applyFill="1" applyBorder="1" applyAlignment="1">
      <alignment vertical="center"/>
    </xf>
    <xf numFmtId="0" fontId="45" fillId="3" borderId="8" xfId="0" applyFont="1" applyFill="1" applyBorder="1" applyAlignment="1"/>
    <xf numFmtId="0" fontId="45" fillId="2" borderId="2" xfId="2" applyFont="1" applyFill="1" applyBorder="1" applyAlignment="1">
      <alignment horizontal="center" vertical="center" wrapText="1"/>
    </xf>
    <xf numFmtId="0" fontId="45" fillId="2" borderId="10" xfId="2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horizontal="center" vertical="top" wrapText="1"/>
    </xf>
    <xf numFmtId="0" fontId="45" fillId="0" borderId="0" xfId="0" applyFont="1" applyAlignment="1">
      <alignment horizontal="center" vertical="center" wrapText="1"/>
    </xf>
    <xf numFmtId="0" fontId="29" fillId="27" borderId="1" xfId="3" applyFont="1" applyFill="1" applyBorder="1" applyAlignment="1">
      <alignment horizontal="left" vertical="top" wrapText="1"/>
    </xf>
    <xf numFmtId="0" fontId="45" fillId="2" borderId="1" xfId="0" applyFont="1" applyFill="1" applyBorder="1" applyAlignment="1">
      <alignment horizontal="right" vertical="top" wrapText="1"/>
    </xf>
    <xf numFmtId="0" fontId="54" fillId="0" borderId="1" xfId="0" applyFont="1" applyBorder="1" applyAlignment="1">
      <alignment vertical="center"/>
    </xf>
    <xf numFmtId="0" fontId="54" fillId="0" borderId="1" xfId="0" applyFont="1" applyBorder="1" applyAlignment="1">
      <alignment horizontal="right" vertical="center"/>
    </xf>
    <xf numFmtId="167" fontId="45" fillId="2" borderId="1" xfId="0" applyNumberFormat="1" applyFont="1" applyFill="1" applyBorder="1" applyAlignment="1">
      <alignment horizontal="right" vertical="center" wrapText="1"/>
    </xf>
    <xf numFmtId="167" fontId="45" fillId="2" borderId="8" xfId="0" applyNumberFormat="1" applyFont="1" applyFill="1" applyBorder="1" applyAlignment="1">
      <alignment horizontal="right" vertical="center" wrapText="1"/>
    </xf>
    <xf numFmtId="0" fontId="45" fillId="2" borderId="2" xfId="0" applyFont="1" applyFill="1" applyBorder="1" applyAlignment="1">
      <alignment wrapText="1"/>
    </xf>
    <xf numFmtId="0" fontId="54" fillId="0" borderId="8" xfId="0" applyFont="1" applyBorder="1" applyAlignment="1"/>
    <xf numFmtId="167" fontId="45" fillId="2" borderId="2" xfId="0" applyNumberFormat="1" applyFont="1" applyFill="1" applyBorder="1" applyAlignment="1">
      <alignment wrapText="1"/>
    </xf>
    <xf numFmtId="167" fontId="45" fillId="2" borderId="8" xfId="0" applyNumberFormat="1" applyFont="1" applyFill="1" applyBorder="1" applyAlignment="1">
      <alignment wrapText="1"/>
    </xf>
    <xf numFmtId="0" fontId="45" fillId="2" borderId="1" xfId="0" applyFont="1" applyFill="1" applyBorder="1" applyAlignment="1">
      <alignment vertical="top"/>
    </xf>
    <xf numFmtId="0" fontId="54" fillId="0" borderId="1" xfId="0" applyFont="1" applyBorder="1" applyAlignment="1"/>
    <xf numFmtId="167" fontId="45" fillId="2" borderId="1" xfId="0" applyNumberFormat="1" applyFont="1" applyFill="1" applyBorder="1" applyAlignment="1">
      <alignment wrapText="1"/>
    </xf>
    <xf numFmtId="168" fontId="48" fillId="2" borderId="2" xfId="151" applyNumberFormat="1" applyFont="1" applyFill="1" applyBorder="1" applyAlignment="1">
      <alignment horizontal="center" vertical="center"/>
    </xf>
    <xf numFmtId="169" fontId="49" fillId="2" borderId="7" xfId="151" applyNumberFormat="1" applyFont="1" applyFill="1" applyBorder="1" applyAlignment="1">
      <alignment horizontal="right" vertical="center"/>
    </xf>
    <xf numFmtId="0" fontId="48" fillId="2" borderId="7" xfId="151" applyFont="1" applyFill="1" applyBorder="1" applyAlignment="1">
      <alignment horizontal="center" vertical="center"/>
    </xf>
    <xf numFmtId="0" fontId="48" fillId="2" borderId="7" xfId="151" applyFont="1" applyFill="1" applyBorder="1" applyAlignment="1">
      <alignment vertical="top" wrapText="1"/>
    </xf>
    <xf numFmtId="167" fontId="48" fillId="2" borderId="2" xfId="151" applyNumberFormat="1" applyFont="1" applyFill="1" applyBorder="1" applyAlignment="1">
      <alignment horizontal="center" vertical="center" wrapText="1"/>
    </xf>
    <xf numFmtId="0" fontId="48" fillId="2" borderId="7" xfId="151" applyFont="1" applyFill="1" applyBorder="1" applyAlignment="1">
      <alignment horizontal="left" vertical="top" wrapText="1"/>
    </xf>
    <xf numFmtId="0" fontId="48" fillId="27" borderId="7" xfId="151" applyFont="1" applyFill="1" applyBorder="1" applyAlignment="1">
      <alignment horizontal="center" vertical="center" wrapText="1"/>
    </xf>
    <xf numFmtId="166" fontId="48" fillId="27" borderId="7" xfId="151" applyNumberFormat="1" applyFont="1" applyFill="1" applyBorder="1" applyAlignment="1">
      <alignment horizontal="center" vertical="center" wrapText="1"/>
    </xf>
    <xf numFmtId="0" fontId="49" fillId="2" borderId="1" xfId="151" applyFont="1" applyFill="1" applyBorder="1" applyAlignment="1">
      <alignment horizontal="left" vertical="top" wrapText="1"/>
    </xf>
    <xf numFmtId="0" fontId="49" fillId="27" borderId="1" xfId="151" applyFont="1" applyFill="1" applyBorder="1" applyAlignment="1">
      <alignment horizontal="center" vertical="center" wrapText="1"/>
    </xf>
    <xf numFmtId="0" fontId="48" fillId="27" borderId="1" xfId="151" applyFont="1" applyFill="1" applyBorder="1" applyAlignment="1">
      <alignment horizontal="center" vertical="center" wrapText="1"/>
    </xf>
    <xf numFmtId="170" fontId="48" fillId="2" borderId="1" xfId="151" applyNumberFormat="1" applyFont="1" applyFill="1" applyBorder="1" applyAlignment="1">
      <alignment horizontal="center" vertical="center"/>
    </xf>
    <xf numFmtId="170" fontId="48" fillId="2" borderId="1" xfId="151" applyNumberFormat="1" applyFont="1" applyFill="1" applyBorder="1" applyAlignment="1">
      <alignment horizontal="left" vertical="center"/>
    </xf>
    <xf numFmtId="170" fontId="48" fillId="2" borderId="1" xfId="151" applyNumberFormat="1" applyFont="1" applyFill="1" applyBorder="1" applyAlignment="1">
      <alignment horizontal="left" vertical="top" wrapText="1"/>
    </xf>
    <xf numFmtId="187" fontId="30" fillId="2" borderId="1" xfId="151" applyNumberFormat="1" applyFont="1" applyFill="1" applyBorder="1" applyAlignment="1">
      <alignment horizontal="center" vertical="center"/>
    </xf>
    <xf numFmtId="0" fontId="49" fillId="0" borderId="1" xfId="151" applyFont="1" applyBorder="1" applyAlignment="1">
      <alignment horizontal="center" vertical="center"/>
    </xf>
    <xf numFmtId="1" fontId="48" fillId="27" borderId="1" xfId="151" applyNumberFormat="1" applyFont="1" applyFill="1" applyBorder="1" applyAlignment="1">
      <alignment horizontal="left" vertical="center"/>
    </xf>
    <xf numFmtId="168" fontId="48" fillId="2" borderId="8" xfId="151" applyNumberFormat="1" applyFont="1" applyFill="1" applyBorder="1" applyAlignment="1">
      <alignment horizontal="center" vertical="center"/>
    </xf>
    <xf numFmtId="169" fontId="49" fillId="2" borderId="8" xfId="151" applyNumberFormat="1" applyFont="1" applyFill="1" applyBorder="1" applyAlignment="1">
      <alignment horizontal="right" vertical="center"/>
    </xf>
    <xf numFmtId="0" fontId="49" fillId="2" borderId="2" xfId="151" applyFont="1" applyFill="1" applyBorder="1" applyAlignment="1">
      <alignment horizontal="center" vertical="center"/>
    </xf>
    <xf numFmtId="0" fontId="49" fillId="2" borderId="1" xfId="151" applyFont="1" applyFill="1" applyBorder="1" applyAlignment="1">
      <alignment vertical="top" wrapText="1"/>
    </xf>
    <xf numFmtId="167" fontId="49" fillId="2" borderId="1" xfId="151" applyNumberFormat="1" applyFont="1" applyFill="1" applyBorder="1" applyAlignment="1">
      <alignment horizontal="center" vertical="center" wrapText="1"/>
    </xf>
    <xf numFmtId="166" fontId="48" fillId="27" borderId="1" xfId="151" applyNumberFormat="1" applyFont="1" applyFill="1" applyBorder="1" applyAlignment="1">
      <alignment horizontal="left" vertical="center"/>
    </xf>
    <xf numFmtId="169" fontId="49" fillId="2" borderId="1" xfId="151" applyNumberFormat="1" applyFont="1" applyFill="1" applyBorder="1" applyAlignment="1">
      <alignment vertical="center"/>
    </xf>
    <xf numFmtId="0" fontId="49" fillId="2" borderId="1" xfId="151" applyFont="1" applyFill="1" applyBorder="1" applyAlignment="1">
      <alignment horizontal="left" vertical="center" wrapText="1"/>
    </xf>
    <xf numFmtId="187" fontId="49" fillId="2" borderId="1" xfId="151" applyNumberFormat="1" applyFont="1" applyFill="1" applyBorder="1" applyAlignment="1">
      <alignment horizontal="center" vertical="center"/>
    </xf>
    <xf numFmtId="169" fontId="49" fillId="2" borderId="4" xfId="151" applyNumberFormat="1" applyFont="1" applyFill="1" applyBorder="1" applyAlignment="1">
      <alignment horizontal="right" vertical="center"/>
    </xf>
    <xf numFmtId="0" fontId="49" fillId="2" borderId="7" xfId="151" applyFont="1" applyFill="1" applyBorder="1" applyAlignment="1">
      <alignment horizontal="center" vertical="center"/>
    </xf>
    <xf numFmtId="0" fontId="49" fillId="2" borderId="1" xfId="164" applyFont="1" applyFill="1" applyBorder="1" applyAlignment="1">
      <alignment horizontal="left" vertical="top" wrapText="1"/>
    </xf>
    <xf numFmtId="167" fontId="45" fillId="2" borderId="1" xfId="151" applyNumberFormat="1" applyFont="1" applyFill="1" applyBorder="1" applyAlignment="1">
      <alignment horizontal="center" vertical="center" wrapText="1"/>
    </xf>
    <xf numFmtId="167" fontId="45" fillId="2" borderId="8" xfId="151" applyNumberFormat="1" applyFont="1" applyFill="1" applyBorder="1" applyAlignment="1">
      <alignment horizontal="center" vertical="center"/>
    </xf>
    <xf numFmtId="0" fontId="49" fillId="2" borderId="8" xfId="151" applyFont="1" applyFill="1" applyBorder="1" applyAlignment="1">
      <alignment horizontal="left" vertical="top" wrapText="1"/>
    </xf>
    <xf numFmtId="170" fontId="48" fillId="2" borderId="1" xfId="151" applyNumberFormat="1" applyFont="1" applyFill="1" applyBorder="1" applyAlignment="1">
      <alignment vertical="top" wrapText="1"/>
    </xf>
    <xf numFmtId="187" fontId="30" fillId="2" borderId="8" xfId="151" applyNumberFormat="1" applyFont="1" applyFill="1" applyBorder="1" applyAlignment="1">
      <alignment horizontal="center" vertical="center"/>
    </xf>
    <xf numFmtId="0" fontId="48" fillId="2" borderId="1" xfId="151" applyFont="1" applyFill="1" applyBorder="1" applyAlignment="1">
      <alignment horizontal="left" vertical="top" wrapText="1"/>
    </xf>
    <xf numFmtId="0" fontId="49" fillId="2" borderId="1" xfId="151" applyFont="1" applyFill="1" applyBorder="1" applyAlignment="1">
      <alignment horizontal="center" vertical="center"/>
    </xf>
    <xf numFmtId="167" fontId="45" fillId="0" borderId="1" xfId="151" applyNumberFormat="1" applyFont="1" applyBorder="1" applyAlignment="1">
      <alignment vertical="center"/>
    </xf>
    <xf numFmtId="0" fontId="45" fillId="0" borderId="1" xfId="151" applyFont="1" applyBorder="1" applyAlignment="1">
      <alignment vertical="center"/>
    </xf>
    <xf numFmtId="168" fontId="48" fillId="2" borderId="1" xfId="151" applyNumberFormat="1" applyFont="1" applyFill="1" applyBorder="1" applyAlignment="1">
      <alignment horizontal="center" vertical="center"/>
    </xf>
    <xf numFmtId="169" fontId="49" fillId="2" borderId="8" xfId="151" applyNumberFormat="1" applyFont="1" applyFill="1" applyBorder="1" applyAlignment="1">
      <alignment horizontal="center" vertical="center"/>
    </xf>
    <xf numFmtId="0" fontId="45" fillId="2" borderId="8" xfId="151" applyFont="1" applyFill="1" applyBorder="1"/>
    <xf numFmtId="167" fontId="30" fillId="2" borderId="8" xfId="151" applyNumberFormat="1" applyFont="1" applyFill="1" applyBorder="1" applyAlignment="1">
      <alignment horizontal="center" vertical="center"/>
    </xf>
    <xf numFmtId="0" fontId="48" fillId="2" borderId="1" xfId="164" applyFont="1" applyFill="1" applyBorder="1" applyAlignment="1">
      <alignment vertical="top" wrapText="1"/>
    </xf>
    <xf numFmtId="0" fontId="49" fillId="2" borderId="1" xfId="151" applyFont="1" applyFill="1" applyBorder="1" applyAlignment="1">
      <alignment vertical="center"/>
    </xf>
    <xf numFmtId="0" fontId="45" fillId="2" borderId="1" xfId="151" applyFont="1" applyFill="1" applyBorder="1" applyAlignment="1">
      <alignment vertical="center"/>
    </xf>
    <xf numFmtId="169" fontId="49" fillId="0" borderId="8" xfId="151" applyNumberFormat="1" applyFont="1" applyBorder="1" applyAlignment="1">
      <alignment horizontal="center" vertical="center"/>
    </xf>
    <xf numFmtId="0" fontId="45" fillId="0" borderId="8" xfId="151" applyFont="1" applyBorder="1"/>
    <xf numFmtId="0" fontId="49" fillId="0" borderId="8" xfId="164" applyFont="1" applyFill="1" applyBorder="1" applyAlignment="1">
      <alignment vertical="top" wrapText="1"/>
    </xf>
    <xf numFmtId="0" fontId="49" fillId="2" borderId="7" xfId="164" applyFont="1" applyFill="1" applyBorder="1" applyAlignment="1">
      <alignment vertical="top" wrapText="1"/>
    </xf>
    <xf numFmtId="0" fontId="49" fillId="0" borderId="1" xfId="151" applyFont="1" applyBorder="1" applyAlignment="1">
      <alignment vertical="center"/>
    </xf>
    <xf numFmtId="167" fontId="45" fillId="2" borderId="13" xfId="151" applyNumberFormat="1" applyFont="1" applyFill="1" applyBorder="1" applyAlignment="1">
      <alignment horizontal="center" vertical="center"/>
    </xf>
    <xf numFmtId="167" fontId="45" fillId="2" borderId="11" xfId="151" applyNumberFormat="1" applyFont="1" applyFill="1" applyBorder="1" applyAlignment="1">
      <alignment horizontal="center" vertical="center"/>
    </xf>
    <xf numFmtId="0" fontId="49" fillId="2" borderId="6" xfId="164" applyFont="1" applyFill="1" applyBorder="1" applyAlignment="1">
      <alignment horizontal="left" vertical="top" wrapText="1"/>
    </xf>
    <xf numFmtId="0" fontId="49" fillId="0" borderId="1" xfId="164" applyFont="1" applyFill="1" applyBorder="1" applyAlignment="1">
      <alignment vertical="center" wrapText="1"/>
    </xf>
    <xf numFmtId="0" fontId="49" fillId="0" borderId="7" xfId="164" applyFont="1" applyFill="1" applyBorder="1" applyAlignment="1">
      <alignment vertical="top" wrapText="1"/>
    </xf>
    <xf numFmtId="167" fontId="45" fillId="2" borderId="7" xfId="151" applyNumberFormat="1" applyFont="1" applyFill="1" applyBorder="1" applyAlignment="1">
      <alignment vertical="center"/>
    </xf>
    <xf numFmtId="167" fontId="45" fillId="2" borderId="9" xfId="151" applyNumberFormat="1" applyFont="1" applyFill="1" applyBorder="1" applyAlignment="1">
      <alignment vertical="center"/>
    </xf>
    <xf numFmtId="167" fontId="45" fillId="2" borderId="12" xfId="151" applyNumberFormat="1" applyFont="1" applyFill="1" applyBorder="1" applyAlignment="1">
      <alignment vertical="center"/>
    </xf>
    <xf numFmtId="167" fontId="45" fillId="2" borderId="7" xfId="151" applyNumberFormat="1" applyFont="1" applyFill="1" applyBorder="1" applyAlignment="1">
      <alignment horizontal="center" vertical="center"/>
    </xf>
    <xf numFmtId="0" fontId="49" fillId="2" borderId="12" xfId="164" applyFont="1" applyFill="1" applyBorder="1" applyAlignment="1">
      <alignment vertical="center" wrapText="1"/>
    </xf>
    <xf numFmtId="167" fontId="48" fillId="3" borderId="1" xfId="151" applyNumberFormat="1" applyFont="1" applyFill="1" applyBorder="1" applyAlignment="1">
      <alignment horizontal="center" vertical="center"/>
    </xf>
    <xf numFmtId="0" fontId="45" fillId="3" borderId="1" xfId="151" applyFont="1" applyFill="1" applyBorder="1" applyAlignment="1">
      <alignment vertical="center"/>
    </xf>
    <xf numFmtId="168" fontId="44" fillId="0" borderId="7" xfId="159" applyNumberFormat="1" applyFont="1" applyBorder="1" applyAlignment="1">
      <alignment horizontal="center" vertical="center"/>
    </xf>
    <xf numFmtId="0" fontId="45" fillId="2" borderId="7" xfId="159" applyFont="1" applyFill="1" applyBorder="1" applyAlignment="1">
      <alignment horizontal="right" vertical="center"/>
    </xf>
    <xf numFmtId="0" fontId="44" fillId="2" borderId="7" xfId="159" applyFont="1" applyFill="1" applyBorder="1" applyAlignment="1">
      <alignment horizontal="right" vertical="center"/>
    </xf>
    <xf numFmtId="0" fontId="44" fillId="2" borderId="9" xfId="159" applyFont="1" applyFill="1" applyBorder="1" applyAlignment="1">
      <alignment horizontal="left" vertical="center" wrapText="1"/>
    </xf>
    <xf numFmtId="167" fontId="44" fillId="2" borderId="7" xfId="159" applyNumberFormat="1" applyFont="1" applyFill="1" applyBorder="1" applyAlignment="1">
      <alignment horizontal="center" vertical="center" wrapText="1"/>
    </xf>
    <xf numFmtId="0" fontId="44" fillId="2" borderId="7" xfId="159" applyFont="1" applyFill="1" applyBorder="1" applyAlignment="1">
      <alignment horizontal="center" vertical="center" wrapText="1"/>
    </xf>
    <xf numFmtId="0" fontId="45" fillId="0" borderId="48" xfId="159" applyFont="1" applyBorder="1" applyAlignment="1"/>
    <xf numFmtId="0" fontId="45" fillId="2" borderId="6" xfId="159" applyFont="1" applyFill="1" applyBorder="1" applyAlignment="1">
      <alignment horizontal="left" vertical="center" wrapText="1"/>
    </xf>
    <xf numFmtId="0" fontId="45" fillId="2" borderId="1" xfId="159" applyFont="1" applyFill="1" applyBorder="1" applyAlignment="1">
      <alignment horizontal="center" vertical="center" wrapText="1"/>
    </xf>
    <xf numFmtId="2" fontId="45" fillId="0" borderId="4" xfId="159" applyNumberFormat="1" applyFont="1" applyBorder="1" applyAlignment="1">
      <alignment horizontal="center" vertical="center"/>
    </xf>
    <xf numFmtId="0" fontId="45" fillId="0" borderId="44" xfId="159" applyFont="1" applyBorder="1" applyAlignment="1">
      <alignment horizontal="center" vertical="center"/>
    </xf>
    <xf numFmtId="0" fontId="45" fillId="0" borderId="1" xfId="159" applyFont="1" applyFill="1" applyBorder="1" applyAlignment="1">
      <alignment horizontal="center" vertical="center" wrapText="1"/>
    </xf>
    <xf numFmtId="0" fontId="45" fillId="0" borderId="4" xfId="159" applyFont="1" applyFill="1" applyBorder="1" applyAlignment="1">
      <alignment horizontal="center" vertical="center"/>
    </xf>
    <xf numFmtId="0" fontId="45" fillId="0" borderId="44" xfId="159" applyFont="1" applyFill="1" applyBorder="1" applyAlignment="1">
      <alignment horizontal="center" vertical="center"/>
    </xf>
    <xf numFmtId="0" fontId="45" fillId="0" borderId="6" xfId="159" applyFont="1" applyFill="1" applyBorder="1" applyAlignment="1">
      <alignment horizontal="left" vertical="center" wrapText="1"/>
    </xf>
    <xf numFmtId="0" fontId="45" fillId="0" borderId="44" xfId="159" applyFont="1" applyFill="1" applyBorder="1" applyAlignment="1">
      <alignment horizontal="center" vertical="center" wrapText="1"/>
    </xf>
    <xf numFmtId="0" fontId="45" fillId="2" borderId="1" xfId="159" applyFont="1" applyFill="1" applyBorder="1" applyAlignment="1">
      <alignment vertical="center" wrapText="1"/>
    </xf>
    <xf numFmtId="0" fontId="45" fillId="2" borderId="7" xfId="159" applyFont="1" applyFill="1" applyBorder="1" applyAlignment="1">
      <alignment vertical="center" wrapText="1"/>
    </xf>
    <xf numFmtId="167" fontId="45" fillId="0" borderId="1" xfId="159" applyNumberFormat="1" applyFont="1" applyFill="1" applyBorder="1" applyAlignment="1">
      <alignment horizontal="center" vertical="center" wrapText="1"/>
    </xf>
    <xf numFmtId="167" fontId="45" fillId="0" borderId="44" xfId="159" applyNumberFormat="1" applyFont="1" applyFill="1" applyBorder="1" applyAlignment="1">
      <alignment horizontal="center" vertical="center" wrapText="1"/>
    </xf>
    <xf numFmtId="0" fontId="45" fillId="2" borderId="9" xfId="159" applyFont="1" applyFill="1" applyBorder="1" applyAlignment="1">
      <alignment vertical="center" wrapText="1"/>
    </xf>
    <xf numFmtId="166" fontId="45" fillId="0" borderId="1" xfId="159" applyNumberFormat="1" applyFont="1" applyFill="1" applyBorder="1" applyAlignment="1">
      <alignment horizontal="center" vertical="center" wrapText="1"/>
    </xf>
    <xf numFmtId="166" fontId="45" fillId="0" borderId="44" xfId="159" applyNumberFormat="1" applyFont="1" applyFill="1" applyBorder="1" applyAlignment="1">
      <alignment horizontal="center" vertical="center" wrapText="1"/>
    </xf>
    <xf numFmtId="0" fontId="45" fillId="0" borderId="13" xfId="159" applyFont="1" applyFill="1" applyBorder="1" applyAlignment="1">
      <alignment vertical="center" wrapText="1"/>
    </xf>
    <xf numFmtId="0" fontId="45" fillId="2" borderId="13" xfId="159" applyFont="1" applyFill="1" applyBorder="1" applyAlignment="1">
      <alignment vertical="center" wrapText="1"/>
    </xf>
    <xf numFmtId="0" fontId="45" fillId="2" borderId="8" xfId="159" applyFont="1" applyFill="1" applyBorder="1" applyAlignment="1">
      <alignment horizontal="center" vertical="center" wrapText="1"/>
    </xf>
    <xf numFmtId="0" fontId="45" fillId="0" borderId="8" xfId="159" applyFont="1" applyFill="1" applyBorder="1" applyAlignment="1">
      <alignment horizontal="center" vertical="center" wrapText="1"/>
    </xf>
    <xf numFmtId="166" fontId="45" fillId="0" borderId="8" xfId="159" applyNumberFormat="1" applyFont="1" applyFill="1" applyBorder="1" applyAlignment="1">
      <alignment horizontal="center" vertical="center" wrapText="1"/>
    </xf>
    <xf numFmtId="166" fontId="45" fillId="0" borderId="47" xfId="159" applyNumberFormat="1" applyFont="1" applyFill="1" applyBorder="1" applyAlignment="1">
      <alignment horizontal="center" vertical="center" wrapText="1"/>
    </xf>
    <xf numFmtId="168" fontId="44" fillId="0" borderId="1" xfId="159" applyNumberFormat="1" applyFont="1" applyBorder="1" applyAlignment="1">
      <alignment horizontal="center" vertical="center"/>
    </xf>
    <xf numFmtId="169" fontId="45" fillId="0" borderId="1" xfId="159" applyNumberFormat="1" applyFont="1" applyBorder="1" applyAlignment="1">
      <alignment horizontal="center" vertical="center"/>
    </xf>
    <xf numFmtId="0" fontId="45" fillId="2" borderId="1" xfId="159" applyFont="1" applyFill="1" applyBorder="1" applyAlignment="1">
      <alignment horizontal="center" vertical="center"/>
    </xf>
    <xf numFmtId="0" fontId="30" fillId="2" borderId="4" xfId="160" applyFont="1" applyFill="1" applyBorder="1" applyAlignment="1">
      <alignment horizontal="left" vertical="center" wrapText="1"/>
    </xf>
    <xf numFmtId="167" fontId="45" fillId="0" borderId="1" xfId="159" applyNumberFormat="1" applyFont="1" applyBorder="1">
      <alignment vertical="center"/>
    </xf>
    <xf numFmtId="167" fontId="44" fillId="2" borderId="1" xfId="159" applyNumberFormat="1" applyFont="1" applyFill="1" applyBorder="1" applyAlignment="1">
      <alignment horizontal="center" vertical="center" wrapText="1"/>
    </xf>
    <xf numFmtId="0" fontId="29" fillId="2" borderId="11" xfId="2" applyFont="1" applyFill="1" applyBorder="1" applyAlignment="1">
      <alignment horizontal="left" vertical="center" wrapText="1"/>
    </xf>
    <xf numFmtId="167" fontId="45" fillId="2" borderId="1" xfId="159" applyNumberFormat="1" applyFont="1" applyFill="1" applyBorder="1" applyAlignment="1">
      <alignment horizontal="center" vertical="center" wrapText="1"/>
    </xf>
    <xf numFmtId="167" fontId="45" fillId="2" borderId="1" xfId="159" applyNumberFormat="1" applyFont="1" applyFill="1" applyBorder="1" applyAlignment="1">
      <alignment horizontal="center" vertical="center"/>
    </xf>
    <xf numFmtId="167" fontId="48" fillId="33" borderId="1" xfId="8" applyNumberFormat="1" applyFont="1" applyFill="1" applyBorder="1" applyAlignment="1">
      <alignment horizontal="center" vertical="center"/>
    </xf>
    <xf numFmtId="167" fontId="30" fillId="3" borderId="1" xfId="161" applyNumberFormat="1" applyFont="1" applyFill="1" applyBorder="1" applyAlignment="1">
      <alignment horizontal="center" vertical="center"/>
    </xf>
    <xf numFmtId="0" fontId="49" fillId="33" borderId="1" xfId="8" applyFont="1" applyFill="1" applyBorder="1" applyAlignment="1">
      <alignment horizontal="center" vertical="center"/>
    </xf>
    <xf numFmtId="168" fontId="48" fillId="0" borderId="1" xfId="162" applyNumberFormat="1" applyFont="1" applyBorder="1" applyAlignment="1">
      <alignment horizontal="center" vertical="center"/>
    </xf>
    <xf numFmtId="169" fontId="49" fillId="27" borderId="1" xfId="162" applyNumberFormat="1" applyFont="1" applyFill="1" applyBorder="1" applyAlignment="1">
      <alignment horizontal="right" vertical="center"/>
    </xf>
    <xf numFmtId="0" fontId="48" fillId="27" borderId="1" xfId="162" applyFont="1" applyFill="1" applyBorder="1" applyAlignment="1">
      <alignment horizontal="center" vertical="center"/>
    </xf>
    <xf numFmtId="0" fontId="48" fillId="27" borderId="1" xfId="162" applyFont="1" applyFill="1" applyBorder="1" applyAlignment="1">
      <alignment vertical="center" wrapText="1"/>
    </xf>
    <xf numFmtId="167" fontId="48" fillId="27" borderId="1" xfId="162" applyNumberFormat="1" applyFont="1" applyFill="1" applyBorder="1" applyAlignment="1">
      <alignment horizontal="center" vertical="center" wrapText="1"/>
    </xf>
    <xf numFmtId="0" fontId="48" fillId="27" borderId="1" xfId="162" applyFont="1" applyFill="1" applyBorder="1" applyAlignment="1">
      <alignment horizontal="left" vertical="center" wrapText="1"/>
    </xf>
    <xf numFmtId="0" fontId="48" fillId="27" borderId="1" xfId="162" applyFont="1" applyFill="1" applyBorder="1" applyAlignment="1">
      <alignment horizontal="center" vertical="center" wrapText="1"/>
    </xf>
    <xf numFmtId="166" fontId="48" fillId="27" borderId="1" xfId="162" applyNumberFormat="1" applyFont="1" applyFill="1" applyBorder="1" applyAlignment="1">
      <alignment horizontal="center" vertical="center" wrapText="1"/>
    </xf>
    <xf numFmtId="169" fontId="49" fillId="0" borderId="1" xfId="162" applyNumberFormat="1" applyFont="1" applyBorder="1" applyAlignment="1">
      <alignment horizontal="right" vertical="center"/>
    </xf>
    <xf numFmtId="0" fontId="49" fillId="27" borderId="1" xfId="162" applyFont="1" applyFill="1" applyBorder="1" applyAlignment="1">
      <alignment horizontal="center" vertical="center"/>
    </xf>
    <xf numFmtId="0" fontId="49" fillId="27" borderId="1" xfId="154" applyFont="1" applyFill="1" applyBorder="1" applyAlignment="1">
      <alignment vertical="center" wrapText="1"/>
    </xf>
    <xf numFmtId="167" fontId="49" fillId="27" borderId="1" xfId="162" applyNumberFormat="1" applyFont="1" applyFill="1" applyBorder="1" applyAlignment="1">
      <alignment horizontal="center" vertical="center" wrapText="1"/>
    </xf>
    <xf numFmtId="0" fontId="49" fillId="27" borderId="1" xfId="162" applyFont="1" applyFill="1" applyBorder="1" applyAlignment="1">
      <alignment horizontal="left" vertical="center" wrapText="1"/>
    </xf>
    <xf numFmtId="0" fontId="49" fillId="27" borderId="1" xfId="162" applyFont="1" applyFill="1" applyBorder="1" applyAlignment="1">
      <alignment horizontal="center" vertical="center" wrapText="1"/>
    </xf>
    <xf numFmtId="0" fontId="49" fillId="27" borderId="1" xfId="154" applyFont="1" applyFill="1" applyBorder="1" applyAlignment="1">
      <alignment horizontal="left" vertical="center" wrapText="1"/>
    </xf>
    <xf numFmtId="0" fontId="49" fillId="27" borderId="1" xfId="162" applyFont="1" applyFill="1" applyBorder="1" applyAlignment="1">
      <alignment vertical="center" wrapText="1"/>
    </xf>
    <xf numFmtId="166" fontId="49" fillId="27" borderId="1" xfId="162" applyNumberFormat="1" applyFont="1" applyFill="1" applyBorder="1" applyAlignment="1">
      <alignment horizontal="center" vertical="center" wrapText="1"/>
    </xf>
    <xf numFmtId="170" fontId="49" fillId="27" borderId="1" xfId="162" applyNumberFormat="1" applyFont="1" applyFill="1" applyBorder="1" applyAlignment="1">
      <alignment horizontal="center" vertical="center"/>
    </xf>
    <xf numFmtId="167" fontId="49" fillId="27" borderId="1" xfId="162" applyNumberFormat="1" applyFont="1" applyFill="1" applyBorder="1" applyAlignment="1">
      <alignment horizontal="center" vertical="center"/>
    </xf>
    <xf numFmtId="170" fontId="48" fillId="27" borderId="1" xfId="162" applyNumberFormat="1" applyFont="1" applyFill="1" applyBorder="1" applyAlignment="1">
      <alignment horizontal="center" vertical="center"/>
    </xf>
    <xf numFmtId="169" fontId="49" fillId="0" borderId="1" xfId="162" applyNumberFormat="1" applyFont="1" applyBorder="1" applyAlignment="1">
      <alignment vertical="center"/>
    </xf>
    <xf numFmtId="1" fontId="49" fillId="27" borderId="1" xfId="162" applyNumberFormat="1" applyFont="1" applyFill="1" applyBorder="1" applyAlignment="1">
      <alignment horizontal="center" vertical="center"/>
    </xf>
    <xf numFmtId="170" fontId="49" fillId="27" borderId="1" xfId="162" applyNumberFormat="1" applyFont="1" applyFill="1" applyBorder="1" applyAlignment="1">
      <alignment horizontal="left" vertical="center" wrapText="1"/>
    </xf>
    <xf numFmtId="167" fontId="30" fillId="3" borderId="1" xfId="162" applyNumberFormat="1" applyFont="1" applyFill="1" applyBorder="1" applyAlignment="1">
      <alignment horizontal="center" vertical="center"/>
    </xf>
    <xf numFmtId="0" fontId="29" fillId="3" borderId="1" xfId="162" applyFont="1" applyFill="1" applyBorder="1" applyAlignment="1">
      <alignment vertical="center"/>
    </xf>
    <xf numFmtId="0" fontId="29" fillId="3" borderId="1" xfId="162" applyFont="1" applyFill="1" applyBorder="1" applyAlignment="1">
      <alignment horizontal="center" vertical="center"/>
    </xf>
    <xf numFmtId="168" fontId="48" fillId="0" borderId="2" xfId="152" applyNumberFormat="1" applyFont="1" applyBorder="1" applyAlignment="1">
      <alignment horizontal="center" vertical="center"/>
    </xf>
    <xf numFmtId="0" fontId="49" fillId="27" borderId="7" xfId="152" applyFont="1" applyFill="1" applyBorder="1" applyAlignment="1">
      <alignment horizontal="center" vertical="center"/>
    </xf>
    <xf numFmtId="0" fontId="48" fillId="27" borderId="7" xfId="152" applyFont="1" applyFill="1" applyBorder="1" applyAlignment="1">
      <alignment horizontal="center" vertical="center"/>
    </xf>
    <xf numFmtId="0" fontId="48" fillId="27" borderId="7" xfId="152" applyFont="1" applyFill="1" applyBorder="1" applyAlignment="1">
      <alignment horizontal="left" vertical="center" wrapText="1"/>
    </xf>
    <xf numFmtId="167" fontId="48" fillId="27" borderId="7" xfId="152" applyNumberFormat="1" applyFont="1" applyFill="1" applyBorder="1" applyAlignment="1">
      <alignment horizontal="center" vertical="center" wrapText="1"/>
    </xf>
    <xf numFmtId="0" fontId="48" fillId="27" borderId="7" xfId="152" applyFont="1" applyFill="1" applyBorder="1" applyAlignment="1">
      <alignment horizontal="center" vertical="center" wrapText="1"/>
    </xf>
    <xf numFmtId="168" fontId="48" fillId="0" borderId="8" xfId="152" applyNumberFormat="1" applyFont="1" applyBorder="1" applyAlignment="1">
      <alignment horizontal="center" vertical="center"/>
    </xf>
    <xf numFmtId="169" fontId="49" fillId="0" borderId="4" xfId="152" applyNumberFormat="1" applyFont="1" applyBorder="1" applyAlignment="1">
      <alignment horizontal="center" vertical="center"/>
    </xf>
    <xf numFmtId="167" fontId="49" fillId="27" borderId="1" xfId="152" applyNumberFormat="1" applyFont="1" applyFill="1" applyBorder="1" applyAlignment="1">
      <alignment horizontal="center" vertical="center" wrapText="1"/>
    </xf>
    <xf numFmtId="0" fontId="74" fillId="27" borderId="1" xfId="0" applyFont="1" applyFill="1" applyBorder="1" applyAlignment="1">
      <alignment horizontal="center" vertical="center" wrapText="1"/>
    </xf>
    <xf numFmtId="0" fontId="49" fillId="27" borderId="1" xfId="152" applyFont="1" applyFill="1" applyBorder="1" applyAlignment="1">
      <alignment horizontal="left" vertical="center" wrapText="1"/>
    </xf>
    <xf numFmtId="0" fontId="49" fillId="27" borderId="1" xfId="152" applyFont="1" applyFill="1" applyBorder="1" applyAlignment="1">
      <alignment horizontal="center" vertical="center" wrapText="1"/>
    </xf>
    <xf numFmtId="0" fontId="49" fillId="27" borderId="0" xfId="152" applyFont="1" applyFill="1" applyBorder="1" applyAlignment="1">
      <alignment horizontal="left" vertical="center" wrapText="1"/>
    </xf>
    <xf numFmtId="16" fontId="49" fillId="27" borderId="1" xfId="152" applyNumberFormat="1" applyFont="1" applyFill="1" applyBorder="1" applyAlignment="1">
      <alignment horizontal="center" vertical="center" wrapText="1"/>
    </xf>
    <xf numFmtId="167" fontId="48" fillId="33" borderId="1" xfId="152" applyNumberFormat="1" applyFont="1" applyFill="1" applyBorder="1" applyAlignment="1">
      <alignment horizontal="center" vertical="center"/>
    </xf>
    <xf numFmtId="0" fontId="49" fillId="33" borderId="1" xfId="152" applyFont="1" applyFill="1" applyBorder="1" applyAlignment="1">
      <alignment horizontal="center" vertical="center"/>
    </xf>
    <xf numFmtId="168" fontId="30" fillId="27" borderId="7" xfId="0" applyNumberFormat="1" applyFont="1" applyFill="1" applyBorder="1" applyAlignment="1">
      <alignment horizontal="center" vertical="center"/>
    </xf>
    <xf numFmtId="49" fontId="29" fillId="27" borderId="7" xfId="0" applyNumberFormat="1" applyFont="1" applyFill="1" applyBorder="1" applyAlignment="1">
      <alignment horizontal="center" vertical="center"/>
    </xf>
    <xf numFmtId="49" fontId="29" fillId="27" borderId="1" xfId="0" applyNumberFormat="1" applyFont="1" applyFill="1" applyBorder="1" applyAlignment="1">
      <alignment vertical="center"/>
    </xf>
    <xf numFmtId="0" fontId="30" fillId="2" borderId="10" xfId="0" applyFont="1" applyFill="1" applyBorder="1" applyAlignment="1">
      <alignment horizontal="left" vertical="center" wrapText="1"/>
    </xf>
    <xf numFmtId="1" fontId="30" fillId="27" borderId="7" xfId="0" applyNumberFormat="1" applyFont="1" applyFill="1" applyBorder="1" applyAlignment="1">
      <alignment horizontal="center"/>
    </xf>
    <xf numFmtId="168" fontId="29" fillId="27" borderId="7" xfId="0" applyNumberFormat="1" applyFont="1" applyFill="1" applyBorder="1" applyAlignment="1">
      <alignment horizontal="center" vertical="center"/>
    </xf>
    <xf numFmtId="167" fontId="29" fillId="2" borderId="9" xfId="1" applyNumberFormat="1" applyFont="1" applyFill="1" applyBorder="1" applyAlignment="1">
      <alignment horizontal="center" vertical="center" wrapText="1"/>
    </xf>
    <xf numFmtId="167" fontId="29" fillId="2" borderId="7" xfId="1" applyNumberFormat="1" applyFont="1" applyFill="1" applyBorder="1" applyAlignment="1">
      <alignment horizontal="center" vertical="center" wrapText="1"/>
    </xf>
    <xf numFmtId="1" fontId="29" fillId="27" borderId="7" xfId="0" applyNumberFormat="1" applyFont="1" applyFill="1" applyBorder="1" applyAlignment="1">
      <alignment horizontal="center" vertical="center"/>
    </xf>
    <xf numFmtId="167" fontId="30" fillId="3" borderId="7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center" vertical="center" wrapText="1"/>
    </xf>
    <xf numFmtId="1" fontId="29" fillId="3" borderId="7" xfId="0" applyNumberFormat="1" applyFont="1" applyFill="1" applyBorder="1" applyAlignment="1">
      <alignment horizontal="center" vertical="center"/>
    </xf>
    <xf numFmtId="0" fontId="29" fillId="27" borderId="10" xfId="0" applyFont="1" applyFill="1" applyBorder="1" applyAlignment="1">
      <alignment horizontal="left" vertical="center" wrapText="1"/>
    </xf>
    <xf numFmtId="0" fontId="30" fillId="27" borderId="0" xfId="0" applyFont="1" applyFill="1" applyBorder="1" applyAlignment="1">
      <alignment horizontal="left" vertical="center" wrapText="1"/>
    </xf>
    <xf numFmtId="0" fontId="29" fillId="27" borderId="0" xfId="0" applyFont="1" applyFill="1" applyBorder="1" applyAlignment="1">
      <alignment horizontal="left" vertical="center" wrapText="1"/>
    </xf>
    <xf numFmtId="49" fontId="30" fillId="27" borderId="8" xfId="0" applyNumberFormat="1" applyFont="1" applyFill="1" applyBorder="1" applyAlignment="1">
      <alignment vertical="center"/>
    </xf>
    <xf numFmtId="167" fontId="30" fillId="27" borderId="1" xfId="0" applyNumberFormat="1" applyFont="1" applyFill="1" applyBorder="1" applyAlignment="1">
      <alignment horizontal="center" vertical="center" wrapText="1"/>
    </xf>
    <xf numFmtId="0" fontId="30" fillId="27" borderId="1" xfId="0" applyFont="1" applyFill="1" applyBorder="1" applyAlignment="1">
      <alignment vertical="center" wrapText="1"/>
    </xf>
    <xf numFmtId="0" fontId="30" fillId="27" borderId="1" xfId="0" applyFont="1" applyFill="1" applyBorder="1" applyAlignment="1">
      <alignment horizontal="center" vertical="center" wrapText="1"/>
    </xf>
    <xf numFmtId="0" fontId="30" fillId="27" borderId="1" xfId="0" applyFont="1" applyFill="1" applyBorder="1" applyAlignment="1"/>
    <xf numFmtId="49" fontId="29" fillId="27" borderId="8" xfId="0" applyNumberFormat="1" applyFont="1" applyFill="1" applyBorder="1" applyAlignment="1">
      <alignment vertical="center"/>
    </xf>
    <xf numFmtId="167" fontId="29" fillId="27" borderId="8" xfId="0" applyNumberFormat="1" applyFont="1" applyFill="1" applyBorder="1" applyAlignment="1">
      <alignment horizontal="center" vertical="center" wrapText="1"/>
    </xf>
    <xf numFmtId="167" fontId="29" fillId="27" borderId="1" xfId="0" applyNumberFormat="1" applyFont="1" applyFill="1" applyBorder="1" applyAlignment="1">
      <alignment horizontal="center" vertical="center" wrapText="1"/>
    </xf>
    <xf numFmtId="167" fontId="29" fillId="27" borderId="1" xfId="0" applyNumberFormat="1" applyFont="1" applyFill="1" applyBorder="1" applyAlignment="1">
      <alignment vertical="center" wrapText="1"/>
    </xf>
    <xf numFmtId="0" fontId="29" fillId="27" borderId="1" xfId="0" applyFont="1" applyFill="1" applyBorder="1" applyAlignment="1">
      <alignment vertical="center"/>
    </xf>
    <xf numFmtId="0" fontId="30" fillId="0" borderId="1" xfId="0" applyFont="1" applyBorder="1" applyAlignment="1">
      <alignment wrapText="1"/>
    </xf>
    <xf numFmtId="167" fontId="30" fillId="27" borderId="8" xfId="0" applyNumberFormat="1" applyFont="1" applyFill="1" applyBorder="1" applyAlignment="1">
      <alignment horizontal="center" vertical="center" wrapText="1"/>
    </xf>
    <xf numFmtId="167" fontId="29" fillId="27" borderId="8" xfId="0" applyNumberFormat="1" applyFont="1" applyFill="1" applyBorder="1" applyAlignment="1">
      <alignment vertical="center" wrapText="1"/>
    </xf>
    <xf numFmtId="167" fontId="30" fillId="3" borderId="1" xfId="1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left" vertical="center" wrapText="1"/>
    </xf>
    <xf numFmtId="168" fontId="48" fillId="0" borderId="1" xfId="151" applyNumberFormat="1" applyFont="1" applyBorder="1" applyAlignment="1">
      <alignment horizontal="center" vertical="center"/>
    </xf>
    <xf numFmtId="0" fontId="49" fillId="27" borderId="1" xfId="151" applyFont="1" applyFill="1" applyBorder="1" applyAlignment="1">
      <alignment horizontal="center" vertical="center"/>
    </xf>
    <xf numFmtId="0" fontId="48" fillId="27" borderId="1" xfId="151" applyFont="1" applyFill="1" applyBorder="1" applyAlignment="1">
      <alignment horizontal="center" vertical="center"/>
    </xf>
    <xf numFmtId="0" fontId="48" fillId="27" borderId="1" xfId="151" applyFont="1" applyFill="1" applyBorder="1" applyAlignment="1">
      <alignment horizontal="left" vertical="center" wrapText="1"/>
    </xf>
    <xf numFmtId="167" fontId="48" fillId="27" borderId="1" xfId="151" applyNumberFormat="1" applyFont="1" applyFill="1" applyBorder="1" applyAlignment="1">
      <alignment horizontal="center" vertical="center" wrapText="1"/>
    </xf>
    <xf numFmtId="166" fontId="48" fillId="27" borderId="1" xfId="151" applyNumberFormat="1" applyFont="1" applyFill="1" applyBorder="1" applyAlignment="1">
      <alignment horizontal="center" vertical="center" wrapText="1"/>
    </xf>
    <xf numFmtId="9" fontId="30" fillId="27" borderId="1" xfId="151" applyNumberFormat="1" applyFont="1" applyFill="1" applyBorder="1" applyAlignment="1">
      <alignment horizontal="center" vertical="center" wrapText="1"/>
    </xf>
    <xf numFmtId="169" fontId="49" fillId="0" borderId="1" xfId="151" applyNumberFormat="1" applyFont="1" applyBorder="1" applyAlignment="1">
      <alignment horizontal="center" vertical="center"/>
    </xf>
    <xf numFmtId="167" fontId="49" fillId="0" borderId="1" xfId="151" applyNumberFormat="1" applyFont="1" applyBorder="1" applyAlignment="1">
      <alignment horizontal="center" vertical="center"/>
    </xf>
    <xf numFmtId="0" fontId="49" fillId="27" borderId="1" xfId="151" applyFont="1" applyFill="1" applyBorder="1" applyAlignment="1">
      <alignment horizontal="left" vertical="center" wrapText="1"/>
    </xf>
    <xf numFmtId="0" fontId="29" fillId="27" borderId="1" xfId="151" applyFont="1" applyFill="1" applyBorder="1" applyAlignment="1">
      <alignment horizontal="center" vertical="center" wrapText="1"/>
    </xf>
    <xf numFmtId="9" fontId="29" fillId="27" borderId="1" xfId="151" applyNumberFormat="1" applyFont="1" applyFill="1" applyBorder="1" applyAlignment="1">
      <alignment horizontal="center" vertical="center" wrapText="1"/>
    </xf>
    <xf numFmtId="10" fontId="29" fillId="27" borderId="1" xfId="151" applyNumberFormat="1" applyFont="1" applyFill="1" applyBorder="1" applyAlignment="1">
      <alignment horizontal="center" vertical="center" wrapText="1"/>
    </xf>
    <xf numFmtId="49" fontId="49" fillId="27" borderId="1" xfId="151" applyNumberFormat="1" applyFont="1" applyFill="1" applyBorder="1" applyAlignment="1">
      <alignment horizontal="center" vertical="center"/>
    </xf>
    <xf numFmtId="170" fontId="29" fillId="27" borderId="1" xfId="151" applyNumberFormat="1" applyFont="1" applyFill="1" applyBorder="1" applyAlignment="1">
      <alignment horizontal="center" vertical="center" wrapText="1"/>
    </xf>
    <xf numFmtId="167" fontId="49" fillId="27" borderId="1" xfId="151" applyNumberFormat="1" applyFont="1" applyFill="1" applyBorder="1" applyAlignment="1">
      <alignment horizontal="center" vertical="center"/>
    </xf>
    <xf numFmtId="169" fontId="49" fillId="0" borderId="1" xfId="151" applyNumberFormat="1" applyFont="1" applyFill="1" applyBorder="1" applyAlignment="1">
      <alignment horizontal="center" vertical="center"/>
    </xf>
    <xf numFmtId="170" fontId="49" fillId="27" borderId="1" xfId="151" applyNumberFormat="1" applyFont="1" applyFill="1" applyBorder="1" applyAlignment="1">
      <alignment horizontal="center" vertical="center" wrapText="1"/>
    </xf>
    <xf numFmtId="167" fontId="48" fillId="33" borderId="1" xfId="151" applyNumberFormat="1" applyFont="1" applyFill="1" applyBorder="1" applyAlignment="1">
      <alignment horizontal="center" vertical="center"/>
    </xf>
    <xf numFmtId="0" fontId="49" fillId="33" borderId="1" xfId="151" applyFont="1" applyFill="1" applyBorder="1" applyAlignment="1">
      <alignment horizontal="center" vertical="center"/>
    </xf>
    <xf numFmtId="170" fontId="29" fillId="33" borderId="1" xfId="151" applyNumberFormat="1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49" fontId="45" fillId="0" borderId="1" xfId="0" applyNumberFormat="1" applyFont="1" applyBorder="1" applyAlignment="1">
      <alignment horizontal="right" vertical="center"/>
    </xf>
    <xf numFmtId="49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left" vertical="center" wrapText="1"/>
    </xf>
    <xf numFmtId="49" fontId="45" fillId="0" borderId="8" xfId="0" applyNumberFormat="1" applyFont="1" applyBorder="1" applyAlignment="1">
      <alignment horizontal="right" vertical="center" wrapText="1"/>
    </xf>
    <xf numFmtId="49" fontId="45" fillId="0" borderId="8" xfId="0" applyNumberFormat="1" applyFont="1" applyBorder="1" applyAlignment="1">
      <alignment horizontal="center" vertical="center" wrapText="1"/>
    </xf>
    <xf numFmtId="184" fontId="45" fillId="2" borderId="1" xfId="0" applyNumberFormat="1" applyFont="1" applyFill="1" applyBorder="1" applyAlignment="1">
      <alignment horizontal="center" vertical="center" wrapText="1"/>
    </xf>
    <xf numFmtId="167" fontId="44" fillId="3" borderId="50" xfId="0" applyNumberFormat="1" applyFont="1" applyFill="1" applyBorder="1" applyAlignment="1">
      <alignment horizontal="center"/>
    </xf>
    <xf numFmtId="0" fontId="45" fillId="3" borderId="50" xfId="0" applyFont="1" applyFill="1" applyBorder="1" applyAlignment="1"/>
    <xf numFmtId="168" fontId="48" fillId="0" borderId="24" xfId="151" applyNumberFormat="1" applyFont="1" applyBorder="1" applyAlignment="1">
      <alignment horizontal="center" vertical="center"/>
    </xf>
    <xf numFmtId="0" fontId="48" fillId="27" borderId="7" xfId="151" applyFont="1" applyFill="1" applyBorder="1" applyAlignment="1">
      <alignment horizontal="center" vertical="center"/>
    </xf>
    <xf numFmtId="0" fontId="48" fillId="27" borderId="7" xfId="151" applyFont="1" applyFill="1" applyBorder="1" applyAlignment="1">
      <alignment horizontal="left" vertical="center" wrapText="1"/>
    </xf>
    <xf numFmtId="167" fontId="48" fillId="27" borderId="7" xfId="151" applyNumberFormat="1" applyFont="1" applyFill="1" applyBorder="1" applyAlignment="1">
      <alignment horizontal="center" vertical="center" wrapText="1"/>
    </xf>
    <xf numFmtId="0" fontId="30" fillId="27" borderId="7" xfId="151" applyFont="1" applyFill="1" applyBorder="1" applyAlignment="1">
      <alignment horizontal="center" vertical="center" wrapText="1"/>
    </xf>
    <xf numFmtId="168" fontId="49" fillId="0" borderId="8" xfId="151" applyNumberFormat="1" applyFont="1" applyBorder="1" applyAlignment="1">
      <alignment horizontal="center" vertical="center"/>
    </xf>
    <xf numFmtId="0" fontId="49" fillId="27" borderId="7" xfId="151" applyFont="1" applyFill="1" applyBorder="1" applyAlignment="1">
      <alignment horizontal="center" vertical="center"/>
    </xf>
    <xf numFmtId="0" fontId="49" fillId="27" borderId="8" xfId="2" applyFont="1" applyFill="1" applyBorder="1" applyAlignment="1">
      <alignment horizontal="left" vertical="center" wrapText="1"/>
    </xf>
    <xf numFmtId="167" fontId="49" fillId="27" borderId="1" xfId="151" applyNumberFormat="1" applyFont="1" applyFill="1" applyBorder="1" applyAlignment="1">
      <alignment horizontal="center" vertical="center" wrapText="1"/>
    </xf>
    <xf numFmtId="169" fontId="49" fillId="0" borderId="4" xfId="151" applyNumberFormat="1" applyFont="1" applyBorder="1" applyAlignment="1">
      <alignment horizontal="center" vertical="center"/>
    </xf>
    <xf numFmtId="0" fontId="49" fillId="27" borderId="0" xfId="151" applyFont="1" applyFill="1" applyBorder="1" applyAlignment="1">
      <alignment horizontal="left" vertical="center" wrapText="1"/>
    </xf>
    <xf numFmtId="49" fontId="49" fillId="27" borderId="1" xfId="151" applyNumberFormat="1" applyFont="1" applyFill="1" applyBorder="1" applyAlignment="1">
      <alignment horizontal="center" vertical="center" wrapText="1"/>
    </xf>
    <xf numFmtId="49" fontId="48" fillId="27" borderId="8" xfId="151" applyNumberFormat="1" applyFont="1" applyFill="1" applyBorder="1" applyAlignment="1">
      <alignment horizontal="center" vertical="center"/>
    </xf>
    <xf numFmtId="49" fontId="49" fillId="27" borderId="8" xfId="151" applyNumberFormat="1" applyFont="1" applyFill="1" applyBorder="1" applyAlignment="1">
      <alignment horizontal="center" vertical="center"/>
    </xf>
    <xf numFmtId="167" fontId="49" fillId="27" borderId="8" xfId="151" applyNumberFormat="1" applyFont="1" applyFill="1" applyBorder="1" applyAlignment="1">
      <alignment horizontal="center" vertical="center" wrapText="1"/>
    </xf>
    <xf numFmtId="167" fontId="48" fillId="27" borderId="8" xfId="151" applyNumberFormat="1" applyFont="1" applyFill="1" applyBorder="1" applyAlignment="1">
      <alignment horizontal="center" vertical="center" wrapText="1"/>
    </xf>
    <xf numFmtId="0" fontId="49" fillId="27" borderId="8" xfId="151" applyFont="1" applyFill="1" applyBorder="1" applyAlignment="1">
      <alignment horizontal="left" vertical="center" wrapText="1"/>
    </xf>
    <xf numFmtId="0" fontId="49" fillId="27" borderId="8" xfId="151" applyFont="1" applyFill="1" applyBorder="1" applyAlignment="1">
      <alignment horizontal="center" vertical="center" wrapText="1"/>
    </xf>
    <xf numFmtId="0" fontId="49" fillId="33" borderId="1" xfId="0" applyFont="1" applyFill="1" applyBorder="1" applyAlignment="1">
      <alignment horizontal="center" vertical="center"/>
    </xf>
    <xf numFmtId="168" fontId="48" fillId="0" borderId="8" xfId="151" applyNumberFormat="1" applyFont="1" applyBorder="1" applyAlignment="1">
      <alignment horizontal="center" vertical="center"/>
    </xf>
    <xf numFmtId="9" fontId="49" fillId="27" borderId="1" xfId="151" applyNumberFormat="1" applyFont="1" applyFill="1" applyBorder="1" applyAlignment="1">
      <alignment horizontal="center" vertical="center" wrapText="1"/>
    </xf>
    <xf numFmtId="9" fontId="48" fillId="27" borderId="1" xfId="151" applyNumberFormat="1" applyFont="1" applyFill="1" applyBorder="1" applyAlignment="1">
      <alignment horizontal="center" vertical="center" wrapText="1"/>
    </xf>
    <xf numFmtId="0" fontId="48" fillId="27" borderId="1" xfId="151" applyFont="1" applyFill="1" applyBorder="1" applyAlignment="1">
      <alignment vertical="center" wrapText="1"/>
    </xf>
    <xf numFmtId="167" fontId="49" fillId="0" borderId="0" xfId="151" applyNumberFormat="1" applyFont="1" applyAlignment="1">
      <alignment horizontal="center" vertical="center"/>
    </xf>
    <xf numFmtId="0" fontId="49" fillId="27" borderId="1" xfId="151" applyFont="1" applyFill="1" applyBorder="1" applyAlignment="1">
      <alignment vertical="center" wrapText="1"/>
    </xf>
    <xf numFmtId="167" fontId="48" fillId="33" borderId="50" xfId="151" applyNumberFormat="1" applyFont="1" applyFill="1" applyBorder="1" applyAlignment="1">
      <alignment horizontal="center" vertical="center"/>
    </xf>
    <xf numFmtId="0" fontId="49" fillId="33" borderId="50" xfId="151" applyFont="1" applyFill="1" applyBorder="1" applyAlignment="1">
      <alignment horizontal="center" vertical="center"/>
    </xf>
    <xf numFmtId="49" fontId="44" fillId="2" borderId="8" xfId="0" applyNumberFormat="1" applyFont="1" applyFill="1" applyBorder="1" applyAlignment="1">
      <alignment horizontal="right" vertical="center"/>
    </xf>
    <xf numFmtId="49" fontId="45" fillId="2" borderId="8" xfId="0" applyNumberFormat="1" applyFont="1" applyFill="1" applyBorder="1" applyAlignment="1">
      <alignment horizontal="right" vertical="center"/>
    </xf>
    <xf numFmtId="3" fontId="49" fillId="27" borderId="8" xfId="0" applyNumberFormat="1" applyFont="1" applyFill="1" applyBorder="1" applyAlignment="1">
      <alignment vertical="center" wrapText="1"/>
    </xf>
    <xf numFmtId="49" fontId="56" fillId="31" borderId="1" xfId="0" applyNumberFormat="1" applyFont="1" applyFill="1" applyBorder="1" applyAlignment="1">
      <alignment horizontal="center" wrapText="1"/>
    </xf>
    <xf numFmtId="0" fontId="54" fillId="31" borderId="1" xfId="0" applyFont="1" applyFill="1" applyBorder="1" applyAlignment="1">
      <alignment vertical="top" wrapText="1"/>
    </xf>
    <xf numFmtId="0" fontId="54" fillId="31" borderId="1" xfId="0" applyFont="1" applyFill="1" applyBorder="1" applyAlignment="1">
      <alignment horizontal="right" wrapText="1"/>
    </xf>
    <xf numFmtId="0" fontId="49" fillId="31" borderId="1" xfId="0" applyFont="1" applyFill="1" applyBorder="1" applyAlignment="1">
      <alignment horizontal="left" wrapText="1"/>
    </xf>
    <xf numFmtId="0" fontId="45" fillId="0" borderId="1" xfId="0" applyFont="1" applyBorder="1" applyAlignment="1"/>
    <xf numFmtId="0" fontId="56" fillId="31" borderId="1" xfId="0" applyFont="1" applyFill="1" applyBorder="1" applyAlignment="1">
      <alignment horizontal="left" wrapText="1"/>
    </xf>
    <xf numFmtId="0" fontId="54" fillId="31" borderId="8" xfId="0" applyFont="1" applyFill="1" applyBorder="1" applyAlignment="1">
      <alignment horizontal="left" wrapText="1"/>
    </xf>
    <xf numFmtId="0" fontId="56" fillId="31" borderId="8" xfId="0" applyFont="1" applyFill="1" applyBorder="1" applyAlignment="1">
      <alignment horizontal="left" wrapText="1"/>
    </xf>
    <xf numFmtId="0" fontId="58" fillId="31" borderId="7" xfId="0" applyFont="1" applyFill="1" applyBorder="1" applyAlignment="1">
      <alignment horizontal="left" wrapText="1"/>
    </xf>
    <xf numFmtId="0" fontId="54" fillId="31" borderId="7" xfId="0" applyFont="1" applyFill="1" applyBorder="1" applyAlignment="1">
      <alignment horizontal="left" wrapText="1"/>
    </xf>
    <xf numFmtId="49" fontId="54" fillId="31" borderId="1" xfId="0" applyNumberFormat="1" applyFont="1" applyFill="1" applyBorder="1" applyAlignment="1">
      <alignment vertical="top" wrapText="1"/>
    </xf>
    <xf numFmtId="0" fontId="54" fillId="31" borderId="1" xfId="0" applyFont="1" applyFill="1" applyBorder="1" applyAlignment="1">
      <alignment wrapText="1"/>
    </xf>
    <xf numFmtId="0" fontId="45" fillId="31" borderId="1" xfId="0" applyFont="1" applyFill="1" applyBorder="1" applyAlignment="1">
      <alignment horizontal="left" wrapText="1"/>
    </xf>
    <xf numFmtId="167" fontId="45" fillId="2" borderId="1" xfId="0" applyNumberFormat="1" applyFont="1" applyFill="1" applyBorder="1" applyAlignment="1"/>
    <xf numFmtId="167" fontId="56" fillId="3" borderId="1" xfId="0" applyNumberFormat="1" applyFont="1" applyFill="1" applyBorder="1" applyAlignment="1">
      <alignment horizontal="center" vertical="top" wrapText="1"/>
    </xf>
    <xf numFmtId="0" fontId="30" fillId="0" borderId="12" xfId="0" applyFont="1" applyFill="1" applyBorder="1" applyAlignment="1">
      <alignment horizontal="left" vertical="center" wrapText="1"/>
    </xf>
    <xf numFmtId="0" fontId="30" fillId="0" borderId="5" xfId="0" applyFont="1" applyFill="1" applyBorder="1" applyAlignment="1">
      <alignment horizontal="left" vertical="center" wrapText="1"/>
    </xf>
    <xf numFmtId="49" fontId="29" fillId="4" borderId="0" xfId="0" applyNumberFormat="1" applyFont="1" applyFill="1"/>
    <xf numFmtId="167" fontId="29" fillId="0" borderId="0" xfId="0" applyNumberFormat="1" applyFont="1"/>
    <xf numFmtId="0" fontId="29" fillId="0" borderId="0" xfId="0" applyFont="1" applyAlignment="1">
      <alignment horizontal="right"/>
    </xf>
    <xf numFmtId="0" fontId="48" fillId="3" borderId="1" xfId="8" applyFont="1" applyFill="1" applyBorder="1" applyAlignment="1">
      <alignment horizontal="left" vertical="center"/>
    </xf>
    <xf numFmtId="0" fontId="45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wrapText="1"/>
    </xf>
    <xf numFmtId="0" fontId="30" fillId="4" borderId="4" xfId="0" applyFont="1" applyFill="1" applyBorder="1" applyAlignment="1">
      <alignment horizontal="left" vertical="center" wrapText="1"/>
    </xf>
    <xf numFmtId="0" fontId="30" fillId="4" borderId="5" xfId="0" applyFont="1" applyFill="1" applyBorder="1" applyAlignment="1">
      <alignment horizontal="left" vertical="center" wrapText="1"/>
    </xf>
    <xf numFmtId="0" fontId="30" fillId="4" borderId="12" xfId="0" applyFont="1" applyFill="1" applyBorder="1" applyAlignment="1">
      <alignment horizontal="left" vertical="center" wrapText="1"/>
    </xf>
    <xf numFmtId="49" fontId="56" fillId="31" borderId="8" xfId="0" applyNumberFormat="1" applyFont="1" applyFill="1" applyBorder="1" applyAlignment="1">
      <alignment horizontal="center" vertical="center" wrapText="1"/>
    </xf>
    <xf numFmtId="49" fontId="56" fillId="31" borderId="7" xfId="0" applyNumberFormat="1" applyFont="1" applyFill="1" applyBorder="1" applyAlignment="1">
      <alignment horizontal="center" vertical="center" wrapText="1"/>
    </xf>
    <xf numFmtId="0" fontId="54" fillId="31" borderId="1" xfId="0" applyFont="1" applyFill="1" applyBorder="1" applyAlignment="1">
      <alignment vertical="top" wrapText="1"/>
    </xf>
    <xf numFmtId="0" fontId="54" fillId="31" borderId="4" xfId="0" applyFont="1" applyFill="1" applyBorder="1" applyAlignment="1">
      <alignment horizontal="right" vertical="top" wrapText="1"/>
    </xf>
    <xf numFmtId="0" fontId="56" fillId="31" borderId="8" xfId="0" applyFont="1" applyFill="1" applyBorder="1" applyAlignment="1">
      <alignment horizontal="left" wrapText="1"/>
    </xf>
    <xf numFmtId="0" fontId="56" fillId="31" borderId="7" xfId="0" applyFont="1" applyFill="1" applyBorder="1" applyAlignment="1">
      <alignment horizontal="left" wrapText="1"/>
    </xf>
    <xf numFmtId="167" fontId="56" fillId="31" borderId="8" xfId="0" applyNumberFormat="1" applyFont="1" applyFill="1" applyBorder="1" applyAlignment="1">
      <alignment horizontal="center" vertical="center" wrapText="1"/>
    </xf>
    <xf numFmtId="167" fontId="56" fillId="31" borderId="7" xfId="0" applyNumberFormat="1" applyFont="1" applyFill="1" applyBorder="1" applyAlignment="1">
      <alignment horizontal="center" vertical="center" wrapText="1"/>
    </xf>
    <xf numFmtId="167" fontId="48" fillId="33" borderId="50" xfId="151" applyNumberFormat="1" applyFont="1" applyFill="1" applyBorder="1" applyAlignment="1">
      <alignment horizontal="center" vertical="center"/>
    </xf>
    <xf numFmtId="167" fontId="48" fillId="33" borderId="51" xfId="151" applyNumberFormat="1" applyFont="1" applyFill="1" applyBorder="1" applyAlignment="1">
      <alignment horizontal="center" vertical="center"/>
    </xf>
    <xf numFmtId="167" fontId="44" fillId="3" borderId="1" xfId="0" applyNumberFormat="1" applyFont="1" applyFill="1" applyBorder="1" applyAlignment="1"/>
    <xf numFmtId="0" fontId="30" fillId="4" borderId="1" xfId="0" applyFont="1" applyFill="1" applyBorder="1" applyAlignment="1">
      <alignment horizontal="left" vertical="center" wrapText="1"/>
    </xf>
    <xf numFmtId="167" fontId="49" fillId="3" borderId="1" xfId="0" applyNumberFormat="1" applyFont="1" applyFill="1" applyBorder="1" applyAlignment="1"/>
    <xf numFmtId="0" fontId="30" fillId="32" borderId="1" xfId="152" applyFont="1" applyFill="1" applyBorder="1" applyAlignment="1">
      <alignment horizontal="left" vertical="center" wrapText="1"/>
    </xf>
    <xf numFmtId="0" fontId="44" fillId="3" borderId="49" xfId="0" applyFont="1" applyFill="1" applyBorder="1" applyAlignment="1">
      <alignment vertical="center"/>
    </xf>
    <xf numFmtId="0" fontId="44" fillId="3" borderId="50" xfId="0" applyFont="1" applyFill="1" applyBorder="1" applyAlignment="1">
      <alignment vertical="center"/>
    </xf>
    <xf numFmtId="167" fontId="44" fillId="3" borderId="50" xfId="0" applyNumberFormat="1" applyFont="1" applyFill="1" applyBorder="1" applyAlignment="1"/>
    <xf numFmtId="167" fontId="44" fillId="3" borderId="51" xfId="0" applyNumberFormat="1" applyFont="1" applyFill="1" applyBorder="1" applyAlignment="1"/>
    <xf numFmtId="0" fontId="30" fillId="32" borderId="52" xfId="152" applyFont="1" applyFill="1" applyBorder="1" applyAlignment="1">
      <alignment horizontal="left" vertical="center" wrapText="1"/>
    </xf>
    <xf numFmtId="0" fontId="30" fillId="32" borderId="53" xfId="152" applyFont="1" applyFill="1" applyBorder="1" applyAlignment="1">
      <alignment horizontal="left" vertical="center" wrapText="1"/>
    </xf>
    <xf numFmtId="0" fontId="30" fillId="32" borderId="10" xfId="152" applyFont="1" applyFill="1" applyBorder="1" applyAlignment="1">
      <alignment horizontal="left" vertical="center" wrapText="1"/>
    </xf>
    <xf numFmtId="0" fontId="30" fillId="32" borderId="12" xfId="152" applyFont="1" applyFill="1" applyBorder="1" applyAlignment="1">
      <alignment horizontal="left" vertical="center" wrapText="1"/>
    </xf>
    <xf numFmtId="0" fontId="29" fillId="27" borderId="1" xfId="151" applyFont="1" applyFill="1" applyBorder="1" applyAlignment="1">
      <alignment horizontal="center" vertical="center" wrapText="1"/>
    </xf>
    <xf numFmtId="0" fontId="30" fillId="4" borderId="10" xfId="0" applyFont="1" applyFill="1" applyBorder="1" applyAlignment="1">
      <alignment horizontal="left" vertical="center" wrapText="1"/>
    </xf>
    <xf numFmtId="49" fontId="44" fillId="0" borderId="1" xfId="0" applyNumberFormat="1" applyFont="1" applyBorder="1" applyAlignment="1">
      <alignment horizontal="center" vertical="center"/>
    </xf>
    <xf numFmtId="49" fontId="44" fillId="0" borderId="1" xfId="0" applyNumberFormat="1" applyFont="1" applyBorder="1" applyAlignment="1">
      <alignment horizontal="right" vertical="center"/>
    </xf>
    <xf numFmtId="0" fontId="44" fillId="0" borderId="1" xfId="0" applyFont="1" applyBorder="1" applyAlignment="1">
      <alignment horizontal="left" vertical="center" wrapText="1"/>
    </xf>
    <xf numFmtId="167" fontId="44" fillId="2" borderId="1" xfId="0" applyNumberFormat="1" applyFont="1" applyFill="1" applyBorder="1" applyAlignment="1">
      <alignment horizontal="center" vertical="center" wrapText="1"/>
    </xf>
    <xf numFmtId="0" fontId="29" fillId="0" borderId="1" xfId="5" applyFont="1" applyBorder="1" applyAlignment="1">
      <alignment horizontal="center" vertical="center"/>
    </xf>
    <xf numFmtId="169" fontId="49" fillId="0" borderId="1" xfId="151" applyNumberFormat="1" applyFont="1" applyBorder="1" applyAlignment="1">
      <alignment horizontal="center" vertical="center"/>
    </xf>
    <xf numFmtId="49" fontId="49" fillId="27" borderId="8" xfId="151" applyNumberFormat="1" applyFont="1" applyFill="1" applyBorder="1" applyAlignment="1">
      <alignment horizontal="center" vertical="center"/>
    </xf>
    <xf numFmtId="49" fontId="49" fillId="27" borderId="7" xfId="151" applyNumberFormat="1" applyFont="1" applyFill="1" applyBorder="1" applyAlignment="1">
      <alignment horizontal="center" vertical="center"/>
    </xf>
    <xf numFmtId="0" fontId="49" fillId="2" borderId="1" xfId="151" applyFont="1" applyFill="1" applyBorder="1" applyAlignment="1">
      <alignment horizontal="left" vertical="center" wrapText="1"/>
    </xf>
    <xf numFmtId="167" fontId="49" fillId="0" borderId="1" xfId="151" applyNumberFormat="1" applyFont="1" applyBorder="1" applyAlignment="1">
      <alignment horizontal="center" vertical="center"/>
    </xf>
    <xf numFmtId="167" fontId="29" fillId="0" borderId="1" xfId="0" applyNumberFormat="1" applyFont="1" applyBorder="1" applyAlignment="1">
      <alignment horizontal="center" vertical="center"/>
    </xf>
    <xf numFmtId="167" fontId="49" fillId="2" borderId="1" xfId="151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vertical="center"/>
    </xf>
    <xf numFmtId="167" fontId="30" fillId="3" borderId="1" xfId="0" applyNumberFormat="1" applyFont="1" applyFill="1" applyBorder="1" applyAlignment="1"/>
    <xf numFmtId="0" fontId="30" fillId="32" borderId="7" xfId="152" applyFont="1" applyFill="1" applyBorder="1" applyAlignment="1">
      <alignment horizontal="left" vertical="center" wrapText="1"/>
    </xf>
    <xf numFmtId="0" fontId="48" fillId="3" borderId="1" xfId="0" applyFont="1" applyFill="1" applyBorder="1" applyAlignment="1">
      <alignment vertical="center"/>
    </xf>
    <xf numFmtId="167" fontId="48" fillId="3" borderId="1" xfId="0" applyNumberFormat="1" applyFont="1" applyFill="1" applyBorder="1" applyAlignment="1"/>
    <xf numFmtId="0" fontId="49" fillId="27" borderId="8" xfId="152" applyFont="1" applyFill="1" applyBorder="1" applyAlignment="1">
      <alignment horizontal="left" vertical="center" wrapText="1"/>
    </xf>
    <xf numFmtId="0" fontId="49" fillId="27" borderId="2" xfId="152" applyFont="1" applyFill="1" applyBorder="1" applyAlignment="1">
      <alignment horizontal="left" vertical="center" wrapText="1"/>
    </xf>
    <xf numFmtId="0" fontId="49" fillId="27" borderId="8" xfId="152" applyFont="1" applyFill="1" applyBorder="1" applyAlignment="1">
      <alignment horizontal="center" vertical="center" wrapText="1"/>
    </xf>
    <xf numFmtId="0" fontId="49" fillId="27" borderId="2" xfId="152" applyFont="1" applyFill="1" applyBorder="1" applyAlignment="1">
      <alignment horizontal="center" vertical="center" wrapText="1"/>
    </xf>
    <xf numFmtId="1" fontId="49" fillId="27" borderId="8" xfId="152" applyNumberFormat="1" applyFont="1" applyFill="1" applyBorder="1" applyAlignment="1">
      <alignment horizontal="center" vertical="center"/>
    </xf>
    <xf numFmtId="0" fontId="49" fillId="0" borderId="2" xfId="152" applyFont="1" applyBorder="1" applyAlignment="1">
      <alignment horizontal="center" vertical="center"/>
    </xf>
    <xf numFmtId="1" fontId="49" fillId="27" borderId="8" xfId="152" applyNumberFormat="1" applyFont="1" applyFill="1" applyBorder="1" applyAlignment="1">
      <alignment horizontal="center" vertical="center" wrapText="1"/>
    </xf>
    <xf numFmtId="0" fontId="49" fillId="0" borderId="2" xfId="152" applyFont="1" applyBorder="1" applyAlignment="1">
      <alignment horizontal="center" vertical="center" wrapText="1"/>
    </xf>
    <xf numFmtId="167" fontId="48" fillId="33" borderId="1" xfId="152" applyNumberFormat="1" applyFont="1" applyFill="1" applyBorder="1" applyAlignment="1">
      <alignment horizontal="center" vertical="center"/>
    </xf>
    <xf numFmtId="49" fontId="48" fillId="27" borderId="8" xfId="152" applyNumberFormat="1" applyFont="1" applyFill="1" applyBorder="1" applyAlignment="1">
      <alignment horizontal="center" vertical="center"/>
    </xf>
    <xf numFmtId="49" fontId="48" fillId="27" borderId="2" xfId="152" applyNumberFormat="1" applyFont="1" applyFill="1" applyBorder="1" applyAlignment="1">
      <alignment horizontal="center" vertical="center"/>
    </xf>
    <xf numFmtId="49" fontId="49" fillId="27" borderId="8" xfId="152" applyNumberFormat="1" applyFont="1" applyFill="1" applyBorder="1" applyAlignment="1">
      <alignment horizontal="center" vertical="center"/>
    </xf>
    <xf numFmtId="49" fontId="49" fillId="27" borderId="2" xfId="152" applyNumberFormat="1" applyFont="1" applyFill="1" applyBorder="1" applyAlignment="1">
      <alignment horizontal="center" vertical="center"/>
    </xf>
    <xf numFmtId="0" fontId="49" fillId="27" borderId="1" xfId="152" applyFont="1" applyFill="1" applyBorder="1" applyAlignment="1">
      <alignment horizontal="left" vertical="center" wrapText="1"/>
    </xf>
    <xf numFmtId="167" fontId="49" fillId="27" borderId="8" xfId="152" applyNumberFormat="1" applyFont="1" applyFill="1" applyBorder="1" applyAlignment="1">
      <alignment horizontal="center" vertical="center" wrapText="1"/>
    </xf>
    <xf numFmtId="167" fontId="49" fillId="0" borderId="2" xfId="152" applyNumberFormat="1" applyFont="1" applyBorder="1" applyAlignment="1">
      <alignment horizontal="center" vertical="center" wrapText="1"/>
    </xf>
    <xf numFmtId="167" fontId="49" fillId="27" borderId="2" xfId="152" applyNumberFormat="1" applyFont="1" applyFill="1" applyBorder="1" applyAlignment="1">
      <alignment horizontal="center" vertical="center" wrapText="1"/>
    </xf>
    <xf numFmtId="167" fontId="49" fillId="27" borderId="1" xfId="152" applyNumberFormat="1" applyFont="1" applyFill="1" applyBorder="1" applyAlignment="1">
      <alignment horizontal="center" vertical="center" wrapText="1"/>
    </xf>
    <xf numFmtId="0" fontId="49" fillId="27" borderId="7" xfId="152" applyFont="1" applyFill="1" applyBorder="1" applyAlignment="1">
      <alignment horizontal="left" vertical="center" wrapText="1"/>
    </xf>
    <xf numFmtId="0" fontId="49" fillId="27" borderId="7" xfId="152" applyFont="1" applyFill="1" applyBorder="1" applyAlignment="1">
      <alignment horizontal="center" vertical="center" wrapText="1"/>
    </xf>
    <xf numFmtId="0" fontId="49" fillId="0" borderId="7" xfId="152" applyFont="1" applyBorder="1" applyAlignment="1">
      <alignment horizontal="center" vertical="center" wrapText="1"/>
    </xf>
    <xf numFmtId="1" fontId="49" fillId="27" borderId="7" xfId="152" applyNumberFormat="1" applyFont="1" applyFill="1" applyBorder="1" applyAlignment="1">
      <alignment horizontal="center" vertical="center" wrapText="1"/>
    </xf>
    <xf numFmtId="49" fontId="48" fillId="27" borderId="7" xfId="152" applyNumberFormat="1" applyFont="1" applyFill="1" applyBorder="1" applyAlignment="1">
      <alignment horizontal="center" vertical="center"/>
    </xf>
    <xf numFmtId="49" fontId="49" fillId="27" borderId="7" xfId="152" applyNumberFormat="1" applyFont="1" applyFill="1" applyBorder="1" applyAlignment="1">
      <alignment horizontal="center" vertical="center"/>
    </xf>
    <xf numFmtId="167" fontId="49" fillId="0" borderId="7" xfId="152" applyNumberFormat="1" applyFont="1" applyBorder="1" applyAlignment="1">
      <alignment horizontal="center" vertical="center" wrapText="1"/>
    </xf>
    <xf numFmtId="167" fontId="49" fillId="27" borderId="7" xfId="152" applyNumberFormat="1" applyFont="1" applyFill="1" applyBorder="1" applyAlignment="1">
      <alignment horizontal="center" vertical="center" wrapText="1"/>
    </xf>
    <xf numFmtId="0" fontId="48" fillId="27" borderId="1" xfId="152" applyFont="1" applyFill="1" applyBorder="1" applyAlignment="1">
      <alignment horizontal="left" vertical="center" wrapText="1"/>
    </xf>
    <xf numFmtId="167" fontId="48" fillId="27" borderId="8" xfId="152" applyNumberFormat="1" applyFont="1" applyFill="1" applyBorder="1" applyAlignment="1">
      <alignment horizontal="center" vertical="center" wrapText="1"/>
    </xf>
    <xf numFmtId="0" fontId="48" fillId="27" borderId="8" xfId="152" applyFont="1" applyFill="1" applyBorder="1" applyAlignment="1">
      <alignment horizontal="center" vertical="center"/>
    </xf>
    <xf numFmtId="0" fontId="49" fillId="0" borderId="7" xfId="152" applyFont="1" applyBorder="1" applyAlignment="1">
      <alignment horizontal="center" vertical="center"/>
    </xf>
    <xf numFmtId="0" fontId="48" fillId="27" borderId="7" xfId="152" applyFont="1" applyFill="1" applyBorder="1" applyAlignment="1">
      <alignment horizontal="center" vertical="center"/>
    </xf>
    <xf numFmtId="168" fontId="44" fillId="0" borderId="8" xfId="159" applyNumberFormat="1" applyFont="1" applyBorder="1" applyAlignment="1">
      <alignment horizontal="center" vertical="center"/>
    </xf>
    <xf numFmtId="168" fontId="44" fillId="0" borderId="2" xfId="159" applyNumberFormat="1" applyFont="1" applyBorder="1" applyAlignment="1">
      <alignment horizontal="center" vertical="center"/>
    </xf>
    <xf numFmtId="169" fontId="45" fillId="0" borderId="1" xfId="159" applyNumberFormat="1" applyFont="1" applyBorder="1" applyAlignment="1">
      <alignment horizontal="center" vertical="center"/>
    </xf>
    <xf numFmtId="169" fontId="45" fillId="0" borderId="8" xfId="159" applyNumberFormat="1" applyFont="1" applyBorder="1" applyAlignment="1">
      <alignment horizontal="center" vertical="center"/>
    </xf>
    <xf numFmtId="0" fontId="45" fillId="2" borderId="1" xfId="159" applyFont="1" applyFill="1" applyBorder="1" applyAlignment="1">
      <alignment horizontal="center" vertical="center"/>
    </xf>
    <xf numFmtId="0" fontId="45" fillId="2" borderId="8" xfId="159" applyFont="1" applyFill="1" applyBorder="1" applyAlignment="1">
      <alignment horizontal="center" vertical="center"/>
    </xf>
    <xf numFmtId="0" fontId="45" fillId="2" borderId="13" xfId="2" applyFont="1" applyFill="1" applyBorder="1" applyAlignment="1">
      <alignment horizontal="left" vertical="center" wrapText="1"/>
    </xf>
    <xf numFmtId="0" fontId="45" fillId="2" borderId="30" xfId="2" applyFont="1" applyFill="1" applyBorder="1" applyAlignment="1">
      <alignment horizontal="left" vertical="center" wrapText="1"/>
    </xf>
    <xf numFmtId="167" fontId="45" fillId="0" borderId="0" xfId="159" applyNumberFormat="1" applyFont="1">
      <alignment vertical="center"/>
    </xf>
    <xf numFmtId="167" fontId="45" fillId="2" borderId="8" xfId="159" applyNumberFormat="1" applyFont="1" applyFill="1" applyBorder="1" applyAlignment="1">
      <alignment horizontal="center" vertical="center" wrapText="1"/>
    </xf>
    <xf numFmtId="167" fontId="45" fillId="2" borderId="2" xfId="159" applyNumberFormat="1" applyFont="1" applyFill="1" applyBorder="1" applyAlignment="1">
      <alignment horizontal="center" vertical="center" wrapText="1"/>
    </xf>
    <xf numFmtId="167" fontId="45" fillId="2" borderId="8" xfId="159" applyNumberFormat="1" applyFont="1" applyFill="1" applyBorder="1" applyAlignment="1">
      <alignment horizontal="center" vertical="center"/>
    </xf>
    <xf numFmtId="167" fontId="45" fillId="2" borderId="2" xfId="159" applyNumberFormat="1" applyFont="1" applyFill="1" applyBorder="1" applyAlignment="1">
      <alignment horizontal="center" vertical="center"/>
    </xf>
    <xf numFmtId="0" fontId="45" fillId="0" borderId="1" xfId="151" applyFont="1" applyBorder="1" applyAlignment="1">
      <alignment horizontal="center"/>
    </xf>
    <xf numFmtId="168" fontId="48" fillId="27" borderId="1" xfId="151" applyNumberFormat="1" applyFont="1" applyFill="1" applyBorder="1" applyAlignment="1">
      <alignment horizontal="center" vertical="center"/>
    </xf>
    <xf numFmtId="169" fontId="49" fillId="0" borderId="8" xfId="151" applyNumberFormat="1" applyFont="1" applyBorder="1" applyAlignment="1">
      <alignment horizontal="center" vertical="center"/>
    </xf>
    <xf numFmtId="169" fontId="49" fillId="0" borderId="7" xfId="151" applyNumberFormat="1" applyFont="1" applyBorder="1" applyAlignment="1">
      <alignment horizontal="center" vertical="center"/>
    </xf>
    <xf numFmtId="0" fontId="45" fillId="0" borderId="8" xfId="151" applyFont="1" applyBorder="1"/>
    <xf numFmtId="0" fontId="45" fillId="0" borderId="7" xfId="151" applyFont="1" applyBorder="1"/>
    <xf numFmtId="168" fontId="44" fillId="0" borderId="1" xfId="159" applyNumberFormat="1" applyFont="1" applyBorder="1" applyAlignment="1">
      <alignment horizontal="center" vertical="center"/>
    </xf>
    <xf numFmtId="0" fontId="45" fillId="0" borderId="30" xfId="159" applyFont="1" applyBorder="1" applyAlignment="1">
      <alignment horizontal="left" vertical="center" wrapText="1"/>
    </xf>
    <xf numFmtId="0" fontId="45" fillId="0" borderId="9" xfId="159" applyFont="1" applyBorder="1" applyAlignment="1">
      <alignment horizontal="left" vertical="center" wrapText="1"/>
    </xf>
    <xf numFmtId="167" fontId="45" fillId="2" borderId="7" xfId="159" applyNumberFormat="1" applyFont="1" applyFill="1" applyBorder="1" applyAlignment="1">
      <alignment horizontal="center" vertical="center" wrapText="1"/>
    </xf>
    <xf numFmtId="167" fontId="45" fillId="2" borderId="7" xfId="159" applyNumberFormat="1" applyFont="1" applyFill="1" applyBorder="1" applyAlignment="1">
      <alignment horizontal="center" vertical="center"/>
    </xf>
    <xf numFmtId="0" fontId="45" fillId="0" borderId="8" xfId="151" applyFont="1" applyBorder="1" applyAlignment="1">
      <alignment vertical="center"/>
    </xf>
    <xf numFmtId="0" fontId="45" fillId="0" borderId="7" xfId="151" applyFont="1" applyBorder="1" applyAlignment="1">
      <alignment vertical="center"/>
    </xf>
    <xf numFmtId="0" fontId="45" fillId="0" borderId="8" xfId="151" applyFont="1" applyBorder="1" applyAlignment="1">
      <alignment horizontal="center"/>
    </xf>
    <xf numFmtId="0" fontId="45" fillId="0" borderId="7" xfId="151" applyFont="1" applyBorder="1" applyAlignment="1">
      <alignment horizontal="center"/>
    </xf>
    <xf numFmtId="0" fontId="49" fillId="0" borderId="8" xfId="164" applyFont="1" applyFill="1" applyBorder="1" applyAlignment="1">
      <alignment horizontal="left" vertical="top" wrapText="1"/>
    </xf>
    <xf numFmtId="0" fontId="49" fillId="0" borderId="7" xfId="164" applyFont="1" applyFill="1" applyBorder="1" applyAlignment="1">
      <alignment horizontal="left" vertical="top" wrapText="1"/>
    </xf>
    <xf numFmtId="167" fontId="45" fillId="2" borderId="8" xfId="151" applyNumberFormat="1" applyFont="1" applyFill="1" applyBorder="1" applyAlignment="1">
      <alignment horizontal="center" vertical="center"/>
    </xf>
    <xf numFmtId="167" fontId="45" fillId="2" borderId="7" xfId="151" applyNumberFormat="1" applyFont="1" applyFill="1" applyBorder="1" applyAlignment="1">
      <alignment horizontal="center" vertical="center"/>
    </xf>
    <xf numFmtId="49" fontId="44" fillId="2" borderId="8" xfId="0" applyNumberFormat="1" applyFont="1" applyFill="1" applyBorder="1" applyAlignment="1">
      <alignment horizontal="center" vertical="center"/>
    </xf>
    <xf numFmtId="49" fontId="44" fillId="2" borderId="7" xfId="0" applyNumberFormat="1" applyFont="1" applyFill="1" applyBorder="1" applyAlignment="1">
      <alignment horizontal="center" vertical="center"/>
    </xf>
    <xf numFmtId="49" fontId="45" fillId="2" borderId="8" xfId="0" applyNumberFormat="1" applyFont="1" applyFill="1" applyBorder="1" applyAlignment="1">
      <alignment horizontal="center" vertical="center"/>
    </xf>
    <xf numFmtId="49" fontId="45" fillId="2" borderId="7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left" vertical="top" wrapText="1"/>
    </xf>
    <xf numFmtId="0" fontId="29" fillId="0" borderId="7" xfId="0" applyFont="1" applyBorder="1" applyAlignment="1">
      <alignment horizontal="left" vertical="top" wrapText="1"/>
    </xf>
    <xf numFmtId="0" fontId="44" fillId="3" borderId="3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168" fontId="48" fillId="2" borderId="8" xfId="151" applyNumberFormat="1" applyFont="1" applyFill="1" applyBorder="1" applyAlignment="1">
      <alignment horizontal="center" vertical="center"/>
    </xf>
    <xf numFmtId="168" fontId="48" fillId="2" borderId="7" xfId="151" applyNumberFormat="1" applyFont="1" applyFill="1" applyBorder="1" applyAlignment="1">
      <alignment horizontal="center" vertical="center"/>
    </xf>
    <xf numFmtId="169" fontId="49" fillId="2" borderId="8" xfId="151" applyNumberFormat="1" applyFont="1" applyFill="1" applyBorder="1" applyAlignment="1">
      <alignment horizontal="center" vertical="center"/>
    </xf>
    <xf numFmtId="169" fontId="49" fillId="2" borderId="7" xfId="151" applyNumberFormat="1" applyFont="1" applyFill="1" applyBorder="1" applyAlignment="1">
      <alignment horizontal="center" vertical="center"/>
    </xf>
    <xf numFmtId="0" fontId="49" fillId="2" borderId="8" xfId="151" applyFont="1" applyFill="1" applyBorder="1" applyAlignment="1">
      <alignment horizontal="center" vertical="center"/>
    </xf>
    <xf numFmtId="0" fontId="49" fillId="2" borderId="7" xfId="151" applyFont="1" applyFill="1" applyBorder="1" applyAlignment="1">
      <alignment horizontal="center" vertical="center"/>
    </xf>
    <xf numFmtId="0" fontId="49" fillId="2" borderId="8" xfId="164" applyFont="1" applyFill="1" applyBorder="1" applyAlignment="1">
      <alignment horizontal="left" vertical="top" wrapText="1"/>
    </xf>
    <xf numFmtId="0" fontId="49" fillId="2" borderId="7" xfId="164" applyFont="1" applyFill="1" applyBorder="1" applyAlignment="1">
      <alignment horizontal="left" vertical="top" wrapText="1"/>
    </xf>
    <xf numFmtId="167" fontId="49" fillId="2" borderId="8" xfId="151" applyNumberFormat="1" applyFont="1" applyFill="1" applyBorder="1" applyAlignment="1">
      <alignment horizontal="center" vertical="center" wrapText="1"/>
    </xf>
    <xf numFmtId="167" fontId="49" fillId="2" borderId="7" xfId="151" applyNumberFormat="1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left" vertical="center" wrapText="1"/>
    </xf>
    <xf numFmtId="0" fontId="45" fillId="0" borderId="7" xfId="0" applyFont="1" applyBorder="1" applyAlignment="1">
      <alignment horizontal="left" vertical="center" wrapText="1"/>
    </xf>
    <xf numFmtId="167" fontId="45" fillId="2" borderId="8" xfId="0" applyNumberFormat="1" applyFont="1" applyFill="1" applyBorder="1" applyAlignment="1">
      <alignment horizontal="center" vertical="center" wrapText="1"/>
    </xf>
    <xf numFmtId="167" fontId="45" fillId="2" borderId="7" xfId="0" applyNumberFormat="1" applyFont="1" applyFill="1" applyBorder="1" applyAlignment="1">
      <alignment horizontal="center" vertical="center" wrapText="1"/>
    </xf>
    <xf numFmtId="167" fontId="44" fillId="3" borderId="8" xfId="0" applyNumberFormat="1" applyFont="1" applyFill="1" applyBorder="1" applyAlignment="1"/>
    <xf numFmtId="167" fontId="44" fillId="3" borderId="47" xfId="0" applyNumberFormat="1" applyFont="1" applyFill="1" applyBorder="1" applyAlignment="1"/>
    <xf numFmtId="168" fontId="44" fillId="0" borderId="8" xfId="0" applyNumberFormat="1" applyFont="1" applyBorder="1" applyAlignment="1">
      <alignment horizontal="center" vertical="center"/>
    </xf>
    <xf numFmtId="168" fontId="44" fillId="0" borderId="7" xfId="0" applyNumberFormat="1" applyFont="1" applyBorder="1" applyAlignment="1">
      <alignment horizontal="center" vertical="center"/>
    </xf>
    <xf numFmtId="169" fontId="45" fillId="0" borderId="8" xfId="0" applyNumberFormat="1" applyFont="1" applyBorder="1" applyAlignment="1">
      <alignment horizontal="center" vertical="center"/>
    </xf>
    <xf numFmtId="169" fontId="45" fillId="0" borderId="7" xfId="0" applyNumberFormat="1" applyFont="1" applyBorder="1" applyAlignment="1">
      <alignment horizontal="center" vertical="center"/>
    </xf>
    <xf numFmtId="0" fontId="45" fillId="2" borderId="8" xfId="0" applyFont="1" applyFill="1" applyBorder="1" applyAlignment="1">
      <alignment horizontal="center" vertical="center"/>
    </xf>
    <xf numFmtId="0" fontId="45" fillId="2" borderId="7" xfId="0" applyFont="1" applyFill="1" applyBorder="1" applyAlignment="1">
      <alignment horizontal="center" vertical="center"/>
    </xf>
    <xf numFmtId="0" fontId="45" fillId="2" borderId="11" xfId="0" applyFont="1" applyFill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0" fontId="45" fillId="2" borderId="8" xfId="2" applyFont="1" applyFill="1" applyBorder="1" applyAlignment="1">
      <alignment horizontal="left" vertical="center" wrapText="1"/>
    </xf>
    <xf numFmtId="0" fontId="45" fillId="2" borderId="7" xfId="2" applyFont="1" applyFill="1" applyBorder="1" applyAlignment="1">
      <alignment horizontal="left" vertical="center" wrapText="1"/>
    </xf>
    <xf numFmtId="167" fontId="45" fillId="2" borderId="1" xfId="0" applyNumberFormat="1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left" vertical="center" wrapText="1"/>
    </xf>
    <xf numFmtId="0" fontId="29" fillId="2" borderId="7" xfId="0" applyFont="1" applyFill="1" applyBorder="1" applyAlignment="1">
      <alignment horizontal="left" vertical="center" wrapText="1"/>
    </xf>
    <xf numFmtId="0" fontId="45" fillId="2" borderId="8" xfId="0" applyFont="1" applyFill="1" applyBorder="1" applyAlignment="1">
      <alignment horizontal="center" vertical="center" wrapText="1"/>
    </xf>
    <xf numFmtId="0" fontId="45" fillId="2" borderId="7" xfId="0" applyFont="1" applyFill="1" applyBorder="1" applyAlignment="1">
      <alignment horizontal="center" vertical="center" wrapText="1"/>
    </xf>
    <xf numFmtId="49" fontId="44" fillId="2" borderId="36" xfId="0" applyNumberFormat="1" applyFont="1" applyFill="1" applyBorder="1" applyAlignment="1">
      <alignment horizontal="center" vertical="center"/>
    </xf>
    <xf numFmtId="49" fontId="44" fillId="2" borderId="35" xfId="0" applyNumberFormat="1" applyFont="1" applyFill="1" applyBorder="1" applyAlignment="1">
      <alignment horizontal="center" vertical="center"/>
    </xf>
    <xf numFmtId="49" fontId="45" fillId="2" borderId="2" xfId="0" applyNumberFormat="1" applyFont="1" applyFill="1" applyBorder="1" applyAlignment="1">
      <alignment horizontal="center" vertical="center"/>
    </xf>
    <xf numFmtId="0" fontId="45" fillId="2" borderId="8" xfId="0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 vertical="center" wrapText="1"/>
    </xf>
    <xf numFmtId="167" fontId="45" fillId="2" borderId="2" xfId="0" applyNumberFormat="1" applyFont="1" applyFill="1" applyBorder="1" applyAlignment="1">
      <alignment horizontal="center" vertical="center" wrapText="1"/>
    </xf>
    <xf numFmtId="49" fontId="44" fillId="2" borderId="45" xfId="0" applyNumberFormat="1" applyFont="1" applyFill="1" applyBorder="1" applyAlignment="1">
      <alignment horizontal="center" vertical="center"/>
    </xf>
    <xf numFmtId="49" fontId="45" fillId="2" borderId="11" xfId="0" applyNumberFormat="1" applyFont="1" applyFill="1" applyBorder="1" applyAlignment="1">
      <alignment horizontal="center" vertical="center"/>
    </xf>
    <xf numFmtId="49" fontId="45" fillId="2" borderId="3" xfId="0" applyNumberFormat="1" applyFont="1" applyFill="1" applyBorder="1" applyAlignment="1">
      <alignment horizontal="center" vertical="center"/>
    </xf>
    <xf numFmtId="49" fontId="45" fillId="2" borderId="10" xfId="0" applyNumberFormat="1" applyFont="1" applyFill="1" applyBorder="1" applyAlignment="1">
      <alignment horizontal="center" vertical="center"/>
    </xf>
    <xf numFmtId="0" fontId="45" fillId="2" borderId="7" xfId="0" applyFont="1" applyFill="1" applyBorder="1" applyAlignment="1">
      <alignment horizontal="left" vertical="center" wrapText="1"/>
    </xf>
    <xf numFmtId="0" fontId="45" fillId="2" borderId="4" xfId="0" applyFont="1" applyFill="1" applyBorder="1" applyAlignment="1">
      <alignment horizontal="center" vertical="center" wrapText="1"/>
    </xf>
    <xf numFmtId="0" fontId="45" fillId="2" borderId="5" xfId="0" applyFont="1" applyFill="1" applyBorder="1" applyAlignment="1">
      <alignment horizontal="center" vertical="center" wrapText="1"/>
    </xf>
    <xf numFmtId="0" fontId="45" fillId="2" borderId="46" xfId="0" applyFont="1" applyFill="1" applyBorder="1" applyAlignment="1">
      <alignment horizontal="center" vertical="center" wrapText="1"/>
    </xf>
    <xf numFmtId="0" fontId="45" fillId="0" borderId="8" xfId="2" applyFont="1" applyFill="1" applyBorder="1" applyAlignment="1">
      <alignment horizontal="left" vertical="center" wrapText="1"/>
    </xf>
    <xf numFmtId="0" fontId="45" fillId="0" borderId="2" xfId="2" applyFont="1" applyFill="1" applyBorder="1" applyAlignment="1">
      <alignment horizontal="left" vertical="center" wrapText="1"/>
    </xf>
    <xf numFmtId="0" fontId="45" fillId="0" borderId="7" xfId="2" applyFont="1" applyFill="1" applyBorder="1" applyAlignment="1">
      <alignment horizontal="left" vertical="center" wrapText="1"/>
    </xf>
    <xf numFmtId="0" fontId="45" fillId="2" borderId="8" xfId="2" applyFont="1" applyFill="1" applyBorder="1" applyAlignment="1">
      <alignment horizontal="center" vertical="center" wrapText="1"/>
    </xf>
    <xf numFmtId="0" fontId="45" fillId="2" borderId="2" xfId="2" applyFont="1" applyFill="1" applyBorder="1" applyAlignment="1">
      <alignment horizontal="center" vertical="center" wrapText="1"/>
    </xf>
    <xf numFmtId="0" fontId="45" fillId="2" borderId="7" xfId="2" applyFont="1" applyFill="1" applyBorder="1" applyAlignment="1">
      <alignment horizontal="center" vertical="center" wrapText="1"/>
    </xf>
    <xf numFmtId="167" fontId="45" fillId="0" borderId="8" xfId="2" applyNumberFormat="1" applyFont="1" applyFill="1" applyBorder="1" applyAlignment="1">
      <alignment horizontal="center" vertical="center" wrapText="1"/>
    </xf>
    <xf numFmtId="167" fontId="45" fillId="0" borderId="2" xfId="2" applyNumberFormat="1" applyFont="1" applyFill="1" applyBorder="1" applyAlignment="1">
      <alignment horizontal="center" vertical="center" wrapText="1"/>
    </xf>
    <xf numFmtId="167" fontId="45" fillId="0" borderId="7" xfId="2" applyNumberFormat="1" applyFont="1" applyFill="1" applyBorder="1" applyAlignment="1">
      <alignment horizontal="center" vertical="center" wrapText="1"/>
    </xf>
    <xf numFmtId="168" fontId="44" fillId="0" borderId="36" xfId="0" applyNumberFormat="1" applyFont="1" applyBorder="1" applyAlignment="1">
      <alignment horizontal="center" vertical="center"/>
    </xf>
    <xf numFmtId="168" fontId="44" fillId="0" borderId="45" xfId="0" applyNumberFormat="1" applyFont="1" applyBorder="1" applyAlignment="1">
      <alignment horizontal="center" vertical="center"/>
    </xf>
    <xf numFmtId="0" fontId="45" fillId="0" borderId="8" xfId="0" applyFont="1" applyBorder="1" applyAlignment="1">
      <alignment horizontal="left" vertical="center"/>
    </xf>
    <xf numFmtId="0" fontId="45" fillId="0" borderId="7" xfId="0" applyFont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 wrapText="1"/>
    </xf>
    <xf numFmtId="0" fontId="44" fillId="3" borderId="5" xfId="0" applyFont="1" applyFill="1" applyBorder="1" applyAlignment="1">
      <alignment horizontal="left" vertical="center" wrapText="1"/>
    </xf>
    <xf numFmtId="0" fontId="44" fillId="3" borderId="6" xfId="0" applyFont="1" applyFill="1" applyBorder="1" applyAlignment="1">
      <alignment horizontal="left" vertical="center" wrapText="1"/>
    </xf>
    <xf numFmtId="0" fontId="30" fillId="4" borderId="11" xfId="0" applyFont="1" applyFill="1" applyBorder="1" applyAlignment="1">
      <alignment horizontal="left" vertical="center" wrapText="1"/>
    </xf>
    <xf numFmtId="0" fontId="30" fillId="4" borderId="14" xfId="0" applyFont="1" applyFill="1" applyBorder="1" applyAlignment="1">
      <alignment horizontal="left" vertical="center" wrapText="1"/>
    </xf>
    <xf numFmtId="0" fontId="44" fillId="3" borderId="1" xfId="0" applyFont="1" applyFill="1" applyBorder="1" applyAlignment="1">
      <alignment vertical="center"/>
    </xf>
    <xf numFmtId="167" fontId="45" fillId="3" borderId="1" xfId="0" applyNumberFormat="1" applyFont="1" applyFill="1" applyBorder="1" applyAlignment="1"/>
    <xf numFmtId="0" fontId="29" fillId="3" borderId="4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center" vertical="center" wrapText="1"/>
    </xf>
    <xf numFmtId="0" fontId="30" fillId="4" borderId="10" xfId="0" applyFont="1" applyFill="1" applyBorder="1" applyAlignment="1">
      <alignment horizontal="left"/>
    </xf>
    <xf numFmtId="0" fontId="30" fillId="4" borderId="12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left"/>
    </xf>
    <xf numFmtId="49" fontId="45" fillId="0" borderId="1" xfId="0" applyNumberFormat="1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left" vertical="center" wrapText="1"/>
    </xf>
    <xf numFmtId="0" fontId="49" fillId="0" borderId="7" xfId="0" applyFont="1" applyFill="1" applyBorder="1" applyAlignment="1">
      <alignment horizontal="left" vertical="center" wrapText="1"/>
    </xf>
    <xf numFmtId="167" fontId="49" fillId="0" borderId="8" xfId="0" applyNumberFormat="1" applyFont="1" applyFill="1" applyBorder="1" applyAlignment="1">
      <alignment horizontal="center" vertical="center" wrapText="1"/>
    </xf>
    <xf numFmtId="167" fontId="49" fillId="0" borderId="7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 wrapText="1"/>
    </xf>
    <xf numFmtId="49" fontId="29" fillId="0" borderId="8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4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167" fontId="29" fillId="2" borderId="8" xfId="0" applyNumberFormat="1" applyFont="1" applyFill="1" applyBorder="1" applyAlignment="1">
      <alignment horizontal="center" vertical="center" wrapText="1"/>
    </xf>
    <xf numFmtId="167" fontId="29" fillId="2" borderId="7" xfId="0" applyNumberFormat="1" applyFont="1" applyFill="1" applyBorder="1" applyAlignment="1">
      <alignment horizontal="center" vertical="center" wrapText="1"/>
    </xf>
    <xf numFmtId="167" fontId="29" fillId="2" borderId="8" xfId="150" applyNumberFormat="1" applyFont="1" applyFill="1" applyBorder="1" applyAlignment="1">
      <alignment horizontal="center" vertical="center" wrapText="1"/>
    </xf>
    <xf numFmtId="167" fontId="29" fillId="2" borderId="7" xfId="15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49" fontId="29" fillId="0" borderId="7" xfId="0" applyNumberFormat="1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167" fontId="45" fillId="2" borderId="8" xfId="150" applyNumberFormat="1" applyFont="1" applyFill="1" applyBorder="1" applyAlignment="1">
      <alignment horizontal="center" vertical="center" wrapText="1"/>
    </xf>
    <xf numFmtId="167" fontId="45" fillId="2" borderId="7" xfId="150" applyNumberFormat="1" applyFont="1" applyFill="1" applyBorder="1" applyAlignment="1">
      <alignment horizontal="center" vertical="center" wrapText="1"/>
    </xf>
    <xf numFmtId="167" fontId="45" fillId="2" borderId="1" xfId="147" applyNumberFormat="1" applyFont="1" applyFill="1" applyBorder="1" applyAlignment="1">
      <alignment horizontal="center" vertical="center" wrapText="1"/>
    </xf>
    <xf numFmtId="49" fontId="44" fillId="0" borderId="8" xfId="0" applyNumberFormat="1" applyFont="1" applyFill="1" applyBorder="1" applyAlignment="1">
      <alignment horizontal="center" vertical="center"/>
    </xf>
    <xf numFmtId="49" fontId="44" fillId="0" borderId="7" xfId="0" applyNumberFormat="1" applyFont="1" applyFill="1" applyBorder="1" applyAlignment="1">
      <alignment horizontal="center" vertical="center"/>
    </xf>
    <xf numFmtId="49" fontId="44" fillId="0" borderId="8" xfId="0" applyNumberFormat="1" applyFont="1" applyFill="1" applyBorder="1" applyAlignment="1">
      <alignment vertical="center"/>
    </xf>
    <xf numFmtId="49" fontId="44" fillId="0" borderId="2" xfId="0" applyNumberFormat="1" applyFont="1" applyFill="1" applyBorder="1" applyAlignment="1">
      <alignment vertical="center"/>
    </xf>
    <xf numFmtId="167" fontId="44" fillId="3" borderId="1" xfId="0" applyNumberFormat="1" applyFont="1" applyFill="1" applyBorder="1"/>
    <xf numFmtId="0" fontId="29" fillId="0" borderId="4" xfId="0" applyFont="1" applyFill="1" applyBorder="1" applyAlignment="1">
      <alignment vertical="center" wrapText="1"/>
    </xf>
    <xf numFmtId="167" fontId="45" fillId="2" borderId="8" xfId="147" applyNumberFormat="1" applyFont="1" applyFill="1" applyBorder="1" applyAlignment="1">
      <alignment horizontal="center" vertical="center" wrapText="1"/>
    </xf>
    <xf numFmtId="167" fontId="45" fillId="2" borderId="7" xfId="147" applyNumberFormat="1" applyFont="1" applyFill="1" applyBorder="1" applyAlignment="1">
      <alignment horizontal="center" vertical="center" wrapText="1"/>
    </xf>
    <xf numFmtId="49" fontId="44" fillId="2" borderId="2" xfId="0" applyNumberFormat="1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left" vertical="center" wrapText="1"/>
    </xf>
    <xf numFmtId="0" fontId="44" fillId="3" borderId="11" xfId="0" applyFont="1" applyFill="1" applyBorder="1" applyAlignment="1">
      <alignment horizontal="left" vertical="center"/>
    </xf>
    <xf numFmtId="0" fontId="44" fillId="3" borderId="14" xfId="0" applyFont="1" applyFill="1" applyBorder="1" applyAlignment="1">
      <alignment horizontal="left" vertical="center"/>
    </xf>
    <xf numFmtId="0" fontId="44" fillId="3" borderId="13" xfId="0" applyFont="1" applyFill="1" applyBorder="1" applyAlignment="1">
      <alignment horizontal="left" vertical="center"/>
    </xf>
    <xf numFmtId="167" fontId="44" fillId="3" borderId="8" xfId="0" applyNumberFormat="1" applyFont="1" applyFill="1" applyBorder="1"/>
    <xf numFmtId="0" fontId="30" fillId="4" borderId="9" xfId="0" applyFont="1" applyFill="1" applyBorder="1" applyAlignment="1">
      <alignment horizontal="left" vertical="center" wrapText="1"/>
    </xf>
    <xf numFmtId="49" fontId="44" fillId="0" borderId="1" xfId="0" applyNumberFormat="1" applyFont="1" applyBorder="1" applyAlignment="1">
      <alignment horizontal="center" vertical="center" wrapText="1"/>
    </xf>
    <xf numFmtId="167" fontId="44" fillId="0" borderId="8" xfId="0" applyNumberFormat="1" applyFont="1" applyBorder="1" applyAlignment="1">
      <alignment horizontal="center" vertical="center" wrapText="1"/>
    </xf>
    <xf numFmtId="167" fontId="44" fillId="0" borderId="7" xfId="0" applyNumberFormat="1" applyFont="1" applyBorder="1" applyAlignment="1">
      <alignment horizontal="center" vertical="center" wrapText="1"/>
    </xf>
    <xf numFmtId="0" fontId="44" fillId="3" borderId="1" xfId="0" applyFont="1" applyFill="1" applyBorder="1" applyAlignment="1">
      <alignment vertical="center" wrapText="1"/>
    </xf>
    <xf numFmtId="167" fontId="44" fillId="0" borderId="1" xfId="0" applyNumberFormat="1" applyFont="1" applyFill="1" applyBorder="1" applyAlignment="1">
      <alignment horizontal="center" vertical="center" wrapText="1"/>
    </xf>
    <xf numFmtId="0" fontId="45" fillId="0" borderId="8" xfId="0" applyFont="1" applyFill="1" applyBorder="1" applyAlignment="1">
      <alignment horizontal="left" vertical="center" wrapText="1"/>
    </xf>
    <xf numFmtId="0" fontId="45" fillId="0" borderId="2" xfId="0" applyFont="1" applyFill="1" applyBorder="1" applyAlignment="1">
      <alignment horizontal="left" vertical="center" wrapText="1"/>
    </xf>
    <xf numFmtId="49" fontId="45" fillId="0" borderId="8" xfId="0" applyNumberFormat="1" applyFont="1" applyFill="1" applyBorder="1" applyAlignment="1">
      <alignment horizontal="center" vertical="center"/>
    </xf>
    <xf numFmtId="49" fontId="45" fillId="0" borderId="7" xfId="0" applyNumberFormat="1" applyFont="1" applyFill="1" applyBorder="1" applyAlignment="1">
      <alignment horizontal="center" vertical="center"/>
    </xf>
    <xf numFmtId="49" fontId="45" fillId="0" borderId="8" xfId="0" applyNumberFormat="1" applyFont="1" applyFill="1" applyBorder="1" applyAlignment="1">
      <alignment vertical="center"/>
    </xf>
    <xf numFmtId="49" fontId="45" fillId="0" borderId="7" xfId="0" applyNumberFormat="1" applyFont="1" applyFill="1" applyBorder="1" applyAlignment="1">
      <alignment vertical="center"/>
    </xf>
    <xf numFmtId="0" fontId="45" fillId="0" borderId="8" xfId="0" applyFont="1" applyFill="1" applyBorder="1" applyAlignment="1">
      <alignment vertical="center" wrapText="1"/>
    </xf>
    <xf numFmtId="0" fontId="45" fillId="0" borderId="7" xfId="0" applyFont="1" applyFill="1" applyBorder="1" applyAlignment="1">
      <alignment vertical="center" wrapText="1"/>
    </xf>
    <xf numFmtId="167" fontId="45" fillId="0" borderId="8" xfId="0" applyNumberFormat="1" applyFont="1" applyFill="1" applyBorder="1" applyAlignment="1">
      <alignment horizontal="center" vertical="center" wrapText="1"/>
    </xf>
    <xf numFmtId="167" fontId="45" fillId="0" borderId="7" xfId="0" applyNumberFormat="1" applyFont="1" applyFill="1" applyBorder="1" applyAlignment="1">
      <alignment horizontal="center" vertical="center" wrapText="1"/>
    </xf>
    <xf numFmtId="167" fontId="45" fillId="0" borderId="1" xfId="0" applyNumberFormat="1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left" vertical="center" wrapText="1"/>
    </xf>
    <xf numFmtId="49" fontId="30" fillId="2" borderId="8" xfId="0" applyNumberFormat="1" applyFont="1" applyFill="1" applyBorder="1" applyAlignment="1">
      <alignment horizontal="center" vertical="top"/>
    </xf>
    <xf numFmtId="49" fontId="30" fillId="2" borderId="2" xfId="0" applyNumberFormat="1" applyFont="1" applyFill="1" applyBorder="1" applyAlignment="1">
      <alignment horizontal="center" vertical="top"/>
    </xf>
    <xf numFmtId="0" fontId="30" fillId="3" borderId="1" xfId="0" applyFont="1" applyFill="1" applyBorder="1" applyAlignment="1">
      <alignment horizontal="left" vertical="center" wrapText="1"/>
    </xf>
    <xf numFmtId="168" fontId="44" fillId="0" borderId="1" xfId="0" applyNumberFormat="1" applyFont="1" applyBorder="1" applyAlignment="1">
      <alignment horizontal="center" vertical="center"/>
    </xf>
    <xf numFmtId="0" fontId="44" fillId="3" borderId="1" xfId="0" applyFont="1" applyFill="1" applyBorder="1" applyAlignment="1">
      <alignment horizontal="left" vertical="center"/>
    </xf>
    <xf numFmtId="167" fontId="44" fillId="3" borderId="1" xfId="0" applyNumberFormat="1" applyFont="1" applyFill="1" applyBorder="1" applyAlignment="1">
      <alignment horizontal="center"/>
    </xf>
    <xf numFmtId="0" fontId="30" fillId="4" borderId="0" xfId="0" applyFont="1" applyFill="1" applyBorder="1" applyAlignment="1">
      <alignment horizontal="left" vertical="center" wrapText="1"/>
    </xf>
    <xf numFmtId="168" fontId="44" fillId="0" borderId="2" xfId="0" applyNumberFormat="1" applyFont="1" applyBorder="1" applyAlignment="1">
      <alignment horizontal="center" vertical="center"/>
    </xf>
    <xf numFmtId="49" fontId="45" fillId="0" borderId="1" xfId="0" applyNumberFormat="1" applyFont="1" applyFill="1" applyBorder="1" applyAlignment="1">
      <alignment horizontal="center" vertical="center" wrapText="1"/>
    </xf>
    <xf numFmtId="3" fontId="45" fillId="0" borderId="1" xfId="0" applyNumberFormat="1" applyFont="1" applyFill="1" applyBorder="1" applyAlignment="1">
      <alignment horizontal="center" vertical="center" wrapText="1"/>
    </xf>
    <xf numFmtId="167" fontId="29" fillId="0" borderId="8" xfId="0" applyNumberFormat="1" applyFont="1" applyBorder="1" applyAlignment="1">
      <alignment horizontal="center" vertical="center"/>
    </xf>
    <xf numFmtId="167" fontId="29" fillId="0" borderId="2" xfId="0" applyNumberFormat="1" applyFont="1" applyBorder="1" applyAlignment="1">
      <alignment horizontal="center" vertical="center"/>
    </xf>
    <xf numFmtId="167" fontId="29" fillId="0" borderId="7" xfId="0" applyNumberFormat="1" applyFont="1" applyBorder="1" applyAlignment="1">
      <alignment horizontal="center" vertical="center"/>
    </xf>
    <xf numFmtId="167" fontId="45" fillId="0" borderId="2" xfId="0" applyNumberFormat="1" applyFont="1" applyFill="1" applyBorder="1" applyAlignment="1">
      <alignment horizontal="center" vertical="center" wrapText="1"/>
    </xf>
    <xf numFmtId="168" fontId="45" fillId="2" borderId="8" xfId="0" applyNumberFormat="1" applyFont="1" applyFill="1" applyBorder="1" applyAlignment="1">
      <alignment horizontal="center" vertical="center"/>
    </xf>
    <xf numFmtId="168" fontId="45" fillId="2" borderId="7" xfId="0" applyNumberFormat="1" applyFont="1" applyFill="1" applyBorder="1" applyAlignment="1">
      <alignment horizontal="center" vertical="center"/>
    </xf>
    <xf numFmtId="168" fontId="30" fillId="2" borderId="8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167" fontId="30" fillId="2" borderId="6" xfId="1" applyNumberFormat="1" applyFont="1" applyFill="1" applyBorder="1" applyAlignment="1">
      <alignment horizontal="center" vertical="center" wrapText="1"/>
    </xf>
    <xf numFmtId="167" fontId="29" fillId="2" borderId="6" xfId="1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/>
    </xf>
    <xf numFmtId="49" fontId="30" fillId="2" borderId="7" xfId="0" applyNumberFormat="1" applyFont="1" applyFill="1" applyBorder="1" applyAlignment="1">
      <alignment horizontal="center" vertical="top"/>
    </xf>
    <xf numFmtId="49" fontId="45" fillId="2" borderId="8" xfId="0" applyNumberFormat="1" applyFont="1" applyFill="1" applyBorder="1" applyAlignment="1">
      <alignment horizontal="center" vertical="center" wrapText="1"/>
    </xf>
    <xf numFmtId="49" fontId="45" fillId="2" borderId="7" xfId="0" applyNumberFormat="1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left" vertical="center"/>
    </xf>
    <xf numFmtId="0" fontId="44" fillId="3" borderId="5" xfId="0" applyFont="1" applyFill="1" applyBorder="1" applyAlignment="1">
      <alignment horizontal="left" vertical="center"/>
    </xf>
    <xf numFmtId="0" fontId="44" fillId="3" borderId="6" xfId="0" applyFont="1" applyFill="1" applyBorder="1" applyAlignment="1">
      <alignment horizontal="left" vertical="center"/>
    </xf>
    <xf numFmtId="167" fontId="71" fillId="3" borderId="1" xfId="0" applyNumberFormat="1" applyFont="1" applyFill="1" applyBorder="1" applyAlignment="1">
      <alignment vertical="center"/>
    </xf>
    <xf numFmtId="0" fontId="45" fillId="28" borderId="4" xfId="0" applyFont="1" applyFill="1" applyBorder="1" applyAlignment="1">
      <alignment horizontal="left" vertical="center"/>
    </xf>
    <xf numFmtId="0" fontId="45" fillId="28" borderId="5" xfId="0" applyFont="1" applyFill="1" applyBorder="1" applyAlignment="1">
      <alignment horizontal="left" vertical="center"/>
    </xf>
    <xf numFmtId="0" fontId="45" fillId="28" borderId="6" xfId="0" applyFont="1" applyFill="1" applyBorder="1" applyAlignment="1">
      <alignment horizontal="left" vertical="center"/>
    </xf>
    <xf numFmtId="0" fontId="44" fillId="4" borderId="1" xfId="0" applyFont="1" applyFill="1" applyBorder="1" applyAlignment="1">
      <alignment horizontal="left"/>
    </xf>
    <xf numFmtId="168" fontId="4" fillId="0" borderId="8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/>
    </xf>
    <xf numFmtId="0" fontId="29" fillId="2" borderId="8" xfId="0" applyFont="1" applyFill="1" applyBorder="1" applyAlignment="1">
      <alignment vertical="top" wrapText="1"/>
    </xf>
    <xf numFmtId="0" fontId="29" fillId="2" borderId="7" xfId="0" applyFont="1" applyFill="1" applyBorder="1" applyAlignment="1">
      <alignment vertical="top" wrapText="1"/>
    </xf>
    <xf numFmtId="0" fontId="29" fillId="2" borderId="8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top"/>
    </xf>
    <xf numFmtId="0" fontId="30" fillId="2" borderId="4" xfId="0" applyFont="1" applyFill="1" applyBorder="1" applyAlignment="1">
      <alignment horizontal="center" vertical="top"/>
    </xf>
    <xf numFmtId="0" fontId="29" fillId="2" borderId="4" xfId="0" applyFont="1" applyFill="1" applyBorder="1" applyAlignment="1">
      <alignment horizontal="center" vertical="top"/>
    </xf>
    <xf numFmtId="0" fontId="30" fillId="2" borderId="8" xfId="0" applyFont="1" applyFill="1" applyBorder="1" applyAlignment="1">
      <alignment vertical="top" wrapText="1"/>
    </xf>
    <xf numFmtId="0" fontId="30" fillId="2" borderId="7" xfId="0" applyFont="1" applyFill="1" applyBorder="1" applyAlignment="1">
      <alignment vertical="top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49" fontId="45" fillId="2" borderId="1" xfId="0" applyNumberFormat="1" applyFont="1" applyFill="1" applyBorder="1" applyAlignment="1">
      <alignment horizontal="center" vertical="center"/>
    </xf>
    <xf numFmtId="49" fontId="45" fillId="2" borderId="1" xfId="0" applyNumberFormat="1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left" vertical="center" wrapText="1"/>
    </xf>
    <xf numFmtId="49" fontId="48" fillId="2" borderId="1" xfId="2" applyNumberFormat="1" applyFont="1" applyFill="1" applyBorder="1" applyAlignment="1">
      <alignment horizontal="center"/>
    </xf>
    <xf numFmtId="49" fontId="48" fillId="2" borderId="8" xfId="2" applyNumberFormat="1" applyFont="1" applyFill="1" applyBorder="1" applyAlignment="1">
      <alignment horizontal="center"/>
    </xf>
    <xf numFmtId="49" fontId="48" fillId="2" borderId="2" xfId="2" applyNumberFormat="1" applyFont="1" applyFill="1" applyBorder="1" applyAlignment="1">
      <alignment horizontal="center"/>
    </xf>
    <xf numFmtId="49" fontId="48" fillId="2" borderId="7" xfId="2" applyNumberFormat="1" applyFont="1" applyFill="1" applyBorder="1" applyAlignment="1">
      <alignment horizontal="center"/>
    </xf>
    <xf numFmtId="0" fontId="48" fillId="3" borderId="4" xfId="2" applyFont="1" applyFill="1" applyBorder="1" applyAlignment="1">
      <alignment horizontal="left" vertical="center"/>
    </xf>
    <xf numFmtId="0" fontId="48" fillId="3" borderId="5" xfId="2" applyFont="1" applyFill="1" applyBorder="1" applyAlignment="1">
      <alignment horizontal="left" vertical="center"/>
    </xf>
    <xf numFmtId="0" fontId="48" fillId="3" borderId="6" xfId="2" applyFont="1" applyFill="1" applyBorder="1" applyAlignment="1">
      <alignment horizontal="left" vertical="center"/>
    </xf>
    <xf numFmtId="49" fontId="71" fillId="2" borderId="1" xfId="0" applyNumberFormat="1" applyFont="1" applyFill="1" applyBorder="1" applyAlignment="1">
      <alignment horizontal="center" vertical="center" wrapText="1"/>
    </xf>
    <xf numFmtId="49" fontId="45" fillId="2" borderId="1" xfId="0" applyNumberFormat="1" applyFont="1" applyFill="1" applyBorder="1" applyAlignment="1">
      <alignment horizontal="left" vertical="top" wrapText="1"/>
    </xf>
    <xf numFmtId="167" fontId="45" fillId="2" borderId="1" xfId="41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vertical="center" wrapText="1"/>
    </xf>
    <xf numFmtId="168" fontId="48" fillId="2" borderId="8" xfId="2" applyNumberFormat="1" applyFont="1" applyFill="1" applyBorder="1" applyAlignment="1">
      <alignment horizontal="center" vertical="center"/>
    </xf>
    <xf numFmtId="168" fontId="48" fillId="2" borderId="7" xfId="2" applyNumberFormat="1" applyFont="1" applyFill="1" applyBorder="1" applyAlignment="1">
      <alignment horizontal="center" vertical="center"/>
    </xf>
    <xf numFmtId="0" fontId="48" fillId="2" borderId="8" xfId="2" applyFont="1" applyFill="1" applyBorder="1" applyAlignment="1">
      <alignment horizontal="center" vertical="center" wrapText="1"/>
    </xf>
    <xf numFmtId="0" fontId="48" fillId="2" borderId="2" xfId="2" applyFont="1" applyFill="1" applyBorder="1" applyAlignment="1">
      <alignment horizontal="center" vertical="center" wrapText="1"/>
    </xf>
    <xf numFmtId="0" fontId="48" fillId="2" borderId="7" xfId="2" applyFont="1" applyFill="1" applyBorder="1" applyAlignment="1">
      <alignment horizontal="center" vertical="center" wrapText="1"/>
    </xf>
    <xf numFmtId="49" fontId="48" fillId="2" borderId="8" xfId="2" applyNumberFormat="1" applyFont="1" applyFill="1" applyBorder="1" applyAlignment="1">
      <alignment horizontal="center" vertical="center" wrapText="1"/>
    </xf>
    <xf numFmtId="49" fontId="48" fillId="2" borderId="2" xfId="2" applyNumberFormat="1" applyFont="1" applyFill="1" applyBorder="1" applyAlignment="1">
      <alignment horizontal="center" vertical="center" wrapText="1"/>
    </xf>
    <xf numFmtId="49" fontId="48" fillId="2" borderId="7" xfId="2" applyNumberFormat="1" applyFont="1" applyFill="1" applyBorder="1" applyAlignment="1">
      <alignment horizontal="center" vertical="center" wrapText="1"/>
    </xf>
    <xf numFmtId="49" fontId="44" fillId="2" borderId="1" xfId="2" applyNumberFormat="1" applyFont="1" applyFill="1" applyBorder="1" applyAlignment="1">
      <alignment horizontal="center"/>
    </xf>
    <xf numFmtId="49" fontId="49" fillId="2" borderId="8" xfId="2" applyNumberFormat="1" applyFont="1" applyFill="1" applyBorder="1" applyAlignment="1">
      <alignment horizontal="center" vertical="center"/>
    </xf>
    <xf numFmtId="49" fontId="49" fillId="2" borderId="2" xfId="2" applyNumberFormat="1" applyFont="1" applyFill="1" applyBorder="1" applyAlignment="1">
      <alignment horizontal="center" vertical="center"/>
    </xf>
    <xf numFmtId="49" fontId="49" fillId="2" borderId="7" xfId="2" applyNumberFormat="1" applyFont="1" applyFill="1" applyBorder="1" applyAlignment="1">
      <alignment horizontal="center" vertical="center"/>
    </xf>
    <xf numFmtId="49" fontId="48" fillId="2" borderId="1" xfId="2" applyNumberFormat="1" applyFont="1" applyFill="1" applyBorder="1" applyAlignment="1">
      <alignment horizontal="center" wrapText="1"/>
    </xf>
    <xf numFmtId="168" fontId="29" fillId="2" borderId="1" xfId="0" applyNumberFormat="1" applyFont="1" applyFill="1" applyBorder="1" applyAlignment="1">
      <alignment horizontal="center" vertical="center" wrapText="1"/>
    </xf>
    <xf numFmtId="168" fontId="30" fillId="2" borderId="1" xfId="0" applyNumberFormat="1" applyFont="1" applyFill="1" applyBorder="1" applyAlignment="1">
      <alignment horizontal="center" vertical="center" wrapText="1"/>
    </xf>
    <xf numFmtId="49" fontId="49" fillId="2" borderId="8" xfId="2" applyNumberFormat="1" applyFont="1" applyFill="1" applyBorder="1" applyAlignment="1">
      <alignment horizontal="center"/>
    </xf>
    <xf numFmtId="49" fontId="49" fillId="2" borderId="2" xfId="2" applyNumberFormat="1" applyFont="1" applyFill="1" applyBorder="1" applyAlignment="1">
      <alignment horizontal="center"/>
    </xf>
    <xf numFmtId="49" fontId="49" fillId="2" borderId="7" xfId="2" applyNumberFormat="1" applyFont="1" applyFill="1" applyBorder="1" applyAlignment="1">
      <alignment horizontal="center"/>
    </xf>
    <xf numFmtId="0" fontId="29" fillId="2" borderId="8" xfId="2" applyFont="1" applyFill="1" applyBorder="1" applyAlignment="1">
      <alignment horizontal="left" vertical="center" wrapText="1"/>
    </xf>
    <xf numFmtId="0" fontId="29" fillId="2" borderId="2" xfId="2" applyFont="1" applyFill="1" applyBorder="1" applyAlignment="1">
      <alignment horizontal="left" vertical="center" wrapText="1"/>
    </xf>
    <xf numFmtId="0" fontId="29" fillId="2" borderId="7" xfId="2" applyFont="1" applyFill="1" applyBorder="1" applyAlignment="1">
      <alignment horizontal="left" vertical="center" wrapText="1"/>
    </xf>
    <xf numFmtId="167" fontId="29" fillId="2" borderId="8" xfId="2" applyNumberFormat="1" applyFont="1" applyFill="1" applyBorder="1" applyAlignment="1">
      <alignment horizontal="center" vertical="center" wrapText="1"/>
    </xf>
    <xf numFmtId="167" fontId="29" fillId="2" borderId="2" xfId="2" applyNumberFormat="1" applyFont="1" applyFill="1" applyBorder="1" applyAlignment="1">
      <alignment horizontal="center" vertical="center" wrapText="1"/>
    </xf>
    <xf numFmtId="167" fontId="29" fillId="2" borderId="7" xfId="2" applyNumberFormat="1" applyFont="1" applyFill="1" applyBorder="1" applyAlignment="1">
      <alignment horizontal="center" vertical="center" wrapText="1"/>
    </xf>
    <xf numFmtId="49" fontId="45" fillId="2" borderId="1" xfId="2" applyNumberFormat="1" applyFont="1" applyFill="1" applyBorder="1" applyAlignment="1">
      <alignment horizontal="center" vertical="center"/>
    </xf>
    <xf numFmtId="49" fontId="45" fillId="2" borderId="1" xfId="2" applyNumberFormat="1" applyFont="1" applyFill="1" applyBorder="1" applyAlignment="1">
      <alignment horizontal="center"/>
    </xf>
    <xf numFmtId="0" fontId="45" fillId="2" borderId="1" xfId="2" applyFont="1" applyFill="1" applyBorder="1" applyAlignment="1">
      <alignment horizontal="left" vertical="center" wrapText="1"/>
    </xf>
    <xf numFmtId="167" fontId="45" fillId="2" borderId="1" xfId="2" applyNumberFormat="1" applyFont="1" applyFill="1" applyBorder="1" applyAlignment="1">
      <alignment horizontal="center" vertical="center"/>
    </xf>
    <xf numFmtId="0" fontId="64" fillId="2" borderId="13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7" fontId="64" fillId="3" borderId="1" xfId="0" applyNumberFormat="1" applyFont="1" applyFill="1" applyBorder="1"/>
    <xf numFmtId="167" fontId="56" fillId="31" borderId="1" xfId="0" applyNumberFormat="1" applyFont="1" applyFill="1" applyBorder="1" applyAlignment="1">
      <alignment horizontal="center" vertical="center" wrapText="1"/>
    </xf>
    <xf numFmtId="0" fontId="68" fillId="31" borderId="1" xfId="0" applyFont="1" applyFill="1" applyBorder="1" applyAlignment="1">
      <alignment vertical="top" wrapText="1"/>
    </xf>
    <xf numFmtId="167" fontId="45" fillId="2" borderId="1" xfId="0" applyNumberFormat="1" applyFont="1" applyFill="1" applyBorder="1"/>
    <xf numFmtId="0" fontId="56" fillId="3" borderId="1" xfId="0" applyFont="1" applyFill="1" applyBorder="1" applyAlignment="1">
      <alignment horizontal="left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168" fontId="64" fillId="0" borderId="8" xfId="0" applyNumberFormat="1" applyFont="1" applyBorder="1" applyAlignment="1">
      <alignment horizontal="center" vertical="center"/>
    </xf>
    <xf numFmtId="168" fontId="64" fillId="0" borderId="2" xfId="0" applyNumberFormat="1" applyFont="1" applyBorder="1" applyAlignment="1">
      <alignment horizontal="center" vertical="center"/>
    </xf>
    <xf numFmtId="0" fontId="64" fillId="3" borderId="1" xfId="0" applyFont="1" applyFill="1" applyBorder="1" applyAlignment="1">
      <alignment vertical="center"/>
    </xf>
    <xf numFmtId="49" fontId="64" fillId="2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64" fillId="2" borderId="1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9" fillId="2" borderId="1" xfId="0" applyNumberFormat="1" applyFont="1" applyFill="1" applyBorder="1" applyAlignment="1">
      <alignment horizontal="center" vertical="center"/>
    </xf>
    <xf numFmtId="49" fontId="44" fillId="2" borderId="8" xfId="0" applyNumberFormat="1" applyFont="1" applyFill="1" applyBorder="1" applyAlignment="1">
      <alignment vertical="center"/>
    </xf>
    <xf numFmtId="49" fontId="44" fillId="2" borderId="7" xfId="0" applyNumberFormat="1" applyFont="1" applyFill="1" applyBorder="1" applyAlignment="1">
      <alignment vertical="center"/>
    </xf>
    <xf numFmtId="0" fontId="44" fillId="3" borderId="38" xfId="0" applyFont="1" applyFill="1" applyBorder="1" applyAlignment="1">
      <alignment vertical="center"/>
    </xf>
    <xf numFmtId="0" fontId="44" fillId="3" borderId="39" xfId="0" applyFont="1" applyFill="1" applyBorder="1" applyAlignment="1">
      <alignment vertical="center"/>
    </xf>
    <xf numFmtId="0" fontId="44" fillId="3" borderId="40" xfId="0" applyFont="1" applyFill="1" applyBorder="1" applyAlignment="1">
      <alignment vertical="center"/>
    </xf>
    <xf numFmtId="167" fontId="44" fillId="3" borderId="25" xfId="0" applyNumberFormat="1" applyFont="1" applyFill="1" applyBorder="1"/>
    <xf numFmtId="167" fontId="44" fillId="3" borderId="41" xfId="0" applyNumberFormat="1" applyFont="1" applyFill="1" applyBorder="1"/>
    <xf numFmtId="167" fontId="44" fillId="3" borderId="42" xfId="0" applyNumberFormat="1" applyFont="1" applyFill="1" applyBorder="1"/>
    <xf numFmtId="0" fontId="4" fillId="2" borderId="8" xfId="0" applyFont="1" applyFill="1" applyBorder="1" applyAlignment="1">
      <alignment vertical="center" wrapText="1"/>
    </xf>
    <xf numFmtId="0" fontId="67" fillId="0" borderId="2" xfId="0" applyFont="1" applyBorder="1" applyAlignment="1">
      <alignment vertical="center" wrapText="1"/>
    </xf>
    <xf numFmtId="167" fontId="64" fillId="2" borderId="8" xfId="0" applyNumberFormat="1" applyFont="1" applyFill="1" applyBorder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 wrapText="1"/>
    </xf>
    <xf numFmtId="0" fontId="64" fillId="2" borderId="8" xfId="0" applyFont="1" applyFill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49" fontId="48" fillId="2" borderId="8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49" fontId="48" fillId="2" borderId="7" xfId="0" applyNumberFormat="1" applyFont="1" applyFill="1" applyBorder="1" applyAlignment="1">
      <alignment horizontal="center" vertical="center"/>
    </xf>
    <xf numFmtId="49" fontId="48" fillId="2" borderId="1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29" fillId="28" borderId="4" xfId="0" applyFont="1" applyFill="1" applyBorder="1" applyAlignment="1">
      <alignment horizontal="left" wrapText="1"/>
    </xf>
    <xf numFmtId="0" fontId="29" fillId="28" borderId="5" xfId="0" applyFont="1" applyFill="1" applyBorder="1" applyAlignment="1">
      <alignment horizontal="left" wrapText="1"/>
    </xf>
    <xf numFmtId="0" fontId="30" fillId="2" borderId="1" xfId="0" applyFont="1" applyFill="1" applyBorder="1" applyAlignment="1">
      <alignment horizontal="left" vertical="center" wrapText="1"/>
    </xf>
    <xf numFmtId="167" fontId="48" fillId="2" borderId="1" xfId="0" applyNumberFormat="1" applyFont="1" applyFill="1" applyBorder="1" applyAlignment="1">
      <alignment horizontal="center" vertical="center" wrapText="1"/>
    </xf>
    <xf numFmtId="167" fontId="60" fillId="2" borderId="1" xfId="0" applyNumberFormat="1" applyFont="1" applyFill="1" applyBorder="1" applyAlignment="1">
      <alignment horizontal="center" vertical="center" wrapText="1"/>
    </xf>
    <xf numFmtId="167" fontId="63" fillId="2" borderId="1" xfId="0" applyNumberFormat="1" applyFont="1" applyFill="1" applyBorder="1" applyAlignment="1">
      <alignment horizontal="center" vertical="center" wrapText="1"/>
    </xf>
    <xf numFmtId="167" fontId="49" fillId="2" borderId="1" xfId="0" applyNumberFormat="1" applyFont="1" applyFill="1" applyBorder="1" applyAlignment="1">
      <alignment horizontal="center" vertical="center" wrapText="1"/>
    </xf>
    <xf numFmtId="167" fontId="61" fillId="2" borderId="8" xfId="0" applyNumberFormat="1" applyFont="1" applyFill="1" applyBorder="1" applyAlignment="1">
      <alignment horizontal="center" vertical="center" wrapText="1"/>
    </xf>
    <xf numFmtId="167" fontId="61" fillId="2" borderId="2" xfId="0" applyNumberFormat="1" applyFont="1" applyFill="1" applyBorder="1" applyAlignment="1">
      <alignment horizontal="center" vertical="center" wrapText="1"/>
    </xf>
    <xf numFmtId="167" fontId="61" fillId="2" borderId="7" xfId="0" applyNumberFormat="1" applyFont="1" applyFill="1" applyBorder="1" applyAlignment="1">
      <alignment horizontal="center" vertical="center" wrapText="1"/>
    </xf>
    <xf numFmtId="167" fontId="62" fillId="2" borderId="1" xfId="0" applyNumberFormat="1" applyFont="1" applyFill="1" applyBorder="1" applyAlignment="1">
      <alignment horizontal="center" vertical="center" wrapText="1"/>
    </xf>
    <xf numFmtId="167" fontId="62" fillId="2" borderId="8" xfId="0" applyNumberFormat="1" applyFont="1" applyFill="1" applyBorder="1" applyAlignment="1">
      <alignment horizontal="center" vertical="center" wrapText="1"/>
    </xf>
    <xf numFmtId="167" fontId="62" fillId="2" borderId="2" xfId="0" applyNumberFormat="1" applyFont="1" applyFill="1" applyBorder="1" applyAlignment="1">
      <alignment horizontal="center" vertical="center" wrapText="1"/>
    </xf>
    <xf numFmtId="167" fontId="62" fillId="2" borderId="7" xfId="0" applyNumberFormat="1" applyFont="1" applyFill="1" applyBorder="1" applyAlignment="1">
      <alignment horizontal="center" vertical="center" wrapText="1"/>
    </xf>
    <xf numFmtId="49" fontId="49" fillId="2" borderId="8" xfId="0" applyNumberFormat="1" applyFont="1" applyFill="1" applyBorder="1" applyAlignment="1">
      <alignment horizontal="center" vertical="center"/>
    </xf>
    <xf numFmtId="49" fontId="49" fillId="2" borderId="2" xfId="0" applyNumberFormat="1" applyFont="1" applyFill="1" applyBorder="1" applyAlignment="1">
      <alignment horizontal="center" vertical="center"/>
    </xf>
    <xf numFmtId="49" fontId="49" fillId="2" borderId="7" xfId="0" applyNumberFormat="1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left" vertical="center" wrapText="1"/>
    </xf>
    <xf numFmtId="0" fontId="30" fillId="2" borderId="2" xfId="0" applyFont="1" applyFill="1" applyBorder="1" applyAlignment="1">
      <alignment horizontal="left" vertical="center" wrapText="1"/>
    </xf>
    <xf numFmtId="0" fontId="30" fillId="2" borderId="7" xfId="0" applyFont="1" applyFill="1" applyBorder="1" applyAlignment="1">
      <alignment horizontal="left" vertical="center" wrapText="1"/>
    </xf>
    <xf numFmtId="49" fontId="30" fillId="0" borderId="8" xfId="0" applyNumberFormat="1" applyFont="1" applyFill="1" applyBorder="1" applyAlignment="1">
      <alignment horizontal="center" vertical="center"/>
    </xf>
    <xf numFmtId="49" fontId="30" fillId="0" borderId="2" xfId="0" applyNumberFormat="1" applyFont="1" applyFill="1" applyBorder="1" applyAlignment="1">
      <alignment horizontal="center" vertical="center"/>
    </xf>
    <xf numFmtId="49" fontId="30" fillId="0" borderId="7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left" vertical="center" wrapText="1"/>
    </xf>
    <xf numFmtId="0" fontId="30" fillId="3" borderId="4" xfId="0" applyFont="1" applyFill="1" applyBorder="1" applyAlignment="1">
      <alignment horizontal="left" vertical="center"/>
    </xf>
    <xf numFmtId="0" fontId="30" fillId="3" borderId="5" xfId="0" applyFont="1" applyFill="1" applyBorder="1" applyAlignment="1">
      <alignment horizontal="left" vertical="center"/>
    </xf>
    <xf numFmtId="0" fontId="30" fillId="3" borderId="6" xfId="0" applyFont="1" applyFill="1" applyBorder="1" applyAlignment="1">
      <alignment horizontal="left" vertical="center"/>
    </xf>
    <xf numFmtId="167" fontId="30" fillId="3" borderId="1" xfId="0" applyNumberFormat="1" applyFont="1" applyFill="1" applyBorder="1"/>
    <xf numFmtId="167" fontId="45" fillId="2" borderId="11" xfId="0" applyNumberFormat="1" applyFont="1" applyFill="1" applyBorder="1" applyAlignment="1">
      <alignment horizontal="center" vertical="center" wrapText="1"/>
    </xf>
    <xf numFmtId="167" fontId="45" fillId="2" borderId="14" xfId="0" applyNumberFormat="1" applyFont="1" applyFill="1" applyBorder="1" applyAlignment="1">
      <alignment horizontal="center" vertical="center" wrapText="1"/>
    </xf>
    <xf numFmtId="167" fontId="45" fillId="2" borderId="13" xfId="0" applyNumberFormat="1" applyFont="1" applyFill="1" applyBorder="1" applyAlignment="1">
      <alignment horizontal="center" vertical="center" wrapText="1"/>
    </xf>
    <xf numFmtId="167" fontId="45" fillId="2" borderId="3" xfId="0" applyNumberFormat="1" applyFont="1" applyFill="1" applyBorder="1" applyAlignment="1">
      <alignment horizontal="center" vertical="center" wrapText="1"/>
    </xf>
    <xf numFmtId="167" fontId="45" fillId="2" borderId="0" xfId="0" applyNumberFormat="1" applyFont="1" applyFill="1" applyBorder="1" applyAlignment="1">
      <alignment horizontal="center" vertical="center" wrapText="1"/>
    </xf>
    <xf numFmtId="167" fontId="45" fillId="2" borderId="30" xfId="0" applyNumberFormat="1" applyFont="1" applyFill="1" applyBorder="1" applyAlignment="1">
      <alignment horizontal="center" vertical="center" wrapText="1"/>
    </xf>
    <xf numFmtId="167" fontId="45" fillId="2" borderId="10" xfId="0" applyNumberFormat="1" applyFont="1" applyFill="1" applyBorder="1" applyAlignment="1">
      <alignment horizontal="center" vertical="center" wrapText="1"/>
    </xf>
    <xf numFmtId="167" fontId="45" fillId="2" borderId="12" xfId="0" applyNumberFormat="1" applyFont="1" applyFill="1" applyBorder="1" applyAlignment="1">
      <alignment horizontal="center" vertical="center" wrapText="1"/>
    </xf>
    <xf numFmtId="167" fontId="45" fillId="2" borderId="9" xfId="0" applyNumberFormat="1" applyFont="1" applyFill="1" applyBorder="1" applyAlignment="1">
      <alignment horizontal="center" vertical="center" wrapText="1"/>
    </xf>
    <xf numFmtId="0" fontId="45" fillId="2" borderId="6" xfId="0" applyFont="1" applyFill="1" applyBorder="1" applyAlignment="1">
      <alignment horizontal="center" vertical="center" wrapText="1"/>
    </xf>
    <xf numFmtId="167" fontId="29" fillId="2" borderId="2" xfId="0" applyNumberFormat="1" applyFont="1" applyFill="1" applyBorder="1" applyAlignment="1">
      <alignment horizontal="center" vertical="center" wrapText="1"/>
    </xf>
    <xf numFmtId="167" fontId="29" fillId="0" borderId="8" xfId="0" applyNumberFormat="1" applyFont="1" applyBorder="1" applyAlignment="1">
      <alignment horizontal="center" vertical="center" wrapText="1"/>
    </xf>
    <xf numFmtId="167" fontId="29" fillId="0" borderId="7" xfId="0" applyNumberFormat="1" applyFont="1" applyBorder="1" applyAlignment="1">
      <alignment horizontal="center" vertical="center" wrapText="1"/>
    </xf>
    <xf numFmtId="167" fontId="29" fillId="2" borderId="8" xfId="0" applyNumberFormat="1" applyFont="1" applyFill="1" applyBorder="1" applyAlignment="1">
      <alignment horizontal="center" vertical="center"/>
    </xf>
    <xf numFmtId="167" fontId="29" fillId="2" borderId="2" xfId="0" applyNumberFormat="1" applyFont="1" applyFill="1" applyBorder="1" applyAlignment="1">
      <alignment horizontal="center" vertical="center"/>
    </xf>
    <xf numFmtId="168" fontId="29" fillId="0" borderId="8" xfId="0" applyNumberFormat="1" applyFont="1" applyBorder="1" applyAlignment="1">
      <alignment horizontal="center" wrapText="1"/>
    </xf>
    <xf numFmtId="168" fontId="29" fillId="0" borderId="2" xfId="0" applyNumberFormat="1" applyFont="1" applyBorder="1" applyAlignment="1">
      <alignment horizontal="center" wrapText="1"/>
    </xf>
    <xf numFmtId="168" fontId="29" fillId="0" borderId="7" xfId="0" applyNumberFormat="1" applyFont="1" applyBorder="1" applyAlignment="1">
      <alignment horizontal="center" wrapText="1"/>
    </xf>
    <xf numFmtId="168" fontId="29" fillId="0" borderId="8" xfId="0" applyNumberFormat="1" applyFont="1" applyBorder="1" applyAlignment="1">
      <alignment horizontal="center" vertical="center" wrapText="1"/>
    </xf>
    <xf numFmtId="168" fontId="29" fillId="0" borderId="7" xfId="0" applyNumberFormat="1" applyFont="1" applyBorder="1" applyAlignment="1">
      <alignment horizontal="center" vertical="center" wrapText="1"/>
    </xf>
    <xf numFmtId="168" fontId="29" fillId="0" borderId="2" xfId="0" applyNumberFormat="1" applyFont="1" applyBorder="1" applyAlignment="1">
      <alignment horizontal="center" vertical="center" wrapText="1"/>
    </xf>
    <xf numFmtId="167" fontId="29" fillId="0" borderId="2" xfId="0" applyNumberFormat="1" applyFont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left" wrapText="1"/>
    </xf>
    <xf numFmtId="0" fontId="30" fillId="3" borderId="5" xfId="0" applyFont="1" applyFill="1" applyBorder="1" applyAlignment="1">
      <alignment horizontal="left" wrapText="1"/>
    </xf>
    <xf numFmtId="0" fontId="30" fillId="3" borderId="6" xfId="0" applyFont="1" applyFill="1" applyBorder="1" applyAlignment="1">
      <alignment horizontal="left" wrapText="1"/>
    </xf>
    <xf numFmtId="0" fontId="30" fillId="3" borderId="1" xfId="0" applyFont="1" applyFill="1" applyBorder="1" applyAlignment="1">
      <alignment horizontal="left" wrapText="1"/>
    </xf>
    <xf numFmtId="0" fontId="29" fillId="0" borderId="8" xfId="0" applyFont="1" applyBorder="1" applyAlignment="1">
      <alignment horizontal="center" wrapText="1"/>
    </xf>
    <xf numFmtId="0" fontId="29" fillId="0" borderId="7" xfId="0" applyFont="1" applyBorder="1" applyAlignment="1">
      <alignment horizontal="center" wrapText="1"/>
    </xf>
    <xf numFmtId="49" fontId="29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29" fillId="0" borderId="8" xfId="0" applyFont="1" applyBorder="1" applyAlignment="1">
      <alignment vertical="center" wrapText="1"/>
    </xf>
    <xf numFmtId="0" fontId="29" fillId="0" borderId="7" xfId="0" applyFont="1" applyBorder="1" applyAlignment="1">
      <alignment vertical="center" wrapText="1"/>
    </xf>
    <xf numFmtId="49" fontId="45" fillId="0" borderId="2" xfId="0" applyNumberFormat="1" applyFont="1" applyFill="1" applyBorder="1" applyAlignment="1">
      <alignment horizontal="center" vertical="center"/>
    </xf>
    <xf numFmtId="49" fontId="45" fillId="0" borderId="2" xfId="0" applyNumberFormat="1" applyFont="1" applyFill="1" applyBorder="1" applyAlignment="1">
      <alignment vertical="center"/>
    </xf>
    <xf numFmtId="0" fontId="45" fillId="0" borderId="1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 wrapText="1"/>
    </xf>
    <xf numFmtId="0" fontId="44" fillId="0" borderId="8" xfId="0" applyFont="1" applyFill="1" applyBorder="1" applyAlignment="1">
      <alignment horizontal="left" vertical="center" wrapText="1"/>
    </xf>
    <xf numFmtId="0" fontId="44" fillId="0" borderId="7" xfId="0" applyFont="1" applyFill="1" applyBorder="1" applyAlignment="1">
      <alignment horizontal="left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1" xfId="0" applyFont="1" applyBorder="1" applyAlignment="1">
      <alignment vertical="center" wrapText="1"/>
    </xf>
    <xf numFmtId="49" fontId="44" fillId="0" borderId="7" xfId="0" applyNumberFormat="1" applyFont="1" applyFill="1" applyBorder="1" applyAlignment="1">
      <alignment vertical="center"/>
    </xf>
    <xf numFmtId="3" fontId="45" fillId="2" borderId="1" xfId="0" applyNumberFormat="1" applyFont="1" applyFill="1" applyBorder="1" applyAlignment="1">
      <alignment horizontal="center" vertical="center" wrapText="1"/>
    </xf>
    <xf numFmtId="169" fontId="45" fillId="0" borderId="2" xfId="0" applyNumberFormat="1" applyFont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2" xfId="2" applyFont="1" applyFill="1" applyBorder="1" applyAlignment="1">
      <alignment horizontal="left" vertical="center" wrapText="1"/>
    </xf>
    <xf numFmtId="167" fontId="45" fillId="2" borderId="8" xfId="2" applyNumberFormat="1" applyFont="1" applyFill="1" applyBorder="1" applyAlignment="1">
      <alignment horizontal="center" vertical="center" wrapText="1"/>
    </xf>
    <xf numFmtId="167" fontId="45" fillId="2" borderId="2" xfId="2" applyNumberFormat="1" applyFont="1" applyFill="1" applyBorder="1" applyAlignment="1">
      <alignment horizontal="center" vertical="center" wrapText="1"/>
    </xf>
    <xf numFmtId="167" fontId="45" fillId="2" borderId="7" xfId="2" applyNumberFormat="1" applyFont="1" applyFill="1" applyBorder="1" applyAlignment="1">
      <alignment horizontal="center" vertical="center" wrapText="1"/>
    </xf>
    <xf numFmtId="169" fontId="45" fillId="0" borderId="1" xfId="0" applyNumberFormat="1" applyFont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167" fontId="45" fillId="2" borderId="8" xfId="0" applyNumberFormat="1" applyFont="1" applyFill="1" applyBorder="1" applyAlignment="1">
      <alignment horizontal="center" vertical="center"/>
    </xf>
    <xf numFmtId="167" fontId="45" fillId="2" borderId="7" xfId="0" applyNumberFormat="1" applyFont="1" applyFill="1" applyBorder="1" applyAlignment="1">
      <alignment horizontal="center" vertical="center"/>
    </xf>
    <xf numFmtId="3" fontId="29" fillId="2" borderId="8" xfId="0" applyNumberFormat="1" applyFont="1" applyFill="1" applyBorder="1" applyAlignment="1">
      <alignment horizontal="center" vertical="center" wrapText="1"/>
    </xf>
    <xf numFmtId="3" fontId="29" fillId="2" borderId="7" xfId="0" applyNumberFormat="1" applyFont="1" applyFill="1" applyBorder="1" applyAlignment="1">
      <alignment horizontal="center" vertical="center" wrapText="1"/>
    </xf>
    <xf numFmtId="3" fontId="29" fillId="2" borderId="8" xfId="0" applyNumberFormat="1" applyFont="1" applyFill="1" applyBorder="1" applyAlignment="1">
      <alignment horizontal="center" vertical="center"/>
    </xf>
    <xf numFmtId="3" fontId="29" fillId="2" borderId="7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center" vertical="center"/>
    </xf>
    <xf numFmtId="167" fontId="29" fillId="2" borderId="1" xfId="1" applyNumberFormat="1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/>
    </xf>
    <xf numFmtId="49" fontId="29" fillId="2" borderId="7" xfId="0" applyNumberFormat="1" applyFont="1" applyFill="1" applyBorder="1" applyAlignment="1">
      <alignment horizontal="center" vertical="center"/>
    </xf>
    <xf numFmtId="49" fontId="29" fillId="2" borderId="4" xfId="0" applyNumberFormat="1" applyFont="1" applyFill="1" applyBorder="1" applyAlignment="1">
      <alignment horizontal="center" vertical="top"/>
    </xf>
    <xf numFmtId="169" fontId="45" fillId="2" borderId="8" xfId="0" applyNumberFormat="1" applyFont="1" applyFill="1" applyBorder="1" applyAlignment="1">
      <alignment vertical="center"/>
    </xf>
    <xf numFmtId="169" fontId="45" fillId="2" borderId="7" xfId="0" applyNumberFormat="1" applyFont="1" applyFill="1" applyBorder="1" applyAlignment="1">
      <alignment vertical="center"/>
    </xf>
    <xf numFmtId="0" fontId="45" fillId="2" borderId="8" xfId="0" applyFont="1" applyFill="1" applyBorder="1" applyAlignment="1">
      <alignment vertical="center"/>
    </xf>
    <xf numFmtId="0" fontId="45" fillId="2" borderId="7" xfId="0" applyFont="1" applyFill="1" applyBorder="1" applyAlignment="1">
      <alignment vertical="center"/>
    </xf>
    <xf numFmtId="0" fontId="45" fillId="2" borderId="8" xfId="0" applyFont="1" applyFill="1" applyBorder="1" applyAlignment="1">
      <alignment vertical="center" wrapText="1"/>
    </xf>
    <xf numFmtId="0" fontId="45" fillId="2" borderId="7" xfId="0" applyFont="1" applyFill="1" applyBorder="1" applyAlignment="1">
      <alignment vertical="center" wrapText="1"/>
    </xf>
    <xf numFmtId="167" fontId="45" fillId="2" borderId="8" xfId="7" applyNumberFormat="1" applyFont="1" applyFill="1" applyBorder="1" applyAlignment="1">
      <alignment horizontal="center" vertical="center" wrapText="1"/>
    </xf>
    <xf numFmtId="167" fontId="45" fillId="2" borderId="7" xfId="7" applyNumberFormat="1" applyFont="1" applyFill="1" applyBorder="1" applyAlignment="1">
      <alignment horizontal="center" vertical="center" wrapText="1"/>
    </xf>
    <xf numFmtId="167" fontId="4" fillId="2" borderId="4" xfId="0" applyNumberFormat="1" applyFont="1" applyFill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9" fontId="45" fillId="2" borderId="8" xfId="0" applyNumberFormat="1" applyFont="1" applyFill="1" applyBorder="1" applyAlignment="1">
      <alignment horizontal="center" vertical="center"/>
    </xf>
    <xf numFmtId="169" fontId="45" fillId="2" borderId="7" xfId="0" applyNumberFormat="1" applyFont="1" applyFill="1" applyBorder="1" applyAlignment="1">
      <alignment horizontal="center" vertical="center"/>
    </xf>
    <xf numFmtId="0" fontId="45" fillId="2" borderId="8" xfId="2" applyFont="1" applyFill="1" applyBorder="1" applyAlignment="1">
      <alignment vertical="center" wrapText="1"/>
    </xf>
    <xf numFmtId="0" fontId="45" fillId="2" borderId="7" xfId="2" applyFont="1" applyFill="1" applyBorder="1" applyAlignment="1">
      <alignment vertical="center" wrapText="1"/>
    </xf>
    <xf numFmtId="167" fontId="4" fillId="2" borderId="8" xfId="0" applyNumberFormat="1" applyFon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5" fontId="4" fillId="2" borderId="8" xfId="7" applyNumberFormat="1" applyFont="1" applyFill="1" applyBorder="1" applyAlignment="1">
      <alignment horizontal="center" vertical="center"/>
    </xf>
    <xf numFmtId="185" fontId="4" fillId="2" borderId="7" xfId="7" applyNumberFormat="1" applyFont="1" applyFill="1" applyBorder="1" applyAlignment="1">
      <alignment horizontal="center" vertical="center"/>
    </xf>
    <xf numFmtId="169" fontId="4" fillId="0" borderId="8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4" fillId="0" borderId="7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7" fontId="4" fillId="2" borderId="2" xfId="7" applyNumberFormat="1" applyFont="1" applyFill="1" applyBorder="1" applyAlignment="1">
      <alignment horizontal="center" vertical="center"/>
    </xf>
    <xf numFmtId="167" fontId="4" fillId="2" borderId="7" xfId="7" applyNumberFormat="1" applyFont="1" applyFill="1" applyBorder="1" applyAlignment="1">
      <alignment horizontal="center" vertical="center"/>
    </xf>
    <xf numFmtId="167" fontId="4" fillId="2" borderId="8" xfId="7" applyNumberFormat="1" applyFont="1" applyFill="1" applyBorder="1" applyAlignment="1">
      <alignment horizontal="center" vertical="center"/>
    </xf>
    <xf numFmtId="167" fontId="71" fillId="2" borderId="1" xfId="0" applyNumberFormat="1" applyFont="1" applyFill="1" applyBorder="1" applyAlignment="1">
      <alignment horizontal="center" vertical="center" wrapText="1"/>
    </xf>
    <xf numFmtId="167" fontId="72" fillId="2" borderId="1" xfId="0" applyNumberFormat="1" applyFont="1" applyFill="1" applyBorder="1" applyAlignment="1">
      <alignment horizontal="center" vertical="center" wrapText="1"/>
    </xf>
    <xf numFmtId="49" fontId="71" fillId="2" borderId="8" xfId="0" applyNumberFormat="1" applyFont="1" applyFill="1" applyBorder="1" applyAlignment="1">
      <alignment horizontal="center" vertical="center" wrapText="1"/>
    </xf>
    <xf numFmtId="49" fontId="71" fillId="2" borderId="7" xfId="0" applyNumberFormat="1" applyFont="1" applyFill="1" applyBorder="1" applyAlignment="1">
      <alignment horizontal="center" vertical="center" wrapText="1"/>
    </xf>
    <xf numFmtId="167" fontId="45" fillId="2" borderId="1" xfId="41" applyNumberFormat="1" applyFont="1" applyFill="1" applyBorder="1" applyAlignment="1">
      <alignment horizontal="left" vertical="center" wrapText="1"/>
    </xf>
    <xf numFmtId="167" fontId="72" fillId="2" borderId="8" xfId="41" applyNumberFormat="1" applyFont="1" applyFill="1" applyBorder="1" applyAlignment="1">
      <alignment horizontal="center" vertical="center" wrapText="1"/>
    </xf>
    <xf numFmtId="167" fontId="72" fillId="2" borderId="7" xfId="41" applyNumberFormat="1" applyFont="1" applyFill="1" applyBorder="1" applyAlignment="1">
      <alignment horizontal="center" vertical="center" wrapText="1"/>
    </xf>
    <xf numFmtId="49" fontId="49" fillId="2" borderId="1" xfId="2" applyNumberFormat="1" applyFont="1" applyFill="1" applyBorder="1" applyAlignment="1">
      <alignment horizontal="center" vertical="center"/>
    </xf>
    <xf numFmtId="49" fontId="49" fillId="2" borderId="1" xfId="2" applyNumberFormat="1" applyFont="1" applyFill="1" applyBorder="1" applyAlignment="1">
      <alignment horizontal="center"/>
    </xf>
    <xf numFmtId="167" fontId="29" fillId="2" borderId="1" xfId="2" applyNumberFormat="1" applyFont="1" applyFill="1" applyBorder="1" applyAlignment="1">
      <alignment horizontal="center" vertical="center" wrapText="1"/>
    </xf>
    <xf numFmtId="49" fontId="49" fillId="2" borderId="1" xfId="2" applyNumberFormat="1" applyFont="1" applyFill="1" applyBorder="1" applyAlignment="1">
      <alignment horizontal="center" wrapText="1"/>
    </xf>
    <xf numFmtId="49" fontId="49" fillId="2" borderId="8" xfId="2" applyNumberFormat="1" applyFont="1" applyFill="1" applyBorder="1" applyAlignment="1">
      <alignment horizontal="center" vertical="center" wrapText="1"/>
    </xf>
    <xf numFmtId="49" fontId="49" fillId="2" borderId="2" xfId="2" applyNumberFormat="1" applyFont="1" applyFill="1" applyBorder="1" applyAlignment="1">
      <alignment horizontal="center" vertical="center" wrapText="1"/>
    </xf>
    <xf numFmtId="49" fontId="49" fillId="2" borderId="7" xfId="2" applyNumberFormat="1" applyFont="1" applyFill="1" applyBorder="1" applyAlignment="1">
      <alignment horizontal="center" vertical="center" wrapText="1"/>
    </xf>
    <xf numFmtId="49" fontId="70" fillId="2" borderId="8" xfId="2" applyNumberFormat="1" applyFont="1" applyFill="1" applyBorder="1" applyAlignment="1">
      <alignment horizontal="center" wrapText="1"/>
    </xf>
    <xf numFmtId="49" fontId="70" fillId="2" borderId="2" xfId="2" applyNumberFormat="1" applyFont="1" applyFill="1" applyBorder="1" applyAlignment="1">
      <alignment horizontal="center" wrapText="1"/>
    </xf>
    <xf numFmtId="49" fontId="70" fillId="2" borderId="7" xfId="2" applyNumberFormat="1" applyFont="1" applyFill="1" applyBorder="1" applyAlignment="1">
      <alignment horizontal="center" wrapText="1"/>
    </xf>
    <xf numFmtId="167" fontId="49" fillId="2" borderId="8" xfId="2" applyNumberFormat="1" applyFont="1" applyFill="1" applyBorder="1" applyAlignment="1">
      <alignment horizontal="center" vertical="center" wrapText="1"/>
    </xf>
    <xf numFmtId="167" fontId="49" fillId="2" borderId="2" xfId="2" applyNumberFormat="1" applyFont="1" applyFill="1" applyBorder="1" applyAlignment="1">
      <alignment horizontal="center" vertical="center" wrapText="1"/>
    </xf>
    <xf numFmtId="167" fontId="49" fillId="2" borderId="7" xfId="2" applyNumberFormat="1" applyFont="1" applyFill="1" applyBorder="1" applyAlignment="1">
      <alignment horizontal="center" vertical="center" wrapText="1"/>
    </xf>
    <xf numFmtId="170" fontId="49" fillId="2" borderId="8" xfId="2" applyNumberFormat="1" applyFont="1" applyFill="1" applyBorder="1" applyAlignment="1">
      <alignment horizontal="left" vertical="center" wrapText="1"/>
    </xf>
    <xf numFmtId="170" fontId="49" fillId="2" borderId="2" xfId="2" applyNumberFormat="1" applyFont="1" applyFill="1" applyBorder="1" applyAlignment="1">
      <alignment horizontal="left" vertical="center" wrapText="1"/>
    </xf>
    <xf numFmtId="170" fontId="49" fillId="2" borderId="7" xfId="2" applyNumberFormat="1" applyFont="1" applyFill="1" applyBorder="1" applyAlignment="1">
      <alignment horizontal="left" vertical="center" wrapText="1"/>
    </xf>
    <xf numFmtId="0" fontId="29" fillId="2" borderId="8" xfId="2" applyFont="1" applyFill="1" applyBorder="1" applyAlignment="1">
      <alignment horizontal="center" vertical="center" wrapText="1"/>
    </xf>
    <xf numFmtId="0" fontId="29" fillId="2" borderId="7" xfId="2" applyFont="1" applyFill="1" applyBorder="1" applyAlignment="1">
      <alignment horizontal="center" vertical="center" wrapText="1"/>
    </xf>
    <xf numFmtId="166" fontId="29" fillId="2" borderId="8" xfId="2" applyNumberFormat="1" applyFont="1" applyFill="1" applyBorder="1" applyAlignment="1">
      <alignment horizontal="center" vertical="center" wrapText="1"/>
    </xf>
    <xf numFmtId="166" fontId="29" fillId="2" borderId="7" xfId="2" applyNumberFormat="1" applyFont="1" applyFill="1" applyBorder="1" applyAlignment="1">
      <alignment horizontal="center" vertical="center" wrapText="1"/>
    </xf>
    <xf numFmtId="169" fontId="49" fillId="2" borderId="8" xfId="2" applyNumberFormat="1" applyFont="1" applyFill="1" applyBorder="1" applyAlignment="1">
      <alignment horizontal="center" vertical="center"/>
    </xf>
    <xf numFmtId="169" fontId="49" fillId="2" borderId="2" xfId="2" applyNumberFormat="1" applyFont="1" applyFill="1" applyBorder="1" applyAlignment="1">
      <alignment horizontal="center" vertical="center"/>
    </xf>
    <xf numFmtId="169" fontId="49" fillId="2" borderId="7" xfId="2" applyNumberFormat="1" applyFont="1" applyFill="1" applyBorder="1" applyAlignment="1">
      <alignment horizontal="center" vertical="center"/>
    </xf>
    <xf numFmtId="0" fontId="49" fillId="2" borderId="8" xfId="2" applyFont="1" applyFill="1" applyBorder="1" applyAlignment="1">
      <alignment horizontal="center" vertical="center"/>
    </xf>
    <xf numFmtId="0" fontId="49" fillId="2" borderId="2" xfId="2" applyFont="1" applyFill="1" applyBorder="1" applyAlignment="1">
      <alignment horizontal="center" vertical="center"/>
    </xf>
    <xf numFmtId="0" fontId="49" fillId="2" borderId="7" xfId="2" applyFont="1" applyFill="1" applyBorder="1" applyAlignment="1">
      <alignment horizontal="center" vertical="center"/>
    </xf>
    <xf numFmtId="0" fontId="49" fillId="2" borderId="8" xfId="2" applyFont="1" applyFill="1" applyBorder="1" applyAlignment="1">
      <alignment horizontal="left" vertical="center" wrapText="1"/>
    </xf>
    <xf numFmtId="0" fontId="49" fillId="2" borderId="2" xfId="2" applyFont="1" applyFill="1" applyBorder="1" applyAlignment="1">
      <alignment horizontal="left" vertical="center" wrapText="1"/>
    </xf>
    <xf numFmtId="0" fontId="49" fillId="2" borderId="7" xfId="2" applyFont="1" applyFill="1" applyBorder="1" applyAlignment="1">
      <alignment horizontal="left" vertical="center" wrapText="1"/>
    </xf>
    <xf numFmtId="0" fontId="49" fillId="2" borderId="8" xfId="2" applyFont="1" applyFill="1" applyBorder="1" applyAlignment="1">
      <alignment horizontal="center"/>
    </xf>
    <xf numFmtId="0" fontId="49" fillId="2" borderId="7" xfId="2" applyFont="1" applyFill="1" applyBorder="1" applyAlignment="1">
      <alignment horizontal="center"/>
    </xf>
    <xf numFmtId="167" fontId="30" fillId="2" borderId="1" xfId="0" applyNumberFormat="1" applyFont="1" applyFill="1" applyBorder="1" applyAlignment="1">
      <alignment horizontal="center" vertical="center" wrapText="1"/>
    </xf>
    <xf numFmtId="9" fontId="68" fillId="31" borderId="1" xfId="0" applyNumberFormat="1" applyFont="1" applyFill="1" applyBorder="1" applyAlignment="1">
      <alignment vertical="top" wrapText="1"/>
    </xf>
    <xf numFmtId="0" fontId="45" fillId="31" borderId="1" xfId="0" applyFont="1" applyFill="1" applyBorder="1" applyAlignment="1">
      <alignment horizontal="center" vertical="center" wrapText="1"/>
    </xf>
    <xf numFmtId="49" fontId="68" fillId="31" borderId="1" xfId="0" applyNumberFormat="1" applyFont="1" applyFill="1" applyBorder="1" applyAlignment="1">
      <alignment vertical="top" wrapText="1"/>
    </xf>
    <xf numFmtId="49" fontId="68" fillId="31" borderId="4" xfId="0" applyNumberFormat="1" applyFont="1" applyFill="1" applyBorder="1" applyAlignment="1">
      <alignment vertical="top" wrapText="1"/>
    </xf>
    <xf numFmtId="0" fontId="4" fillId="0" borderId="8" xfId="0" applyFont="1" applyBorder="1" applyAlignment="1">
      <alignment vertical="center" wrapText="1"/>
    </xf>
    <xf numFmtId="0" fontId="67" fillId="0" borderId="7" xfId="0" applyFont="1" applyBorder="1" applyAlignment="1">
      <alignment vertical="center" wrapText="1"/>
    </xf>
    <xf numFmtId="167" fontId="4" fillId="2" borderId="8" xfId="0" applyNumberFormat="1" applyFont="1" applyFill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7" fontId="0" fillId="0" borderId="2" xfId="0" applyNumberForma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167" fontId="4" fillId="2" borderId="2" xfId="0" applyNumberFormat="1" applyFont="1" applyFill="1" applyBorder="1" applyAlignment="1">
      <alignment horizontal="center" vertical="center" wrapText="1"/>
    </xf>
    <xf numFmtId="167" fontId="4" fillId="2" borderId="7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29" fillId="2" borderId="8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167" fontId="0" fillId="2" borderId="7" xfId="0" applyNumberFormat="1" applyFill="1" applyBorder="1" applyAlignment="1">
      <alignment horizontal="center" vertical="center" wrapText="1"/>
    </xf>
    <xf numFmtId="0" fontId="44" fillId="3" borderId="35" xfId="0" applyFont="1" applyFill="1" applyBorder="1" applyAlignment="1">
      <alignment vertical="center"/>
    </xf>
    <xf numFmtId="0" fontId="44" fillId="3" borderId="2" xfId="0" applyFont="1" applyFill="1" applyBorder="1" applyAlignment="1">
      <alignment vertical="center"/>
    </xf>
    <xf numFmtId="167" fontId="44" fillId="3" borderId="2" xfId="0" applyNumberFormat="1" applyFont="1" applyFill="1" applyBorder="1"/>
    <xf numFmtId="167" fontId="44" fillId="3" borderId="43" xfId="0" applyNumberFormat="1" applyFont="1" applyFill="1" applyBorder="1"/>
    <xf numFmtId="168" fontId="64" fillId="0" borderId="8" xfId="0" applyNumberFormat="1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49" fontId="45" fillId="2" borderId="1" xfId="0" applyNumberFormat="1" applyFont="1" applyFill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horizontal="left" vertical="center" wrapText="1"/>
    </xf>
    <xf numFmtId="49" fontId="44" fillId="2" borderId="1" xfId="0" applyNumberFormat="1" applyFont="1" applyFill="1" applyBorder="1" applyAlignment="1">
      <alignment horizontal="center" vertical="center"/>
    </xf>
    <xf numFmtId="49" fontId="45" fillId="2" borderId="8" xfId="0" applyNumberFormat="1" applyFont="1" applyFill="1" applyBorder="1" applyAlignment="1">
      <alignment vertical="center"/>
    </xf>
    <xf numFmtId="49" fontId="45" fillId="2" borderId="7" xfId="0" applyNumberFormat="1" applyFont="1" applyFill="1" applyBorder="1" applyAlignment="1">
      <alignment vertical="center"/>
    </xf>
    <xf numFmtId="167" fontId="49" fillId="2" borderId="8" xfId="0" applyNumberFormat="1" applyFont="1" applyFill="1" applyBorder="1" applyAlignment="1">
      <alignment horizontal="center" vertical="center" wrapText="1"/>
    </xf>
    <xf numFmtId="167" fontId="49" fillId="2" borderId="7" xfId="0" applyNumberFormat="1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vertical="center" wrapText="1"/>
    </xf>
    <xf numFmtId="0" fontId="49" fillId="2" borderId="7" xfId="0" applyFont="1" applyFill="1" applyBorder="1" applyAlignment="1">
      <alignment vertical="center" wrapText="1"/>
    </xf>
    <xf numFmtId="167" fontId="49" fillId="2" borderId="2" xfId="0" applyNumberFormat="1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/>
    </xf>
    <xf numFmtId="0" fontId="49" fillId="2" borderId="7" xfId="0" applyFont="1" applyFill="1" applyBorder="1" applyAlignment="1">
      <alignment horizontal="center" vertical="center"/>
    </xf>
    <xf numFmtId="167" fontId="44" fillId="3" borderId="1" xfId="0" applyNumberFormat="1" applyFont="1" applyFill="1" applyBorder="1" applyAlignment="1">
      <alignment horizontal="left"/>
    </xf>
    <xf numFmtId="167" fontId="48" fillId="3" borderId="1" xfId="0" applyNumberFormat="1" applyFont="1" applyFill="1" applyBorder="1"/>
    <xf numFmtId="0" fontId="29" fillId="2" borderId="2" xfId="0" applyFont="1" applyFill="1" applyBorder="1" applyAlignment="1">
      <alignment horizontal="left" vertical="center" wrapText="1"/>
    </xf>
    <xf numFmtId="0" fontId="29" fillId="0" borderId="8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right" vertical="center"/>
    </xf>
    <xf numFmtId="49" fontId="29" fillId="0" borderId="8" xfId="0" applyNumberFormat="1" applyFont="1" applyFill="1" applyBorder="1" applyAlignment="1">
      <alignment horizontal="center" vertical="center"/>
    </xf>
    <xf numFmtId="49" fontId="29" fillId="0" borderId="2" xfId="0" applyNumberFormat="1" applyFont="1" applyFill="1" applyBorder="1" applyAlignment="1">
      <alignment horizontal="center" vertical="center"/>
    </xf>
    <xf numFmtId="49" fontId="29" fillId="0" borderId="7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left" vertical="center" wrapText="1"/>
    </xf>
    <xf numFmtId="167" fontId="29" fillId="0" borderId="8" xfId="0" applyNumberFormat="1" applyFont="1" applyFill="1" applyBorder="1" applyAlignment="1">
      <alignment horizontal="center" vertical="center" wrapText="1"/>
    </xf>
    <xf numFmtId="167" fontId="29" fillId="0" borderId="2" xfId="0" applyNumberFormat="1" applyFont="1" applyFill="1" applyBorder="1" applyAlignment="1">
      <alignment horizontal="center" vertical="center" wrapText="1"/>
    </xf>
    <xf numFmtId="167" fontId="29" fillId="0" borderId="7" xfId="0" applyNumberFormat="1" applyFont="1" applyFill="1" applyBorder="1" applyAlignment="1">
      <alignment horizontal="center" vertical="center" wrapText="1"/>
    </xf>
    <xf numFmtId="49" fontId="45" fillId="2" borderId="2" xfId="0" applyNumberFormat="1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 vertical="center" wrapText="1"/>
    </xf>
    <xf numFmtId="0" fontId="44" fillId="2" borderId="7" xfId="0" applyFont="1" applyFill="1" applyBorder="1" applyAlignment="1">
      <alignment horizontal="left" vertical="center" wrapText="1"/>
    </xf>
    <xf numFmtId="167" fontId="30" fillId="0" borderId="8" xfId="0" applyNumberFormat="1" applyFont="1" applyFill="1" applyBorder="1" applyAlignment="1">
      <alignment horizontal="center" vertical="center" wrapText="1"/>
    </xf>
    <xf numFmtId="167" fontId="30" fillId="0" borderId="2" xfId="0" applyNumberFormat="1" applyFont="1" applyFill="1" applyBorder="1" applyAlignment="1">
      <alignment horizontal="center" vertical="center" wrapText="1"/>
    </xf>
    <xf numFmtId="167" fontId="30" fillId="0" borderId="7" xfId="0" applyNumberFormat="1" applyFont="1" applyFill="1" applyBorder="1" applyAlignment="1">
      <alignment horizontal="center" vertical="center" wrapText="1"/>
    </xf>
    <xf numFmtId="167" fontId="45" fillId="3" borderId="1" xfId="0" applyNumberFormat="1" applyFont="1" applyFill="1" applyBorder="1" applyAlignment="1">
      <alignment horizontal="center"/>
    </xf>
    <xf numFmtId="167" fontId="29" fillId="2" borderId="7" xfId="0" applyNumberFormat="1" applyFont="1" applyFill="1" applyBorder="1" applyAlignment="1">
      <alignment horizontal="center" vertical="center"/>
    </xf>
    <xf numFmtId="49" fontId="45" fillId="2" borderId="8" xfId="0" applyNumberFormat="1" applyFont="1" applyFill="1" applyBorder="1" applyAlignment="1">
      <alignment horizontal="left" vertical="center"/>
    </xf>
    <xf numFmtId="49" fontId="45" fillId="2" borderId="2" xfId="0" applyNumberFormat="1" applyFont="1" applyFill="1" applyBorder="1" applyAlignment="1">
      <alignment horizontal="left" vertical="center"/>
    </xf>
    <xf numFmtId="49" fontId="45" fillId="2" borderId="7" xfId="0" applyNumberFormat="1" applyFont="1" applyFill="1" applyBorder="1" applyAlignment="1">
      <alignment horizontal="left" vertical="center"/>
    </xf>
    <xf numFmtId="49" fontId="45" fillId="2" borderId="1" xfId="0" applyNumberFormat="1" applyFont="1" applyFill="1" applyBorder="1" applyAlignment="1">
      <alignment horizontal="left" vertical="center" wrapText="1"/>
    </xf>
    <xf numFmtId="167" fontId="29" fillId="2" borderId="2" xfId="0" applyNumberFormat="1" applyFont="1" applyFill="1" applyBorder="1" applyAlignment="1">
      <alignment horizontal="center"/>
    </xf>
    <xf numFmtId="167" fontId="29" fillId="2" borderId="7" xfId="0" applyNumberFormat="1" applyFont="1" applyFill="1" applyBorder="1" applyAlignment="1">
      <alignment horizontal="center"/>
    </xf>
    <xf numFmtId="49" fontId="45" fillId="2" borderId="8" xfId="0" applyNumberFormat="1" applyFont="1" applyFill="1" applyBorder="1" applyAlignment="1">
      <alignment horizontal="left" vertical="center" wrapText="1"/>
    </xf>
    <xf numFmtId="49" fontId="45" fillId="2" borderId="7" xfId="0" applyNumberFormat="1" applyFont="1" applyFill="1" applyBorder="1" applyAlignment="1">
      <alignment horizontal="left" vertical="center" wrapText="1"/>
    </xf>
    <xf numFmtId="0" fontId="29" fillId="0" borderId="8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73" fontId="29" fillId="0" borderId="8" xfId="36" applyNumberFormat="1" applyFont="1" applyBorder="1" applyAlignment="1">
      <alignment horizontal="center" vertical="center"/>
    </xf>
    <xf numFmtId="173" fontId="29" fillId="0" borderId="7" xfId="36" applyNumberFormat="1" applyFont="1" applyBorder="1" applyAlignment="1">
      <alignment horizontal="center" vertical="center"/>
    </xf>
    <xf numFmtId="0" fontId="30" fillId="4" borderId="6" xfId="0" applyFont="1" applyFill="1" applyBorder="1" applyAlignment="1">
      <alignment horizontal="left" vertical="center" wrapText="1"/>
    </xf>
    <xf numFmtId="0" fontId="29" fillId="0" borderId="8" xfId="0" applyFont="1" applyBorder="1" applyAlignment="1">
      <alignment horizontal="left" wrapText="1"/>
    </xf>
    <xf numFmtId="0" fontId="29" fillId="0" borderId="7" xfId="0" applyFont="1" applyBorder="1" applyAlignment="1">
      <alignment horizontal="left" wrapText="1"/>
    </xf>
    <xf numFmtId="0" fontId="29" fillId="0" borderId="2" xfId="0" applyFont="1" applyBorder="1" applyAlignment="1">
      <alignment horizontal="center" wrapText="1"/>
    </xf>
    <xf numFmtId="169" fontId="29" fillId="0" borderId="1" xfId="0" applyNumberFormat="1" applyFont="1" applyBorder="1" applyAlignment="1">
      <alignment horizontal="center" vertical="center"/>
    </xf>
    <xf numFmtId="0" fontId="29" fillId="2" borderId="1" xfId="3" applyFont="1" applyFill="1" applyBorder="1" applyAlignment="1">
      <alignment horizontal="left" vertical="top" wrapText="1"/>
    </xf>
    <xf numFmtId="168" fontId="30" fillId="0" borderId="1" xfId="0" applyNumberFormat="1" applyFont="1" applyBorder="1" applyAlignment="1">
      <alignment horizontal="center" vertical="center"/>
    </xf>
    <xf numFmtId="167" fontId="30" fillId="0" borderId="8" xfId="2" applyNumberFormat="1" applyFont="1" applyFill="1" applyBorder="1" applyAlignment="1">
      <alignment horizontal="center" vertical="center" wrapText="1"/>
    </xf>
    <xf numFmtId="0" fontId="30" fillId="0" borderId="2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67" fontId="29" fillId="0" borderId="1" xfId="2" applyNumberFormat="1" applyFont="1" applyFill="1" applyBorder="1" applyAlignment="1">
      <alignment horizontal="center" vertical="center" wrapText="1"/>
    </xf>
    <xf numFmtId="49" fontId="44" fillId="0" borderId="2" xfId="0" applyNumberFormat="1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0" fontId="45" fillId="2" borderId="26" xfId="2" applyFont="1" applyFill="1" applyBorder="1" applyAlignment="1">
      <alignment horizontal="left" vertical="center" wrapText="1"/>
    </xf>
    <xf numFmtId="167" fontId="29" fillId="0" borderId="8" xfId="2" applyNumberFormat="1" applyFont="1" applyFill="1" applyBorder="1" applyAlignment="1">
      <alignment horizontal="center" vertical="center" wrapText="1"/>
    </xf>
    <xf numFmtId="167" fontId="29" fillId="0" borderId="7" xfId="2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49" fontId="29" fillId="0" borderId="26" xfId="0" applyNumberFormat="1" applyFont="1" applyFill="1" applyBorder="1" applyAlignment="1">
      <alignment horizontal="center"/>
    </xf>
    <xf numFmtId="49" fontId="29" fillId="0" borderId="7" xfId="0" applyNumberFormat="1" applyFont="1" applyFill="1" applyBorder="1" applyAlignment="1">
      <alignment horizontal="center"/>
    </xf>
    <xf numFmtId="168" fontId="29" fillId="0" borderId="26" xfId="151" applyNumberFormat="1" applyFont="1" applyFill="1" applyBorder="1" applyAlignment="1">
      <alignment horizontal="left" vertical="top" wrapText="1"/>
    </xf>
    <xf numFmtId="168" fontId="29" fillId="0" borderId="7" xfId="151" applyNumberFormat="1" applyFont="1" applyFill="1" applyBorder="1" applyAlignment="1">
      <alignment horizontal="left" vertical="top" wrapText="1"/>
    </xf>
    <xf numFmtId="167" fontId="29" fillId="0" borderId="26" xfId="135" applyNumberFormat="1" applyFont="1" applyFill="1" applyBorder="1" applyAlignment="1">
      <alignment horizontal="center" vertical="center"/>
    </xf>
    <xf numFmtId="167" fontId="29" fillId="0" borderId="7" xfId="135" applyNumberFormat="1" applyFont="1" applyFill="1" applyBorder="1" applyAlignment="1">
      <alignment horizontal="center" vertical="center"/>
    </xf>
    <xf numFmtId="0" fontId="29" fillId="2" borderId="1" xfId="3" applyFont="1" applyFill="1" applyBorder="1" applyAlignment="1">
      <alignment horizontal="left" vertical="center" wrapText="1"/>
    </xf>
    <xf numFmtId="167" fontId="29" fillId="2" borderId="1" xfId="7" applyNumberFormat="1" applyFont="1" applyFill="1" applyBorder="1" applyAlignment="1">
      <alignment horizontal="center" vertical="center"/>
    </xf>
    <xf numFmtId="0" fontId="29" fillId="2" borderId="8" xfId="3" applyFont="1" applyFill="1" applyBorder="1" applyAlignment="1">
      <alignment horizontal="left" vertical="center" wrapText="1"/>
    </xf>
    <xf numFmtId="0" fontId="29" fillId="2" borderId="7" xfId="3" applyFont="1" applyFill="1" applyBorder="1" applyAlignment="1">
      <alignment horizontal="left" vertical="center" wrapText="1"/>
    </xf>
    <xf numFmtId="0" fontId="30" fillId="4" borderId="0" xfId="0" applyFont="1" applyFill="1" applyAlignment="1">
      <alignment horizontal="left"/>
    </xf>
    <xf numFmtId="0" fontId="30" fillId="4" borderId="30" xfId="0" applyFont="1" applyFill="1" applyBorder="1" applyAlignment="1">
      <alignment horizontal="left"/>
    </xf>
    <xf numFmtId="0" fontId="30" fillId="0" borderId="27" xfId="2" applyFont="1" applyFill="1" applyBorder="1" applyAlignment="1">
      <alignment horizontal="left" vertical="center" wrapText="1"/>
    </xf>
    <xf numFmtId="0" fontId="30" fillId="0" borderId="3" xfId="2" applyFont="1" applyFill="1" applyBorder="1" applyAlignment="1">
      <alignment horizontal="left" vertical="center" wrapText="1"/>
    </xf>
    <xf numFmtId="0" fontId="30" fillId="0" borderId="10" xfId="2" applyFont="1" applyFill="1" applyBorder="1" applyAlignment="1">
      <alignment horizontal="left" vertical="center" wrapText="1"/>
    </xf>
    <xf numFmtId="0" fontId="29" fillId="0" borderId="1" xfId="2" applyFont="1" applyFill="1" applyBorder="1" applyAlignment="1">
      <alignment horizontal="left" vertical="center" wrapText="1"/>
    </xf>
    <xf numFmtId="167" fontId="29" fillId="0" borderId="26" xfId="135" applyNumberFormat="1" applyFont="1" applyFill="1" applyBorder="1" applyAlignment="1">
      <alignment horizontal="center" vertical="center" wrapText="1"/>
    </xf>
    <xf numFmtId="167" fontId="29" fillId="0" borderId="7" xfId="135" applyNumberFormat="1" applyFont="1" applyFill="1" applyBorder="1" applyAlignment="1">
      <alignment horizontal="center" vertical="center" wrapText="1"/>
    </xf>
    <xf numFmtId="167" fontId="29" fillId="0" borderId="2" xfId="135" applyNumberFormat="1" applyFont="1" applyFill="1" applyBorder="1" applyAlignment="1">
      <alignment horizontal="center" vertical="center" wrapText="1"/>
    </xf>
    <xf numFmtId="168" fontId="44" fillId="0" borderId="8" xfId="0" applyNumberFormat="1" applyFont="1" applyFill="1" applyBorder="1" applyAlignment="1">
      <alignment horizontal="center" vertical="center"/>
    </xf>
    <xf numFmtId="168" fontId="44" fillId="0" borderId="7" xfId="0" applyNumberFormat="1" applyFont="1" applyFill="1" applyBorder="1" applyAlignment="1">
      <alignment horizontal="center" vertical="center"/>
    </xf>
    <xf numFmtId="167" fontId="29" fillId="2" borderId="8" xfId="7" applyNumberFormat="1" applyFont="1" applyFill="1" applyBorder="1" applyAlignment="1">
      <alignment horizontal="center" vertical="center"/>
    </xf>
    <xf numFmtId="167" fontId="29" fillId="2" borderId="2" xfId="7" applyNumberFormat="1" applyFont="1" applyFill="1" applyBorder="1" applyAlignment="1">
      <alignment horizontal="center" vertical="center"/>
    </xf>
    <xf numFmtId="167" fontId="29" fillId="2" borderId="7" xfId="7" applyNumberFormat="1" applyFont="1" applyFill="1" applyBorder="1" applyAlignment="1">
      <alignment horizontal="center" vertical="center"/>
    </xf>
    <xf numFmtId="168" fontId="30" fillId="0" borderId="13" xfId="0" applyNumberFormat="1" applyFont="1" applyBorder="1" applyAlignment="1">
      <alignment horizontal="center" vertical="center"/>
    </xf>
    <xf numFmtId="168" fontId="30" fillId="0" borderId="9" xfId="0" applyNumberFormat="1" applyFont="1" applyBorder="1" applyAlignment="1">
      <alignment horizontal="center" vertical="center"/>
    </xf>
    <xf numFmtId="169" fontId="29" fillId="0" borderId="8" xfId="0" applyNumberFormat="1" applyFont="1" applyBorder="1" applyAlignment="1">
      <alignment horizontal="center" vertical="center"/>
    </xf>
    <xf numFmtId="169" fontId="29" fillId="0" borderId="7" xfId="0" applyNumberFormat="1" applyFont="1" applyBorder="1" applyAlignment="1">
      <alignment horizontal="center" vertical="center"/>
    </xf>
    <xf numFmtId="0" fontId="29" fillId="2" borderId="8" xfId="3" applyFont="1" applyFill="1" applyBorder="1" applyAlignment="1">
      <alignment horizontal="center" vertical="center" wrapText="1"/>
    </xf>
    <xf numFmtId="168" fontId="30" fillId="0" borderId="26" xfId="151" applyNumberFormat="1" applyFont="1" applyBorder="1" applyAlignment="1">
      <alignment horizontal="center" vertical="top"/>
    </xf>
    <xf numFmtId="168" fontId="30" fillId="0" borderId="7" xfId="151" applyNumberFormat="1" applyFont="1" applyBorder="1" applyAlignment="1">
      <alignment horizontal="center" vertical="top"/>
    </xf>
    <xf numFmtId="49" fontId="29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/>
    </xf>
    <xf numFmtId="168" fontId="29" fillId="0" borderId="26" xfId="151" applyNumberFormat="1" applyFont="1" applyFill="1" applyBorder="1" applyAlignment="1">
      <alignment horizontal="left" vertical="center" wrapText="1"/>
    </xf>
    <xf numFmtId="168" fontId="29" fillId="0" borderId="7" xfId="151" applyNumberFormat="1" applyFont="1" applyFill="1" applyBorder="1" applyAlignment="1">
      <alignment horizontal="left" vertical="center" wrapText="1"/>
    </xf>
    <xf numFmtId="167" fontId="29" fillId="0" borderId="2" xfId="135" applyNumberFormat="1" applyFont="1" applyFill="1" applyBorder="1" applyAlignment="1">
      <alignment horizontal="center" vertical="center"/>
    </xf>
    <xf numFmtId="168" fontId="30" fillId="0" borderId="1" xfId="151" applyNumberFormat="1" applyFont="1" applyBorder="1" applyAlignment="1">
      <alignment horizontal="center" vertical="top"/>
    </xf>
    <xf numFmtId="49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26" xfId="0" applyFont="1" applyFill="1" applyBorder="1" applyAlignment="1">
      <alignment horizontal="left" vertical="center" wrapText="1"/>
    </xf>
    <xf numFmtId="167" fontId="29" fillId="2" borderId="1" xfId="3" applyNumberFormat="1" applyFont="1" applyFill="1" applyBorder="1" applyAlignment="1">
      <alignment horizontal="center" vertical="center" wrapText="1"/>
    </xf>
    <xf numFmtId="1" fontId="29" fillId="2" borderId="8" xfId="16" applyNumberFormat="1" applyFont="1" applyFill="1" applyBorder="1" applyAlignment="1">
      <alignment horizontal="center" vertical="center" wrapText="1"/>
    </xf>
    <xf numFmtId="1" fontId="29" fillId="2" borderId="2" xfId="16" applyNumberFormat="1" applyFont="1" applyFill="1" applyBorder="1" applyAlignment="1">
      <alignment horizontal="center" vertical="center" wrapText="1"/>
    </xf>
    <xf numFmtId="1" fontId="29" fillId="2" borderId="7" xfId="16" applyNumberFormat="1" applyFont="1" applyFill="1" applyBorder="1" applyAlignment="1">
      <alignment horizontal="center" vertical="center" wrapText="1"/>
    </xf>
    <xf numFmtId="167" fontId="29" fillId="2" borderId="8" xfId="7" applyNumberFormat="1" applyFont="1" applyFill="1" applyBorder="1" applyAlignment="1">
      <alignment horizontal="center" vertical="center" wrapText="1"/>
    </xf>
    <xf numFmtId="167" fontId="29" fillId="2" borderId="2" xfId="7" applyNumberFormat="1" applyFont="1" applyFill="1" applyBorder="1" applyAlignment="1">
      <alignment horizontal="center" vertical="center" wrapText="1"/>
    </xf>
    <xf numFmtId="167" fontId="30" fillId="0" borderId="6" xfId="7" applyNumberFormat="1" applyFont="1" applyFill="1" applyBorder="1" applyAlignment="1">
      <alignment horizontal="center" vertical="center" wrapText="1"/>
    </xf>
    <xf numFmtId="167" fontId="29" fillId="2" borderId="1" xfId="7" applyNumberFormat="1" applyFont="1" applyFill="1" applyBorder="1" applyAlignment="1">
      <alignment horizontal="center" vertical="center" wrapText="1"/>
    </xf>
    <xf numFmtId="168" fontId="30" fillId="0" borderId="30" xfId="0" applyNumberFormat="1" applyFont="1" applyBorder="1" applyAlignment="1">
      <alignment horizontal="center" vertical="center"/>
    </xf>
    <xf numFmtId="0" fontId="29" fillId="2" borderId="8" xfId="3" applyFont="1" applyFill="1" applyBorder="1" applyAlignment="1">
      <alignment horizontal="right" vertical="center" wrapText="1"/>
    </xf>
    <xf numFmtId="0" fontId="29" fillId="2" borderId="7" xfId="3" applyFont="1" applyFill="1" applyBorder="1" applyAlignment="1">
      <alignment horizontal="right" vertical="center" wrapText="1"/>
    </xf>
    <xf numFmtId="167" fontId="30" fillId="2" borderId="1" xfId="3" applyNumberFormat="1" applyFont="1" applyFill="1" applyBorder="1" applyAlignment="1">
      <alignment horizontal="center" vertical="center" wrapText="1"/>
    </xf>
    <xf numFmtId="167" fontId="30" fillId="0" borderId="8" xfId="7" applyNumberFormat="1" applyFont="1" applyFill="1" applyBorder="1" applyAlignment="1">
      <alignment horizontal="center" vertical="center" wrapText="1"/>
    </xf>
    <xf numFmtId="167" fontId="29" fillId="0" borderId="7" xfId="7" applyNumberFormat="1" applyFont="1" applyFill="1" applyBorder="1" applyAlignment="1">
      <alignment horizontal="center" vertical="center" wrapText="1"/>
    </xf>
    <xf numFmtId="168" fontId="30" fillId="0" borderId="13" xfId="0" applyNumberFormat="1" applyFont="1" applyFill="1" applyBorder="1" applyAlignment="1">
      <alignment horizontal="center" vertical="center"/>
    </xf>
    <xf numFmtId="168" fontId="30" fillId="0" borderId="30" xfId="0" applyNumberFormat="1" applyFont="1" applyFill="1" applyBorder="1" applyAlignment="1">
      <alignment horizontal="center" vertical="center"/>
    </xf>
    <xf numFmtId="168" fontId="30" fillId="0" borderId="9" xfId="0" applyNumberFormat="1" applyFont="1" applyFill="1" applyBorder="1" applyAlignment="1">
      <alignment horizontal="center" vertical="center"/>
    </xf>
    <xf numFmtId="169" fontId="29" fillId="0" borderId="8" xfId="0" applyNumberFormat="1" applyFont="1" applyFill="1" applyBorder="1" applyAlignment="1">
      <alignment horizontal="center" vertical="center"/>
    </xf>
    <xf numFmtId="169" fontId="29" fillId="0" borderId="2" xfId="0" applyNumberFormat="1" applyFont="1" applyFill="1" applyBorder="1" applyAlignment="1">
      <alignment horizontal="center" vertical="center"/>
    </xf>
    <xf numFmtId="169" fontId="29" fillId="0" borderId="7" xfId="0" applyNumberFormat="1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 wrapText="1"/>
    </xf>
    <xf numFmtId="0" fontId="29" fillId="2" borderId="2" xfId="3" applyFont="1" applyFill="1" applyBorder="1" applyAlignment="1">
      <alignment horizontal="center" vertical="center" wrapText="1"/>
    </xf>
    <xf numFmtId="0" fontId="29" fillId="2" borderId="7" xfId="3" applyFont="1" applyFill="1" applyBorder="1" applyAlignment="1">
      <alignment horizontal="center" vertical="center" wrapText="1"/>
    </xf>
    <xf numFmtId="167" fontId="29" fillId="0" borderId="8" xfId="7" applyNumberFormat="1" applyFont="1" applyFill="1" applyBorder="1" applyAlignment="1">
      <alignment horizontal="center" vertical="center"/>
    </xf>
    <xf numFmtId="167" fontId="29" fillId="0" borderId="7" xfId="7" applyNumberFormat="1" applyFont="1" applyFill="1" applyBorder="1" applyAlignment="1">
      <alignment horizontal="center" vertical="center"/>
    </xf>
    <xf numFmtId="167" fontId="29" fillId="0" borderId="2" xfId="2" applyNumberFormat="1" applyFont="1" applyFill="1" applyBorder="1" applyAlignment="1">
      <alignment horizontal="center" vertical="center" wrapText="1"/>
    </xf>
    <xf numFmtId="167" fontId="29" fillId="0" borderId="2" xfId="7" applyNumberFormat="1" applyFont="1" applyFill="1" applyBorder="1" applyAlignment="1">
      <alignment horizontal="center" vertical="center"/>
    </xf>
    <xf numFmtId="0" fontId="29" fillId="0" borderId="8" xfId="2" applyFont="1" applyFill="1" applyBorder="1" applyAlignment="1">
      <alignment horizontal="left" vertical="center" wrapText="1"/>
    </xf>
    <xf numFmtId="0" fontId="29" fillId="0" borderId="2" xfId="2" applyFont="1" applyFill="1" applyBorder="1" applyAlignment="1">
      <alignment horizontal="left" vertical="center" wrapText="1"/>
    </xf>
    <xf numFmtId="0" fontId="29" fillId="0" borderId="7" xfId="2" applyFont="1" applyFill="1" applyBorder="1" applyAlignment="1">
      <alignment horizontal="left" vertical="center" wrapText="1"/>
    </xf>
    <xf numFmtId="167" fontId="30" fillId="2" borderId="1" xfId="7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top"/>
    </xf>
    <xf numFmtId="49" fontId="30" fillId="4" borderId="1" xfId="0" applyNumberFormat="1" applyFont="1" applyFill="1" applyBorder="1" applyAlignment="1">
      <alignment horizontal="left"/>
    </xf>
    <xf numFmtId="0" fontId="30" fillId="0" borderId="27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 wrapText="1"/>
    </xf>
    <xf numFmtId="49" fontId="30" fillId="0" borderId="2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/>
    </xf>
    <xf numFmtId="167" fontId="29" fillId="0" borderId="1" xfId="7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/>
    </xf>
    <xf numFmtId="49" fontId="29" fillId="2" borderId="8" xfId="3" applyNumberFormat="1" applyFont="1" applyFill="1" applyBorder="1" applyAlignment="1">
      <alignment horizontal="center" vertical="center" wrapText="1"/>
    </xf>
    <xf numFmtId="49" fontId="29" fillId="2" borderId="7" xfId="0" applyNumberFormat="1" applyFont="1" applyFill="1" applyBorder="1" applyAlignment="1">
      <alignment horizontal="center" vertical="center" wrapText="1"/>
    </xf>
    <xf numFmtId="168" fontId="30" fillId="0" borderId="8" xfId="151" applyNumberFormat="1" applyFont="1" applyBorder="1" applyAlignment="1">
      <alignment horizontal="center" vertical="top"/>
    </xf>
    <xf numFmtId="168" fontId="30" fillId="0" borderId="2" xfId="151" applyNumberFormat="1" applyFont="1" applyBorder="1" applyAlignment="1">
      <alignment horizontal="center" vertical="top"/>
    </xf>
    <xf numFmtId="167" fontId="30" fillId="2" borderId="8" xfId="2" applyNumberFormat="1" applyFont="1" applyFill="1" applyBorder="1" applyAlignment="1">
      <alignment horizontal="center" vertical="center" wrapText="1"/>
    </xf>
    <xf numFmtId="0" fontId="30" fillId="2" borderId="7" xfId="2" applyFont="1" applyFill="1" applyBorder="1" applyAlignment="1">
      <alignment horizontal="center" vertical="center" wrapText="1"/>
    </xf>
    <xf numFmtId="0" fontId="30" fillId="2" borderId="1" xfId="3" applyFont="1" applyFill="1" applyBorder="1" applyAlignment="1">
      <alignment horizontal="left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30" fillId="3" borderId="6" xfId="0" applyFont="1" applyFill="1" applyBorder="1" applyAlignment="1">
      <alignment horizontal="left" vertical="center" wrapText="1"/>
    </xf>
    <xf numFmtId="49" fontId="29" fillId="0" borderId="29" xfId="0" applyNumberFormat="1" applyFont="1" applyFill="1" applyBorder="1" applyAlignment="1">
      <alignment horizontal="center" vertical="center"/>
    </xf>
    <xf numFmtId="49" fontId="29" fillId="0" borderId="9" xfId="0" applyNumberFormat="1" applyFont="1" applyFill="1" applyBorder="1" applyAlignment="1">
      <alignment horizontal="center" vertical="center"/>
    </xf>
    <xf numFmtId="49" fontId="29" fillId="0" borderId="26" xfId="0" applyNumberFormat="1" applyFont="1" applyFill="1" applyBorder="1" applyAlignment="1">
      <alignment horizontal="center" vertical="top"/>
    </xf>
    <xf numFmtId="49" fontId="29" fillId="0" borderId="7" xfId="0" applyNumberFormat="1" applyFont="1" applyFill="1" applyBorder="1" applyAlignment="1">
      <alignment horizontal="center" vertical="top"/>
    </xf>
    <xf numFmtId="0" fontId="29" fillId="0" borderId="2" xfId="0" applyFont="1" applyFill="1" applyBorder="1" applyAlignment="1">
      <alignment horizontal="center"/>
    </xf>
    <xf numFmtId="168" fontId="29" fillId="0" borderId="2" xfId="151" applyNumberFormat="1" applyFont="1" applyFill="1" applyBorder="1" applyAlignment="1">
      <alignment horizontal="left" vertical="center" wrapText="1"/>
    </xf>
    <xf numFmtId="49" fontId="29" fillId="0" borderId="27" xfId="0" applyNumberFormat="1" applyFont="1" applyFill="1" applyBorder="1" applyAlignment="1">
      <alignment horizontal="center" vertical="center"/>
    </xf>
    <xf numFmtId="49" fontId="29" fillId="0" borderId="3" xfId="0" applyNumberFormat="1" applyFont="1" applyFill="1" applyBorder="1" applyAlignment="1">
      <alignment horizontal="center" vertical="center"/>
    </xf>
    <xf numFmtId="49" fontId="29" fillId="0" borderId="10" xfId="0" applyNumberFormat="1" applyFont="1" applyFill="1" applyBorder="1" applyAlignment="1">
      <alignment horizontal="center" vertical="center"/>
    </xf>
    <xf numFmtId="0" fontId="30" fillId="4" borderId="1" xfId="151" applyFont="1" applyFill="1" applyBorder="1" applyAlignment="1">
      <alignment horizontal="left" vertical="center" wrapText="1"/>
    </xf>
    <xf numFmtId="0" fontId="30" fillId="3" borderId="0" xfId="0" applyFont="1" applyFill="1" applyBorder="1" applyAlignment="1">
      <alignment horizontal="left" vertical="center"/>
    </xf>
    <xf numFmtId="0" fontId="30" fillId="3" borderId="30" xfId="0" applyFont="1" applyFill="1" applyBorder="1" applyAlignment="1">
      <alignment horizontal="left" vertical="center"/>
    </xf>
    <xf numFmtId="167" fontId="45" fillId="2" borderId="26" xfId="0" applyNumberFormat="1" applyFont="1" applyFill="1" applyBorder="1" applyAlignment="1">
      <alignment horizontal="center" vertical="center" wrapText="1"/>
    </xf>
    <xf numFmtId="168" fontId="44" fillId="2" borderId="8" xfId="0" applyNumberFormat="1" applyFont="1" applyFill="1" applyBorder="1" applyAlignment="1">
      <alignment horizontal="center" vertical="center"/>
    </xf>
    <xf numFmtId="168" fontId="44" fillId="2" borderId="7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9" fontId="29" fillId="2" borderId="8" xfId="3" applyNumberFormat="1" applyFont="1" applyFill="1" applyBorder="1" applyAlignment="1">
      <alignment horizontal="center" vertical="center" wrapText="1"/>
    </xf>
    <xf numFmtId="9" fontId="29" fillId="2" borderId="7" xfId="3" applyNumberFormat="1" applyFont="1" applyFill="1" applyBorder="1" applyAlignment="1">
      <alignment horizontal="center" vertical="center" wrapText="1"/>
    </xf>
    <xf numFmtId="49" fontId="30" fillId="0" borderId="8" xfId="0" applyNumberFormat="1" applyFont="1" applyFill="1" applyBorder="1" applyAlignment="1">
      <alignment horizontal="center" vertical="top" wrapText="1"/>
    </xf>
    <xf numFmtId="49" fontId="30" fillId="0" borderId="2" xfId="0" applyNumberFormat="1" applyFont="1" applyFill="1" applyBorder="1" applyAlignment="1">
      <alignment horizontal="center" vertical="top" wrapText="1"/>
    </xf>
    <xf numFmtId="49" fontId="30" fillId="0" borderId="7" xfId="0" applyNumberFormat="1" applyFont="1" applyFill="1" applyBorder="1" applyAlignment="1">
      <alignment horizontal="center" vertical="top" wrapText="1"/>
    </xf>
    <xf numFmtId="0" fontId="29" fillId="2" borderId="8" xfId="3" applyFont="1" applyFill="1" applyBorder="1" applyAlignment="1">
      <alignment horizontal="right" vertical="center"/>
    </xf>
    <xf numFmtId="0" fontId="29" fillId="2" borderId="7" xfId="3" applyFont="1" applyFill="1" applyBorder="1" applyAlignment="1">
      <alignment horizontal="right" vertical="center"/>
    </xf>
    <xf numFmtId="0" fontId="29" fillId="2" borderId="2" xfId="3" applyFont="1" applyFill="1" applyBorder="1" applyAlignment="1">
      <alignment horizontal="left" vertical="center" wrapText="1"/>
    </xf>
    <xf numFmtId="0" fontId="30" fillId="2" borderId="1" xfId="3" applyFont="1" applyFill="1" applyBorder="1" applyAlignment="1">
      <alignment vertical="top" wrapText="1"/>
    </xf>
    <xf numFmtId="0" fontId="45" fillId="2" borderId="26" xfId="0" applyFont="1" applyFill="1" applyBorder="1" applyAlignment="1">
      <alignment horizontal="left" vertical="center" wrapText="1"/>
    </xf>
    <xf numFmtId="169" fontId="45" fillId="2" borderId="2" xfId="0" applyNumberFormat="1" applyFont="1" applyFill="1" applyBorder="1" applyAlignment="1">
      <alignment horizontal="center" vertical="center"/>
    </xf>
    <xf numFmtId="1" fontId="45" fillId="2" borderId="1" xfId="0" applyNumberFormat="1" applyFont="1" applyFill="1" applyBorder="1" applyAlignment="1">
      <alignment horizontal="center" vertical="center"/>
    </xf>
    <xf numFmtId="169" fontId="30" fillId="0" borderId="8" xfId="0" applyNumberFormat="1" applyFont="1" applyFill="1" applyBorder="1" applyAlignment="1">
      <alignment horizontal="center" vertical="center"/>
    </xf>
    <xf numFmtId="169" fontId="30" fillId="0" borderId="2" xfId="0" applyNumberFormat="1" applyFont="1" applyFill="1" applyBorder="1" applyAlignment="1">
      <alignment horizontal="center" vertical="center"/>
    </xf>
    <xf numFmtId="169" fontId="30" fillId="0" borderId="7" xfId="0" applyNumberFormat="1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left" vertical="center" wrapText="1"/>
    </xf>
    <xf numFmtId="0" fontId="30" fillId="0" borderId="1" xfId="2" applyFont="1" applyFill="1" applyBorder="1" applyAlignment="1">
      <alignment horizontal="left" vertical="center" wrapText="1"/>
    </xf>
    <xf numFmtId="0" fontId="30" fillId="2" borderId="1" xfId="2" applyFont="1" applyFill="1" applyBorder="1" applyAlignment="1">
      <alignment horizontal="left" vertical="top" wrapText="1"/>
    </xf>
    <xf numFmtId="1" fontId="45" fillId="2" borderId="8" xfId="0" applyNumberFormat="1" applyFont="1" applyFill="1" applyBorder="1" applyAlignment="1">
      <alignment horizontal="center" vertical="center"/>
    </xf>
    <xf numFmtId="1" fontId="45" fillId="2" borderId="7" xfId="0" applyNumberFormat="1" applyFont="1" applyFill="1" applyBorder="1" applyAlignment="1">
      <alignment horizontal="center" vertical="center"/>
    </xf>
    <xf numFmtId="1" fontId="45" fillId="2" borderId="2" xfId="0" applyNumberFormat="1" applyFont="1" applyFill="1" applyBorder="1" applyAlignment="1">
      <alignment horizontal="center" vertical="center"/>
    </xf>
    <xf numFmtId="167" fontId="44" fillId="2" borderId="26" xfId="0" applyNumberFormat="1" applyFont="1" applyFill="1" applyBorder="1" applyAlignment="1">
      <alignment horizontal="center" vertical="center" wrapText="1"/>
    </xf>
    <xf numFmtId="167" fontId="44" fillId="2" borderId="7" xfId="0" applyNumberFormat="1" applyFont="1" applyFill="1" applyBorder="1" applyAlignment="1">
      <alignment horizontal="center" vertical="center" wrapText="1"/>
    </xf>
    <xf numFmtId="167" fontId="45" fillId="0" borderId="7" xfId="0" applyNumberFormat="1" applyFont="1" applyBorder="1" applyAlignment="1">
      <alignment horizontal="center" vertical="center" wrapText="1"/>
    </xf>
    <xf numFmtId="168" fontId="44" fillId="2" borderId="2" xfId="0" applyNumberFormat="1" applyFont="1" applyFill="1" applyBorder="1" applyAlignment="1">
      <alignment horizontal="center" vertical="center"/>
    </xf>
    <xf numFmtId="169" fontId="44" fillId="2" borderId="1" xfId="0" applyNumberFormat="1" applyFont="1" applyFill="1" applyBorder="1" applyAlignment="1">
      <alignment horizontal="center" vertical="center"/>
    </xf>
    <xf numFmtId="169" fontId="45" fillId="0" borderId="8" xfId="0" applyNumberFormat="1" applyFont="1" applyFill="1" applyBorder="1" applyAlignment="1">
      <alignment horizontal="center" vertical="center"/>
    </xf>
    <xf numFmtId="169" fontId="45" fillId="0" borderId="7" xfId="0" applyNumberFormat="1" applyFont="1" applyFill="1" applyBorder="1" applyAlignment="1">
      <alignment horizontal="center" vertical="center"/>
    </xf>
    <xf numFmtId="169" fontId="29" fillId="0" borderId="26" xfId="0" applyNumberFormat="1" applyFont="1" applyBorder="1" applyAlignment="1">
      <alignment horizontal="center" vertical="center"/>
    </xf>
    <xf numFmtId="169" fontId="29" fillId="0" borderId="2" xfId="0" applyNumberFormat="1" applyFont="1" applyBorder="1" applyAlignment="1">
      <alignment horizontal="center" vertical="center"/>
    </xf>
    <xf numFmtId="0" fontId="29" fillId="2" borderId="26" xfId="2" applyFont="1" applyFill="1" applyBorder="1" applyAlignment="1">
      <alignment horizontal="left" vertical="center" wrapText="1"/>
    </xf>
    <xf numFmtId="167" fontId="45" fillId="0" borderId="26" xfId="0" applyNumberFormat="1" applyFont="1" applyFill="1" applyBorder="1" applyAlignment="1">
      <alignment horizontal="center" vertical="center" wrapText="1"/>
    </xf>
    <xf numFmtId="167" fontId="29" fillId="3" borderId="1" xfId="0" applyNumberFormat="1" applyFont="1" applyFill="1" applyBorder="1"/>
    <xf numFmtId="1" fontId="45" fillId="2" borderId="4" xfId="0" applyNumberFormat="1" applyFont="1" applyFill="1" applyBorder="1" applyAlignment="1">
      <alignment horizontal="center" vertical="center"/>
    </xf>
    <xf numFmtId="169" fontId="45" fillId="2" borderId="26" xfId="0" applyNumberFormat="1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167" fontId="29" fillId="2" borderId="26" xfId="0" applyNumberFormat="1" applyFont="1" applyFill="1" applyBorder="1" applyAlignment="1">
      <alignment horizontal="center" vertical="center" wrapText="1"/>
    </xf>
    <xf numFmtId="168" fontId="45" fillId="2" borderId="26" xfId="0" applyNumberFormat="1" applyFont="1" applyFill="1" applyBorder="1" applyAlignment="1">
      <alignment horizontal="center" vertical="center"/>
    </xf>
    <xf numFmtId="0" fontId="45" fillId="2" borderId="11" xfId="0" applyFont="1" applyFill="1" applyBorder="1" applyAlignment="1">
      <alignment horizontal="left" vertical="center" wrapText="1"/>
    </xf>
    <xf numFmtId="0" fontId="45" fillId="2" borderId="10" xfId="0" applyFont="1" applyFill="1" applyBorder="1" applyAlignment="1">
      <alignment horizontal="left" vertical="center" wrapText="1"/>
    </xf>
    <xf numFmtId="168" fontId="44" fillId="0" borderId="2" xfId="0" applyNumberFormat="1" applyFont="1" applyFill="1" applyBorder="1" applyAlignment="1">
      <alignment horizontal="center" vertical="center"/>
    </xf>
    <xf numFmtId="169" fontId="45" fillId="0" borderId="2" xfId="0" applyNumberFormat="1" applyFont="1" applyFill="1" applyBorder="1" applyAlignment="1">
      <alignment horizontal="center" vertical="center"/>
    </xf>
    <xf numFmtId="169" fontId="45" fillId="0" borderId="26" xfId="0" applyNumberFormat="1" applyFont="1" applyBorder="1" applyAlignment="1">
      <alignment horizontal="center" vertical="center"/>
    </xf>
    <xf numFmtId="169" fontId="30" fillId="3" borderId="1" xfId="0" applyNumberFormat="1" applyFont="1" applyFill="1" applyBorder="1" applyAlignment="1"/>
    <xf numFmtId="169" fontId="30" fillId="3" borderId="4" xfId="0" applyNumberFormat="1" applyFont="1" applyFill="1" applyBorder="1" applyAlignment="1"/>
    <xf numFmtId="168" fontId="30" fillId="0" borderId="26" xfId="0" applyNumberFormat="1" applyFont="1" applyBorder="1" applyAlignment="1">
      <alignment horizontal="center" vertical="center"/>
    </xf>
    <xf numFmtId="168" fontId="30" fillId="0" borderId="2" xfId="0" applyNumberFormat="1" applyFont="1" applyBorder="1" applyAlignment="1">
      <alignment horizontal="center" vertical="center"/>
    </xf>
    <xf numFmtId="169" fontId="45" fillId="0" borderId="26" xfId="0" applyNumberFormat="1" applyFont="1" applyFill="1" applyBorder="1" applyAlignment="1">
      <alignment horizontal="center" vertical="center"/>
    </xf>
    <xf numFmtId="0" fontId="45" fillId="0" borderId="26" xfId="0" applyFont="1" applyFill="1" applyBorder="1" applyAlignment="1">
      <alignment horizontal="left" vertical="center" wrapText="1"/>
    </xf>
    <xf numFmtId="0" fontId="45" fillId="0" borderId="7" xfId="0" applyFont="1" applyFill="1" applyBorder="1" applyAlignment="1">
      <alignment horizontal="left" vertical="center" wrapText="1"/>
    </xf>
    <xf numFmtId="49" fontId="30" fillId="2" borderId="8" xfId="0" applyNumberFormat="1" applyFont="1" applyFill="1" applyBorder="1" applyAlignment="1">
      <alignment horizontal="center" vertical="center" wrapText="1"/>
    </xf>
    <xf numFmtId="49" fontId="30" fillId="2" borderId="7" xfId="0" applyNumberFormat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left" vertical="center"/>
    </xf>
    <xf numFmtId="0" fontId="29" fillId="2" borderId="26" xfId="0" applyFont="1" applyFill="1" applyBorder="1" applyAlignment="1">
      <alignment horizontal="left" vertical="center" wrapText="1"/>
    </xf>
    <xf numFmtId="169" fontId="30" fillId="4" borderId="1" xfId="0" applyNumberFormat="1" applyFont="1" applyFill="1" applyBorder="1" applyAlignment="1">
      <alignment horizontal="left"/>
    </xf>
    <xf numFmtId="169" fontId="30" fillId="4" borderId="7" xfId="0" applyNumberFormat="1" applyFont="1" applyFill="1" applyBorder="1" applyAlignment="1">
      <alignment horizontal="left"/>
    </xf>
    <xf numFmtId="167" fontId="29" fillId="0" borderId="26" xfId="7" applyNumberFormat="1" applyFont="1" applyFill="1" applyBorder="1" applyAlignment="1">
      <alignment horizontal="center" vertical="center" wrapText="1"/>
    </xf>
    <xf numFmtId="167" fontId="29" fillId="0" borderId="2" xfId="7" applyNumberFormat="1" applyFont="1" applyFill="1" applyBorder="1" applyAlignment="1">
      <alignment horizontal="center" vertical="center" wrapText="1"/>
    </xf>
    <xf numFmtId="169" fontId="29" fillId="0" borderId="1" xfId="0" applyNumberFormat="1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29" fillId="0" borderId="26" xfId="2" applyFont="1" applyFill="1" applyBorder="1" applyAlignment="1">
      <alignment horizontal="left" vertical="center" wrapText="1"/>
    </xf>
    <xf numFmtId="167" fontId="29" fillId="0" borderId="26" xfId="0" applyNumberFormat="1" applyFont="1" applyFill="1" applyBorder="1" applyAlignment="1">
      <alignment horizontal="center" vertical="center" wrapText="1"/>
    </xf>
    <xf numFmtId="169" fontId="29" fillId="2" borderId="1" xfId="0" applyNumberFormat="1" applyFont="1" applyFill="1" applyBorder="1" applyAlignment="1">
      <alignment horizontal="center" vertical="center"/>
    </xf>
    <xf numFmtId="0" fontId="45" fillId="0" borderId="26" xfId="0" applyFont="1" applyFill="1" applyBorder="1" applyAlignment="1">
      <alignment vertical="center" wrapText="1"/>
    </xf>
    <xf numFmtId="169" fontId="45" fillId="0" borderId="1" xfId="0" applyNumberFormat="1" applyFont="1" applyFill="1" applyBorder="1" applyAlignment="1">
      <alignment horizontal="center" vertical="center"/>
    </xf>
    <xf numFmtId="0" fontId="44" fillId="2" borderId="26" xfId="0" applyFont="1" applyFill="1" applyBorder="1" applyAlignment="1">
      <alignment horizontal="center" vertical="center"/>
    </xf>
    <xf numFmtId="0" fontId="44" fillId="2" borderId="7" xfId="0" applyFont="1" applyFill="1" applyBorder="1" applyAlignment="1">
      <alignment horizontal="center" vertical="center"/>
    </xf>
    <xf numFmtId="168" fontId="44" fillId="0" borderId="26" xfId="0" applyNumberFormat="1" applyFont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169" fontId="30" fillId="4" borderId="28" xfId="0" applyNumberFormat="1" applyFont="1" applyFill="1" applyBorder="1" applyAlignment="1">
      <alignment horizontal="left"/>
    </xf>
    <xf numFmtId="169" fontId="30" fillId="4" borderId="29" xfId="0" applyNumberFormat="1" applyFont="1" applyFill="1" applyBorder="1" applyAlignment="1">
      <alignment horizontal="left"/>
    </xf>
    <xf numFmtId="0" fontId="45" fillId="0" borderId="8" xfId="0" applyFont="1" applyFill="1" applyBorder="1" applyAlignment="1">
      <alignment horizontal="left" vertical="top" wrapText="1"/>
    </xf>
    <xf numFmtId="0" fontId="45" fillId="0" borderId="2" xfId="0" applyFont="1" applyFill="1" applyBorder="1" applyAlignment="1">
      <alignment horizontal="left" vertical="top" wrapText="1"/>
    </xf>
    <xf numFmtId="0" fontId="45" fillId="0" borderId="7" xfId="0" applyFont="1" applyFill="1" applyBorder="1" applyAlignment="1">
      <alignment horizontal="left" vertical="top" wrapText="1"/>
    </xf>
    <xf numFmtId="0" fontId="29" fillId="2" borderId="26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left" wrapText="1"/>
    </xf>
    <xf numFmtId="0" fontId="30" fillId="3" borderId="1" xfId="0" applyFont="1" applyFill="1" applyBorder="1" applyAlignment="1">
      <alignment horizontal="left" vertical="center"/>
    </xf>
    <xf numFmtId="0" fontId="45" fillId="2" borderId="26" xfId="0" applyFont="1" applyFill="1" applyBorder="1" applyAlignment="1">
      <alignment horizontal="center" vertical="center"/>
    </xf>
    <xf numFmtId="167" fontId="30" fillId="3" borderId="24" xfId="0" applyNumberFormat="1" applyFont="1" applyFill="1" applyBorder="1"/>
    <xf numFmtId="167" fontId="30" fillId="3" borderId="32" xfId="0" applyNumberFormat="1" applyFont="1" applyFill="1" applyBorder="1"/>
    <xf numFmtId="49" fontId="44" fillId="0" borderId="8" xfId="0" applyNumberFormat="1" applyFont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/>
    </xf>
    <xf numFmtId="49" fontId="44" fillId="0" borderId="7" xfId="0" applyNumberFormat="1" applyFont="1" applyBorder="1" applyAlignment="1">
      <alignment horizontal="center" vertical="center"/>
    </xf>
    <xf numFmtId="169" fontId="30" fillId="0" borderId="8" xfId="0" applyNumberFormat="1" applyFont="1" applyFill="1" applyBorder="1" applyAlignment="1">
      <alignment horizontal="center" vertical="center" wrapText="1"/>
    </xf>
    <xf numFmtId="169" fontId="30" fillId="0" borderId="7" xfId="0" applyNumberFormat="1" applyFont="1" applyFill="1" applyBorder="1" applyAlignment="1">
      <alignment horizontal="center" vertical="center" wrapText="1"/>
    </xf>
    <xf numFmtId="0" fontId="29" fillId="2" borderId="26" xfId="2" applyFont="1" applyFill="1" applyBorder="1" applyAlignment="1">
      <alignment horizontal="left" vertical="top" wrapText="1"/>
    </xf>
    <xf numFmtId="0" fontId="29" fillId="2" borderId="2" xfId="2" applyFont="1" applyFill="1" applyBorder="1" applyAlignment="1">
      <alignment horizontal="left" vertical="top" wrapText="1"/>
    </xf>
    <xf numFmtId="0" fontId="29" fillId="2" borderId="7" xfId="2" applyFont="1" applyFill="1" applyBorder="1" applyAlignment="1">
      <alignment horizontal="left" vertical="top" wrapText="1"/>
    </xf>
    <xf numFmtId="167" fontId="29" fillId="2" borderId="7" xfId="7" applyNumberFormat="1" applyFont="1" applyFill="1" applyBorder="1" applyAlignment="1">
      <alignment horizontal="center" vertical="center" wrapText="1"/>
    </xf>
    <xf numFmtId="49" fontId="30" fillId="4" borderId="3" xfId="0" applyNumberFormat="1" applyFont="1" applyFill="1" applyBorder="1" applyAlignment="1">
      <alignment horizontal="left"/>
    </xf>
    <xf numFmtId="49" fontId="30" fillId="4" borderId="0" xfId="0" applyNumberFormat="1" applyFont="1" applyFill="1" applyBorder="1" applyAlignment="1">
      <alignment horizontal="left"/>
    </xf>
    <xf numFmtId="49" fontId="30" fillId="4" borderId="30" xfId="0" applyNumberFormat="1" applyFont="1" applyFill="1" applyBorder="1" applyAlignment="1">
      <alignment horizontal="left"/>
    </xf>
    <xf numFmtId="169" fontId="30" fillId="4" borderId="1" xfId="0" applyNumberFormat="1" applyFont="1" applyFill="1" applyBorder="1" applyAlignment="1">
      <alignment horizontal="left" vertical="center" wrapText="1"/>
    </xf>
    <xf numFmtId="169" fontId="45" fillId="0" borderId="8" xfId="0" applyNumberFormat="1" applyFont="1" applyFill="1" applyBorder="1" applyAlignment="1">
      <alignment vertical="center"/>
    </xf>
    <xf numFmtId="169" fontId="45" fillId="0" borderId="7" xfId="0" applyNumberFormat="1" applyFont="1" applyFill="1" applyBorder="1" applyAlignment="1">
      <alignment vertical="center"/>
    </xf>
    <xf numFmtId="0" fontId="44" fillId="4" borderId="4" xfId="0" applyFont="1" applyFill="1" applyBorder="1" applyAlignment="1">
      <alignment horizontal="left" vertical="center" wrapText="1"/>
    </xf>
    <xf numFmtId="0" fontId="44" fillId="4" borderId="5" xfId="0" applyFont="1" applyFill="1" applyBorder="1" applyAlignment="1">
      <alignment horizontal="left" vertical="center" wrapText="1"/>
    </xf>
    <xf numFmtId="0" fontId="44" fillId="4" borderId="6" xfId="0" applyFont="1" applyFill="1" applyBorder="1" applyAlignment="1">
      <alignment horizontal="left" vertical="center" wrapText="1"/>
    </xf>
    <xf numFmtId="0" fontId="30" fillId="4" borderId="28" xfId="0" applyFont="1" applyFill="1" applyBorder="1" applyAlignment="1">
      <alignment horizontal="left"/>
    </xf>
    <xf numFmtId="0" fontId="30" fillId="4" borderId="29" xfId="0" applyFont="1" applyFill="1" applyBorder="1" applyAlignment="1">
      <alignment horizontal="left"/>
    </xf>
    <xf numFmtId="169" fontId="30" fillId="3" borderId="27" xfId="0" applyNumberFormat="1" applyFont="1" applyFill="1" applyBorder="1" applyAlignment="1">
      <alignment horizontal="left"/>
    </xf>
    <xf numFmtId="169" fontId="30" fillId="3" borderId="28" xfId="0" applyNumberFormat="1" applyFont="1" applyFill="1" applyBorder="1" applyAlignment="1">
      <alignment horizontal="left"/>
    </xf>
    <xf numFmtId="169" fontId="30" fillId="3" borderId="29" xfId="0" applyNumberFormat="1" applyFont="1" applyFill="1" applyBorder="1" applyAlignment="1">
      <alignment horizontal="left"/>
    </xf>
    <xf numFmtId="169" fontId="29" fillId="0" borderId="8" xfId="158" applyNumberFormat="1" applyFont="1" applyFill="1" applyBorder="1" applyAlignment="1">
      <alignment horizontal="center" vertical="center"/>
    </xf>
    <xf numFmtId="169" fontId="29" fillId="0" borderId="7" xfId="158" applyNumberFormat="1" applyFont="1" applyFill="1" applyBorder="1" applyAlignment="1">
      <alignment horizontal="center" vertical="center"/>
    </xf>
    <xf numFmtId="49" fontId="29" fillId="0" borderId="8" xfId="158" applyNumberFormat="1" applyFont="1" applyFill="1" applyBorder="1" applyAlignment="1">
      <alignment horizontal="center" vertical="center"/>
    </xf>
    <xf numFmtId="49" fontId="29" fillId="0" borderId="7" xfId="158" applyNumberFormat="1" applyFont="1" applyFill="1" applyBorder="1" applyAlignment="1">
      <alignment horizontal="center" vertical="center"/>
    </xf>
    <xf numFmtId="169" fontId="29" fillId="0" borderId="2" xfId="158" applyNumberFormat="1" applyFont="1" applyFill="1" applyBorder="1" applyAlignment="1">
      <alignment horizontal="center" vertical="center"/>
    </xf>
    <xf numFmtId="49" fontId="29" fillId="0" borderId="2" xfId="158" applyNumberFormat="1" applyFont="1" applyFill="1" applyBorder="1" applyAlignment="1">
      <alignment horizontal="center" vertical="center"/>
    </xf>
    <xf numFmtId="0" fontId="29" fillId="0" borderId="8" xfId="158" applyFont="1" applyFill="1" applyBorder="1" applyAlignment="1">
      <alignment horizontal="left" vertical="center" wrapText="1"/>
    </xf>
    <xf numFmtId="0" fontId="29" fillId="0" borderId="2" xfId="158" applyFont="1" applyFill="1" applyBorder="1" applyAlignment="1">
      <alignment horizontal="left" vertical="center" wrapText="1"/>
    </xf>
    <xf numFmtId="0" fontId="29" fillId="0" borderId="7" xfId="158" applyFont="1" applyFill="1" applyBorder="1" applyAlignment="1">
      <alignment horizontal="left" vertical="center" wrapText="1"/>
    </xf>
    <xf numFmtId="169" fontId="49" fillId="2" borderId="8" xfId="0" applyNumberFormat="1" applyFont="1" applyFill="1" applyBorder="1" applyAlignment="1">
      <alignment horizontal="center" vertical="center"/>
    </xf>
    <xf numFmtId="169" fontId="49" fillId="2" borderId="7" xfId="0" applyNumberFormat="1" applyFont="1" applyFill="1" applyBorder="1" applyAlignment="1">
      <alignment horizontal="center" vertical="center"/>
    </xf>
    <xf numFmtId="1" fontId="49" fillId="2" borderId="8" xfId="0" applyNumberFormat="1" applyFont="1" applyFill="1" applyBorder="1" applyAlignment="1">
      <alignment horizontal="center" vertical="center"/>
    </xf>
    <xf numFmtId="1" fontId="49" fillId="2" borderId="7" xfId="0" applyNumberFormat="1" applyFont="1" applyFill="1" applyBorder="1" applyAlignment="1">
      <alignment horizontal="center" vertical="center"/>
    </xf>
    <xf numFmtId="171" fontId="30" fillId="0" borderId="8" xfId="0" applyNumberFormat="1" applyFont="1" applyFill="1" applyBorder="1" applyAlignment="1">
      <alignment horizontal="center" vertical="center"/>
    </xf>
    <xf numFmtId="171" fontId="30" fillId="0" borderId="7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left" vertical="top" wrapText="1"/>
    </xf>
    <xf numFmtId="0" fontId="29" fillId="0" borderId="7" xfId="0" applyFont="1" applyFill="1" applyBorder="1" applyAlignment="1">
      <alignment horizontal="left" vertical="top" wrapText="1"/>
    </xf>
    <xf numFmtId="49" fontId="29" fillId="0" borderId="4" xfId="0" applyNumberFormat="1" applyFont="1" applyFill="1" applyBorder="1" applyAlignment="1">
      <alignment horizontal="center" vertical="top"/>
    </xf>
    <xf numFmtId="1" fontId="45" fillId="2" borderId="26" xfId="0" applyNumberFormat="1" applyFont="1" applyFill="1" applyBorder="1" applyAlignment="1">
      <alignment horizontal="center" vertical="center"/>
    </xf>
    <xf numFmtId="169" fontId="45" fillId="2" borderId="1" xfId="0" applyNumberFormat="1" applyFont="1" applyFill="1" applyBorder="1" applyAlignment="1">
      <alignment horizontal="center" vertical="center" wrapText="1"/>
    </xf>
    <xf numFmtId="1" fontId="45" fillId="2" borderId="1" xfId="0" applyNumberFormat="1" applyFont="1" applyFill="1" applyBorder="1" applyAlignment="1">
      <alignment vertical="center" wrapText="1"/>
    </xf>
    <xf numFmtId="169" fontId="45" fillId="2" borderId="1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top"/>
    </xf>
    <xf numFmtId="49" fontId="29" fillId="0" borderId="2" xfId="0" applyNumberFormat="1" applyFont="1" applyFill="1" applyBorder="1" applyAlignment="1">
      <alignment horizontal="center" vertical="top"/>
    </xf>
    <xf numFmtId="49" fontId="30" fillId="0" borderId="8" xfId="0" applyNumberFormat="1" applyFont="1" applyFill="1" applyBorder="1" applyAlignment="1">
      <alignment horizontal="center" vertical="top"/>
    </xf>
    <xf numFmtId="49" fontId="30" fillId="0" borderId="7" xfId="0" applyNumberFormat="1" applyFont="1" applyFill="1" applyBorder="1" applyAlignment="1">
      <alignment horizontal="center" vertical="top"/>
    </xf>
    <xf numFmtId="0" fontId="30" fillId="0" borderId="1" xfId="2" applyFont="1" applyFill="1" applyBorder="1" applyAlignment="1">
      <alignment horizontal="center" vertical="top" wrapText="1"/>
    </xf>
    <xf numFmtId="0" fontId="29" fillId="0" borderId="8" xfId="0" applyFont="1" applyFill="1" applyBorder="1" applyAlignment="1">
      <alignment horizontal="center" vertical="top"/>
    </xf>
    <xf numFmtId="0" fontId="29" fillId="0" borderId="2" xfId="0" applyFont="1" applyFill="1" applyBorder="1" applyAlignment="1">
      <alignment horizontal="center" vertical="top"/>
    </xf>
    <xf numFmtId="0" fontId="29" fillId="0" borderId="8" xfId="0" applyFont="1" applyFill="1" applyBorder="1" applyAlignment="1">
      <alignment horizontal="left" vertical="top" wrapText="1"/>
    </xf>
    <xf numFmtId="167" fontId="29" fillId="0" borderId="8" xfId="7" applyNumberFormat="1" applyFont="1" applyFill="1" applyBorder="1" applyAlignment="1">
      <alignment horizontal="center" vertical="center" wrapText="1"/>
    </xf>
    <xf numFmtId="0" fontId="30" fillId="0" borderId="1" xfId="2" applyFont="1" applyFill="1" applyBorder="1" applyAlignment="1">
      <alignment horizontal="center" vertical="center" wrapText="1"/>
    </xf>
    <xf numFmtId="0" fontId="30" fillId="3" borderId="26" xfId="2" applyFont="1" applyFill="1" applyBorder="1" applyAlignment="1">
      <alignment horizontal="center" vertical="center" wrapText="1"/>
    </xf>
    <xf numFmtId="0" fontId="29" fillId="3" borderId="4" xfId="2" applyFont="1" applyFill="1" applyBorder="1" applyAlignment="1">
      <alignment horizontal="center" vertical="top" wrapText="1"/>
    </xf>
    <xf numFmtId="0" fontId="29" fillId="3" borderId="5" xfId="2" applyFont="1" applyFill="1" applyBorder="1" applyAlignment="1">
      <alignment horizontal="center" vertical="top" wrapText="1"/>
    </xf>
    <xf numFmtId="0" fontId="29" fillId="3" borderId="6" xfId="2" applyFont="1" applyFill="1" applyBorder="1" applyAlignment="1">
      <alignment horizontal="center" vertical="top" wrapText="1"/>
    </xf>
    <xf numFmtId="169" fontId="30" fillId="0" borderId="2" xfId="0" applyNumberFormat="1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left" vertical="center" wrapText="1"/>
    </xf>
    <xf numFmtId="168" fontId="30" fillId="2" borderId="1" xfId="0" applyNumberFormat="1" applyFont="1" applyFill="1" applyBorder="1" applyAlignment="1">
      <alignment horizontal="center" vertical="center"/>
    </xf>
    <xf numFmtId="169" fontId="29" fillId="2" borderId="1" xfId="0" applyNumberFormat="1" applyFont="1" applyFill="1" applyBorder="1" applyAlignment="1">
      <alignment horizontal="left" vertical="center" wrapText="1"/>
    </xf>
    <xf numFmtId="49" fontId="29" fillId="2" borderId="8" xfId="0" applyNumberFormat="1" applyFont="1" applyFill="1" applyBorder="1" applyAlignment="1">
      <alignment horizontal="center" vertical="top" wrapText="1"/>
    </xf>
    <xf numFmtId="49" fontId="29" fillId="2" borderId="2" xfId="0" applyNumberFormat="1" applyFont="1" applyFill="1" applyBorder="1" applyAlignment="1">
      <alignment horizontal="center" vertical="top" wrapText="1"/>
    </xf>
    <xf numFmtId="49" fontId="29" fillId="2" borderId="7" xfId="0" applyNumberFormat="1" applyFont="1" applyFill="1" applyBorder="1" applyAlignment="1">
      <alignment horizontal="center" vertical="top" wrapText="1"/>
    </xf>
    <xf numFmtId="49" fontId="29" fillId="2" borderId="8" xfId="0" applyNumberFormat="1" applyFont="1" applyFill="1" applyBorder="1" applyAlignment="1">
      <alignment horizontal="center" vertical="top"/>
    </xf>
    <xf numFmtId="49" fontId="29" fillId="2" borderId="7" xfId="0" applyNumberFormat="1" applyFont="1" applyFill="1" applyBorder="1" applyAlignment="1">
      <alignment horizontal="center" vertical="top"/>
    </xf>
    <xf numFmtId="0" fontId="29" fillId="2" borderId="8" xfId="0" applyFont="1" applyFill="1" applyBorder="1" applyAlignment="1">
      <alignment horizontal="left" vertical="top" wrapText="1"/>
    </xf>
    <xf numFmtId="0" fontId="29" fillId="2" borderId="7" xfId="0" applyFont="1" applyFill="1" applyBorder="1" applyAlignment="1">
      <alignment horizontal="left" vertical="top" wrapText="1"/>
    </xf>
    <xf numFmtId="49" fontId="29" fillId="0" borderId="8" xfId="0" applyNumberFormat="1" applyFont="1" applyFill="1" applyBorder="1" applyAlignment="1">
      <alignment horizontal="center" vertical="center" wrapText="1"/>
    </xf>
    <xf numFmtId="49" fontId="29" fillId="0" borderId="2" xfId="0" applyNumberFormat="1" applyFont="1" applyFill="1" applyBorder="1" applyAlignment="1">
      <alignment horizontal="center" vertical="center" wrapText="1"/>
    </xf>
    <xf numFmtId="49" fontId="29" fillId="0" borderId="7" xfId="0" applyNumberFormat="1" applyFont="1" applyFill="1" applyBorder="1" applyAlignment="1">
      <alignment horizontal="center" vertical="center" wrapText="1"/>
    </xf>
    <xf numFmtId="49" fontId="30" fillId="4" borderId="4" xfId="0" applyNumberFormat="1" applyFont="1" applyFill="1" applyBorder="1" applyAlignment="1">
      <alignment horizontal="left"/>
    </xf>
    <xf numFmtId="49" fontId="30" fillId="4" borderId="5" xfId="0" applyNumberFormat="1" applyFont="1" applyFill="1" applyBorder="1" applyAlignment="1">
      <alignment horizontal="left"/>
    </xf>
    <xf numFmtId="49" fontId="29" fillId="0" borderId="27" xfId="0" applyNumberFormat="1" applyFont="1" applyFill="1" applyBorder="1" applyAlignment="1">
      <alignment horizontal="center" vertical="top"/>
    </xf>
    <xf numFmtId="49" fontId="29" fillId="0" borderId="10" xfId="0" applyNumberFormat="1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left" vertical="center" wrapText="1"/>
    </xf>
    <xf numFmtId="167" fontId="30" fillId="0" borderId="1" xfId="7" applyNumberFormat="1" applyFont="1" applyFill="1" applyBorder="1" applyAlignment="1">
      <alignment horizontal="center" vertical="center" wrapText="1"/>
    </xf>
    <xf numFmtId="167" fontId="30" fillId="0" borderId="7" xfId="7" applyNumberFormat="1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167" fontId="30" fillId="0" borderId="29" xfId="7" applyNumberFormat="1" applyFont="1" applyFill="1" applyBorder="1" applyAlignment="1">
      <alignment horizontal="center" vertical="center" wrapText="1"/>
    </xf>
    <xf numFmtId="167" fontId="30" fillId="0" borderId="9" xfId="7" applyNumberFormat="1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vertical="center" wrapText="1"/>
    </xf>
    <xf numFmtId="0" fontId="30" fillId="0" borderId="7" xfId="0" applyFont="1" applyFill="1" applyBorder="1" applyAlignment="1">
      <alignment vertical="center" wrapText="1"/>
    </xf>
    <xf numFmtId="49" fontId="30" fillId="0" borderId="2" xfId="0" applyNumberFormat="1" applyFont="1" applyFill="1" applyBorder="1" applyAlignment="1">
      <alignment horizontal="center" vertical="top"/>
    </xf>
    <xf numFmtId="0" fontId="29" fillId="0" borderId="8" xfId="0" applyFont="1" applyFill="1" applyBorder="1" applyAlignment="1">
      <alignment horizontal="center" vertical="top" wrapText="1"/>
    </xf>
    <xf numFmtId="0" fontId="29" fillId="0" borderId="2" xfId="0" applyFont="1" applyFill="1" applyBorder="1" applyAlignment="1">
      <alignment horizontal="center" vertical="top" wrapText="1"/>
    </xf>
    <xf numFmtId="0" fontId="29" fillId="0" borderId="7" xfId="0" applyFont="1" applyFill="1" applyBorder="1" applyAlignment="1">
      <alignment horizontal="center" vertical="top" wrapText="1"/>
    </xf>
    <xf numFmtId="168" fontId="29" fillId="2" borderId="1" xfId="151" applyNumberFormat="1" applyFont="1" applyFill="1" applyBorder="1" applyAlignment="1">
      <alignment horizontal="left" vertical="top" wrapText="1"/>
    </xf>
    <xf numFmtId="4" fontId="29" fillId="2" borderId="8" xfId="3" applyNumberFormat="1" applyFont="1" applyFill="1" applyBorder="1" applyAlignment="1">
      <alignment horizontal="left" vertical="top" wrapText="1"/>
    </xf>
    <xf numFmtId="0" fontId="29" fillId="2" borderId="7" xfId="0" applyFont="1" applyFill="1" applyBorder="1" applyAlignment="1">
      <alignment horizontal="right" vertical="center" wrapText="1"/>
    </xf>
    <xf numFmtId="169" fontId="29" fillId="0" borderId="8" xfId="0" applyNumberFormat="1" applyFont="1" applyBorder="1" applyAlignment="1">
      <alignment horizontal="right" vertical="center"/>
    </xf>
    <xf numFmtId="169" fontId="29" fillId="0" borderId="2" xfId="0" applyNumberFormat="1" applyFont="1" applyBorder="1" applyAlignment="1">
      <alignment horizontal="right" vertical="center"/>
    </xf>
    <xf numFmtId="169" fontId="29" fillId="0" borderId="7" xfId="0" applyNumberFormat="1" applyFont="1" applyBorder="1" applyAlignment="1">
      <alignment horizontal="right" vertical="center"/>
    </xf>
    <xf numFmtId="170" fontId="30" fillId="2" borderId="0" xfId="0" applyNumberFormat="1" applyFont="1" applyFill="1" applyBorder="1" applyAlignment="1">
      <alignment horizontal="left" vertical="center" wrapText="1"/>
    </xf>
    <xf numFmtId="49" fontId="30" fillId="0" borderId="0" xfId="0" applyNumberFormat="1" applyFont="1" applyAlignment="1">
      <alignment wrapText="1"/>
    </xf>
    <xf numFmtId="169" fontId="30" fillId="0" borderId="8" xfId="0" applyNumberFormat="1" applyFont="1" applyBorder="1" applyAlignment="1">
      <alignment horizontal="center" vertical="center" wrapText="1"/>
    </xf>
    <xf numFmtId="169" fontId="30" fillId="0" borderId="2" xfId="0" applyNumberFormat="1" applyFont="1" applyBorder="1" applyAlignment="1">
      <alignment horizontal="center" vertical="center" wrapText="1"/>
    </xf>
    <xf numFmtId="169" fontId="30" fillId="0" borderId="7" xfId="0" applyNumberFormat="1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168" fontId="30" fillId="0" borderId="1" xfId="0" applyNumberFormat="1" applyFont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167" fontId="29" fillId="2" borderId="4" xfId="1" applyNumberFormat="1" applyFont="1" applyFill="1" applyBorder="1" applyAlignment="1">
      <alignment horizontal="center" vertical="center" wrapText="1"/>
    </xf>
    <xf numFmtId="167" fontId="29" fillId="2" borderId="5" xfId="1" applyNumberFormat="1" applyFont="1" applyFill="1" applyBorder="1" applyAlignment="1">
      <alignment horizontal="center" vertical="center" wrapText="1"/>
    </xf>
    <xf numFmtId="167" fontId="30" fillId="2" borderId="4" xfId="1" applyNumberFormat="1" applyFont="1" applyFill="1" applyBorder="1" applyAlignment="1">
      <alignment horizontal="center" vertical="center" wrapText="1"/>
    </xf>
    <xf numFmtId="167" fontId="30" fillId="2" borderId="5" xfId="1" applyNumberFormat="1" applyFont="1" applyFill="1" applyBorder="1" applyAlignment="1">
      <alignment horizontal="center" vertical="center" wrapText="1"/>
    </xf>
    <xf numFmtId="167" fontId="30" fillId="3" borderId="1" xfId="0" applyNumberFormat="1" applyFont="1" applyFill="1" applyBorder="1" applyAlignment="1">
      <alignment horizontal="center"/>
    </xf>
    <xf numFmtId="168" fontId="30" fillId="0" borderId="8" xfId="0" applyNumberFormat="1" applyFont="1" applyFill="1" applyBorder="1" applyAlignment="1">
      <alignment horizontal="center" vertical="center"/>
    </xf>
    <xf numFmtId="168" fontId="30" fillId="0" borderId="7" xfId="0" applyNumberFormat="1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top"/>
    </xf>
    <xf numFmtId="0" fontId="30" fillId="0" borderId="10" xfId="0" applyFont="1" applyFill="1" applyBorder="1" applyAlignment="1">
      <alignment horizontal="center" vertical="top"/>
    </xf>
    <xf numFmtId="0" fontId="30" fillId="0" borderId="1" xfId="0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center" vertical="top"/>
    </xf>
    <xf numFmtId="168" fontId="29" fillId="2" borderId="8" xfId="0" applyNumberFormat="1" applyFont="1" applyFill="1" applyBorder="1" applyAlignment="1">
      <alignment horizontal="left" vertical="center" wrapText="1"/>
    </xf>
    <xf numFmtId="168" fontId="29" fillId="2" borderId="2" xfId="0" applyNumberFormat="1" applyFont="1" applyFill="1" applyBorder="1" applyAlignment="1">
      <alignment horizontal="left" vertical="center" wrapText="1"/>
    </xf>
    <xf numFmtId="168" fontId="29" fillId="2" borderId="7" xfId="0" applyNumberFormat="1" applyFont="1" applyFill="1" applyBorder="1" applyAlignment="1">
      <alignment horizontal="left" vertical="center" wrapText="1"/>
    </xf>
    <xf numFmtId="0" fontId="29" fillId="2" borderId="8" xfId="3" applyFont="1" applyFill="1" applyBorder="1" applyAlignment="1">
      <alignment horizontal="left" vertical="top" wrapText="1"/>
    </xf>
    <xf numFmtId="0" fontId="29" fillId="2" borderId="7" xfId="3" applyFont="1" applyFill="1" applyBorder="1" applyAlignment="1">
      <alignment horizontal="left" vertical="top" wrapText="1"/>
    </xf>
    <xf numFmtId="0" fontId="29" fillId="2" borderId="2" xfId="0" applyFont="1" applyFill="1" applyBorder="1" applyAlignment="1">
      <alignment horizontal="left" wrapText="1"/>
    </xf>
    <xf numFmtId="0" fontId="29" fillId="2" borderId="7" xfId="0" applyFont="1" applyFill="1" applyBorder="1" applyAlignment="1">
      <alignment horizontal="left" wrapText="1"/>
    </xf>
    <xf numFmtId="0" fontId="29" fillId="28" borderId="12" xfId="0" applyFont="1" applyFill="1" applyBorder="1" applyAlignment="1">
      <alignment horizontal="left" vertical="center" wrapText="1"/>
    </xf>
    <xf numFmtId="0" fontId="29" fillId="28" borderId="5" xfId="0" applyFont="1" applyFill="1" applyBorder="1" applyAlignment="1">
      <alignment horizontal="left" vertical="center" wrapText="1"/>
    </xf>
    <xf numFmtId="0" fontId="29" fillId="2" borderId="7" xfId="0" applyFont="1" applyFill="1" applyBorder="1" applyAlignment="1">
      <alignment horizontal="right" vertical="center"/>
    </xf>
    <xf numFmtId="3" fontId="29" fillId="2" borderId="8" xfId="3" applyNumberFormat="1" applyFont="1" applyFill="1" applyBorder="1" applyAlignment="1">
      <alignment horizontal="center" vertical="center" wrapText="1"/>
    </xf>
    <xf numFmtId="3" fontId="29" fillId="2" borderId="7" xfId="3" applyNumberFormat="1" applyFont="1" applyFill="1" applyBorder="1" applyAlignment="1">
      <alignment horizontal="center" vertical="center" wrapText="1"/>
    </xf>
    <xf numFmtId="168" fontId="30" fillId="0" borderId="8" xfId="0" applyNumberFormat="1" applyFont="1" applyBorder="1" applyAlignment="1">
      <alignment horizontal="right" vertical="center"/>
    </xf>
    <xf numFmtId="168" fontId="30" fillId="0" borderId="2" xfId="0" applyNumberFormat="1" applyFont="1" applyBorder="1" applyAlignment="1">
      <alignment horizontal="right" vertical="center"/>
    </xf>
    <xf numFmtId="168" fontId="30" fillId="0" borderId="7" xfId="0" applyNumberFormat="1" applyFont="1" applyBorder="1" applyAlignment="1">
      <alignment horizontal="right" vertical="center"/>
    </xf>
    <xf numFmtId="0" fontId="29" fillId="2" borderId="1" xfId="0" applyFont="1" applyFill="1" applyBorder="1" applyAlignment="1">
      <alignment horizontal="left" vertical="top" wrapText="1"/>
    </xf>
    <xf numFmtId="0" fontId="30" fillId="3" borderId="4" xfId="0" applyFont="1" applyFill="1" applyBorder="1" applyAlignment="1">
      <alignment horizontal="left"/>
    </xf>
    <xf numFmtId="0" fontId="30" fillId="3" borderId="5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29" fillId="0" borderId="26" xfId="0" applyFont="1" applyFill="1" applyBorder="1" applyAlignment="1">
      <alignment horizontal="left" vertical="top" wrapText="1"/>
    </xf>
    <xf numFmtId="0" fontId="29" fillId="0" borderId="26" xfId="0" applyFont="1" applyFill="1" applyBorder="1" applyAlignment="1">
      <alignment horizontal="center" wrapText="1"/>
    </xf>
    <xf numFmtId="0" fontId="29" fillId="0" borderId="7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vertical="center" wrapText="1"/>
    </xf>
    <xf numFmtId="167" fontId="30" fillId="3" borderId="3" xfId="0" applyNumberFormat="1" applyFont="1" applyFill="1" applyBorder="1" applyAlignment="1"/>
    <xf numFmtId="167" fontId="30" fillId="3" borderId="0" xfId="0" applyNumberFormat="1" applyFont="1" applyFill="1" applyBorder="1" applyAlignment="1"/>
    <xf numFmtId="0" fontId="29" fillId="3" borderId="0" xfId="0" applyFont="1" applyFill="1" applyAlignment="1"/>
    <xf numFmtId="167" fontId="30" fillId="0" borderId="8" xfId="7" applyNumberFormat="1" applyFont="1" applyFill="1" applyBorder="1" applyAlignment="1">
      <alignment horizontal="center" vertical="center"/>
    </xf>
    <xf numFmtId="167" fontId="30" fillId="0" borderId="7" xfId="7" applyNumberFormat="1" applyFont="1" applyFill="1" applyBorder="1" applyAlignment="1">
      <alignment horizontal="center" vertical="center"/>
    </xf>
    <xf numFmtId="167" fontId="30" fillId="2" borderId="26" xfId="0" applyNumberFormat="1" applyFont="1" applyFill="1" applyBorder="1" applyAlignment="1">
      <alignment horizontal="center" vertical="center" wrapText="1"/>
    </xf>
    <xf numFmtId="167" fontId="30" fillId="2" borderId="7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30" fillId="3" borderId="1" xfId="0" applyFont="1" applyFill="1" applyBorder="1" applyAlignment="1">
      <alignment vertical="center" wrapText="1"/>
    </xf>
    <xf numFmtId="167" fontId="30" fillId="2" borderId="29" xfId="0" applyNumberFormat="1" applyFont="1" applyFill="1" applyBorder="1" applyAlignment="1">
      <alignment horizontal="center" vertical="center" wrapText="1"/>
    </xf>
    <xf numFmtId="167" fontId="30" fillId="2" borderId="9" xfId="0" applyNumberFormat="1" applyFont="1" applyFill="1" applyBorder="1" applyAlignment="1">
      <alignment horizontal="center" vertical="center" wrapText="1"/>
    </xf>
    <xf numFmtId="168" fontId="29" fillId="2" borderId="1" xfId="151" applyNumberFormat="1" applyFont="1" applyFill="1" applyBorder="1" applyAlignment="1">
      <alignment horizontal="left" vertical="center" wrapText="1"/>
    </xf>
    <xf numFmtId="49" fontId="30" fillId="3" borderId="1" xfId="0" applyNumberFormat="1" applyFont="1" applyFill="1" applyBorder="1" applyAlignment="1">
      <alignment horizontal="left" vertical="center"/>
    </xf>
    <xf numFmtId="49" fontId="30" fillId="4" borderId="6" xfId="0" applyNumberFormat="1" applyFont="1" applyFill="1" applyBorder="1" applyAlignment="1">
      <alignment horizontal="left"/>
    </xf>
    <xf numFmtId="0" fontId="29" fillId="0" borderId="8" xfId="2" applyFont="1" applyFill="1" applyBorder="1" applyAlignment="1">
      <alignment horizontal="center" vertical="center" wrapText="1"/>
    </xf>
    <xf numFmtId="0" fontId="29" fillId="0" borderId="2" xfId="2" applyFont="1" applyFill="1" applyBorder="1" applyAlignment="1">
      <alignment horizontal="center" vertical="center" wrapTex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top" wrapText="1"/>
    </xf>
    <xf numFmtId="0" fontId="29" fillId="2" borderId="4" xfId="0" applyFont="1" applyFill="1" applyBorder="1" applyAlignment="1">
      <alignment horizontal="center" vertical="center" wrapText="1"/>
    </xf>
    <xf numFmtId="0" fontId="45" fillId="0" borderId="8" xfId="0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49" fontId="45" fillId="0" borderId="8" xfId="0" applyNumberFormat="1" applyFont="1" applyFill="1" applyBorder="1" applyAlignment="1">
      <alignment horizontal="left" vertical="center" wrapText="1"/>
    </xf>
    <xf numFmtId="49" fontId="45" fillId="0" borderId="7" xfId="0" applyNumberFormat="1" applyFont="1" applyFill="1" applyBorder="1" applyAlignment="1">
      <alignment horizontal="left" vertical="center" wrapText="1"/>
    </xf>
    <xf numFmtId="0" fontId="45" fillId="0" borderId="8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7" xfId="0" applyFont="1" applyFill="1" applyBorder="1" applyAlignment="1">
      <alignment horizontal="center" vertical="center"/>
    </xf>
    <xf numFmtId="170" fontId="44" fillId="4" borderId="28" xfId="0" applyNumberFormat="1" applyFont="1" applyFill="1" applyBorder="1" applyAlignment="1">
      <alignment horizontal="left" vertical="center"/>
    </xf>
    <xf numFmtId="170" fontId="44" fillId="4" borderId="29" xfId="0" applyNumberFormat="1" applyFont="1" applyFill="1" applyBorder="1" applyAlignment="1">
      <alignment horizontal="left" vertical="center"/>
    </xf>
    <xf numFmtId="0" fontId="44" fillId="0" borderId="8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45" fillId="0" borderId="8" xfId="2" applyFont="1" applyFill="1" applyBorder="1" applyAlignment="1">
      <alignment horizontal="center" vertical="center" wrapText="1"/>
    </xf>
    <xf numFmtId="0" fontId="45" fillId="0" borderId="7" xfId="2" applyFont="1" applyFill="1" applyBorder="1" applyAlignment="1">
      <alignment horizontal="center" vertical="center" wrapText="1"/>
    </xf>
    <xf numFmtId="49" fontId="44" fillId="0" borderId="1" xfId="0" applyNumberFormat="1" applyFont="1" applyFill="1" applyBorder="1" applyAlignment="1">
      <alignment horizontal="center" vertical="center"/>
    </xf>
    <xf numFmtId="0" fontId="44" fillId="0" borderId="26" xfId="0" applyFont="1" applyFill="1" applyBorder="1" applyAlignment="1">
      <alignment horizontal="center" vertical="center"/>
    </xf>
    <xf numFmtId="0" fontId="44" fillId="0" borderId="7" xfId="0" applyFont="1" applyFill="1" applyBorder="1" applyAlignment="1">
      <alignment horizontal="center" vertical="center"/>
    </xf>
    <xf numFmtId="168" fontId="30" fillId="0" borderId="8" xfId="0" applyNumberFormat="1" applyFont="1" applyBorder="1" applyAlignment="1">
      <alignment horizontal="center" vertical="center"/>
    </xf>
    <xf numFmtId="168" fontId="30" fillId="0" borderId="7" xfId="0" applyNumberFormat="1" applyFont="1" applyBorder="1" applyAlignment="1">
      <alignment horizontal="center" vertical="center"/>
    </xf>
    <xf numFmtId="0" fontId="29" fillId="0" borderId="8" xfId="158" applyFont="1" applyFill="1" applyBorder="1" applyAlignment="1">
      <alignment horizontal="center" vertical="center"/>
    </xf>
    <xf numFmtId="0" fontId="29" fillId="0" borderId="7" xfId="158" applyFont="1" applyFill="1" applyBorder="1" applyAlignment="1">
      <alignment horizontal="center" vertical="center"/>
    </xf>
    <xf numFmtId="0" fontId="44" fillId="3" borderId="0" xfId="0" applyFont="1" applyFill="1" applyBorder="1" applyAlignment="1">
      <alignment horizontal="left" vertical="center"/>
    </xf>
    <xf numFmtId="0" fontId="44" fillId="3" borderId="30" xfId="0" applyFont="1" applyFill="1" applyBorder="1" applyAlignment="1">
      <alignment horizontal="left" vertical="center"/>
    </xf>
    <xf numFmtId="0" fontId="44" fillId="4" borderId="1" xfId="0" applyFont="1" applyFill="1" applyBorder="1" applyAlignment="1">
      <alignment horizontal="left" vertical="center" wrapText="1"/>
    </xf>
    <xf numFmtId="169" fontId="30" fillId="3" borderId="4" xfId="0" applyNumberFormat="1" applyFont="1" applyFill="1" applyBorder="1" applyAlignment="1">
      <alignment horizontal="left"/>
    </xf>
    <xf numFmtId="169" fontId="30" fillId="3" borderId="5" xfId="0" applyNumberFormat="1" applyFont="1" applyFill="1" applyBorder="1" applyAlignment="1">
      <alignment horizontal="left"/>
    </xf>
    <xf numFmtId="169" fontId="30" fillId="3" borderId="6" xfId="0" applyNumberFormat="1" applyFont="1" applyFill="1" applyBorder="1" applyAlignment="1">
      <alignment horizontal="left"/>
    </xf>
    <xf numFmtId="167" fontId="30" fillId="0" borderId="29" xfId="7" applyNumberFormat="1" applyFont="1" applyFill="1" applyBorder="1" applyAlignment="1">
      <alignment horizontal="center" vertical="center"/>
    </xf>
    <xf numFmtId="167" fontId="30" fillId="0" borderId="9" xfId="7" applyNumberFormat="1" applyFont="1" applyFill="1" applyBorder="1" applyAlignment="1">
      <alignment horizontal="center" vertical="center"/>
    </xf>
  </cellXfs>
  <cellStyles count="165">
    <cellStyle name="20% - Accent1" xfId="63"/>
    <cellStyle name="20% - Accent2" xfId="64"/>
    <cellStyle name="20% - Accent3" xfId="65"/>
    <cellStyle name="20% - Accent4" xfId="66"/>
    <cellStyle name="20% - Accent5" xfId="67"/>
    <cellStyle name="20% - Accent6" xfId="68"/>
    <cellStyle name="40% - Accent1" xfId="69"/>
    <cellStyle name="40% - Accent2" xfId="70"/>
    <cellStyle name="40% - Accent3" xfId="71"/>
    <cellStyle name="40% - Accent4" xfId="72"/>
    <cellStyle name="40% - Accent5" xfId="73"/>
    <cellStyle name="40% - Accent6" xfId="74"/>
    <cellStyle name="60% - Accent1" xfId="75"/>
    <cellStyle name="60% - Accent2" xfId="76"/>
    <cellStyle name="60% - Accent3" xfId="77"/>
    <cellStyle name="60% - Accent4" xfId="78"/>
    <cellStyle name="60% - Accent5" xfId="79"/>
    <cellStyle name="60% - Accent6" xfId="80"/>
    <cellStyle name="Accent1" xfId="81"/>
    <cellStyle name="Accent2" xfId="82"/>
    <cellStyle name="Accent3" xfId="83"/>
    <cellStyle name="Accent4" xfId="84"/>
    <cellStyle name="Accent5" xfId="85"/>
    <cellStyle name="Accent6" xfId="86"/>
    <cellStyle name="Bad" xfId="87"/>
    <cellStyle name="Calculation" xfId="88"/>
    <cellStyle name="Check Cell" xfId="89"/>
    <cellStyle name="Excel Built-in Normal" xfId="157"/>
    <cellStyle name="Explanatory Text" xfId="90"/>
    <cellStyle name="Good" xfId="91"/>
    <cellStyle name="Heading 1" xfId="92"/>
    <cellStyle name="Heading 2" xfId="93"/>
    <cellStyle name="Heading 3" xfId="94"/>
    <cellStyle name="Heading 4" xfId="95"/>
    <cellStyle name="Input" xfId="96"/>
    <cellStyle name="Linked Cell" xfId="97"/>
    <cellStyle name="Neutral" xfId="98"/>
    <cellStyle name="Normal 4" xfId="9"/>
    <cellStyle name="Note" xfId="99"/>
    <cellStyle name="Output" xfId="100"/>
    <cellStyle name="Title" xfId="101"/>
    <cellStyle name="Total" xfId="102"/>
    <cellStyle name="Warning Text" xfId="103"/>
    <cellStyle name="Денежный 2" xfId="15"/>
    <cellStyle name="Обычный" xfId="0" builtinId="0"/>
    <cellStyle name="Обычный 10" xfId="152"/>
    <cellStyle name="Обычный 10 2" xfId="151"/>
    <cellStyle name="Обычный 11" xfId="158"/>
    <cellStyle name="Обычный 12" xfId="162"/>
    <cellStyle name="Обычный 13" xfId="160"/>
    <cellStyle name="Обычный 14" xfId="159"/>
    <cellStyle name="Обычный 2" xfId="2"/>
    <cellStyle name="Обычный 2 2" xfId="17"/>
    <cellStyle name="Обычный 2 2 2" xfId="105"/>
    <cellStyle name="Обычный 2 2 3" xfId="147"/>
    <cellStyle name="Обычный 2 2 4" xfId="156"/>
    <cellStyle name="Обычный 2 3" xfId="18"/>
    <cellStyle name="Обычный 2 4" xfId="104"/>
    <cellStyle name="Обычный 2 5" xfId="154"/>
    <cellStyle name="Обычный 2_09.04.2014_Programme budget 2014_Education_Modified" xfId="3"/>
    <cellStyle name="Обычный 2_Бюджетный циркуляр 2015г.Нацстат 2" xfId="164"/>
    <cellStyle name="Обычный 3" xfId="5"/>
    <cellStyle name="Обычный 3 2" xfId="19"/>
    <cellStyle name="Обычный 3 3" xfId="20"/>
    <cellStyle name="Обычный 3 3 2" xfId="21"/>
    <cellStyle name="Обычный 3 3 2 2" xfId="4"/>
    <cellStyle name="Обычный 3 3 2 2 2" xfId="45"/>
    <cellStyle name="Обычный 3 3 2 2 3" xfId="109"/>
    <cellStyle name="Обычный 3 3 2 3" xfId="44"/>
    <cellStyle name="Обычный 3 3 2 4" xfId="108"/>
    <cellStyle name="Обычный 3 3 2_09.04.2014_Programme budget 2014_Education_Modified" xfId="110"/>
    <cellStyle name="Обычный 3 3 3" xfId="22"/>
    <cellStyle name="Обычный 3 3 3 2" xfId="46"/>
    <cellStyle name="Обычный 3 3 3 3" xfId="111"/>
    <cellStyle name="Обычный 3 3 4" xfId="43"/>
    <cellStyle name="Обычный 3 3 5" xfId="107"/>
    <cellStyle name="Обычный 3 3_09.04.2014_Programme budget 2014_Education_Modified" xfId="112"/>
    <cellStyle name="Обычный 3 4" xfId="23"/>
    <cellStyle name="Обычный 3 4 2" xfId="24"/>
    <cellStyle name="Обычный 3 4 2 2" xfId="48"/>
    <cellStyle name="Обычный 3 4 2 3" xfId="114"/>
    <cellStyle name="Обычный 3 4 3" xfId="47"/>
    <cellStyle name="Обычный 3 4 4" xfId="113"/>
    <cellStyle name="Обычный 3 4_09.04.2014_Programme budget 2014_Education_Modified" xfId="115"/>
    <cellStyle name="Обычный 3 5" xfId="25"/>
    <cellStyle name="Обычный 3 5 2" xfId="49"/>
    <cellStyle name="Обычный 3 5 3" xfId="116"/>
    <cellStyle name="Обычный 3 6" xfId="42"/>
    <cellStyle name="Обычный 3 7" xfId="106"/>
    <cellStyle name="Обычный 3_09.04.2014_Programme budget 2014_Education_Modified" xfId="117"/>
    <cellStyle name="Обычный 4" xfId="8"/>
    <cellStyle name="Обычный 4 2" xfId="27"/>
    <cellStyle name="Обычный 4 2 2" xfId="28"/>
    <cellStyle name="Обычный 4 2 2 2" xfId="52"/>
    <cellStyle name="Обычный 4 2 2 3" xfId="120"/>
    <cellStyle name="Обычный 4 2 3" xfId="51"/>
    <cellStyle name="Обычный 4 2 4" xfId="119"/>
    <cellStyle name="Обычный 4 2 5" xfId="145"/>
    <cellStyle name="Обычный 4 2_09.04.2014_Programme budget 2014_Education_Modified" xfId="121"/>
    <cellStyle name="Обычный 4 3" xfId="29"/>
    <cellStyle name="Обычный 4 3 2" xfId="53"/>
    <cellStyle name="Обычный 4 3 3" xfId="122"/>
    <cellStyle name="Обычный 4 4" xfId="50"/>
    <cellStyle name="Обычный 4 5" xfId="26"/>
    <cellStyle name="Обычный 4 6" xfId="118"/>
    <cellStyle name="Обычный 4 7" xfId="155"/>
    <cellStyle name="Обычный 4_09.04.2014_Programme budget 2014_Education_Modified" xfId="123"/>
    <cellStyle name="Обычный 5" xfId="6"/>
    <cellStyle name="Обычный 5 2" xfId="14"/>
    <cellStyle name="Обычный 5 3" xfId="124"/>
    <cellStyle name="Обычный 5 4" xfId="143"/>
    <cellStyle name="Обычный 6" xfId="13"/>
    <cellStyle name="Обычный 6 2" xfId="31"/>
    <cellStyle name="Обычный 6 2 2" xfId="32"/>
    <cellStyle name="Обычный 6 2 2 2" xfId="56"/>
    <cellStyle name="Обычный 6 2 2 3" xfId="127"/>
    <cellStyle name="Обычный 6 2 3" xfId="55"/>
    <cellStyle name="Обычный 6 2 4" xfId="126"/>
    <cellStyle name="Обычный 6 2_09.04.2014_Programme budget 2014_Education_Modified" xfId="128"/>
    <cellStyle name="Обычный 6 3" xfId="33"/>
    <cellStyle name="Обычный 6 3 2" xfId="57"/>
    <cellStyle name="Обычный 6 3 3" xfId="129"/>
    <cellStyle name="Обычный 6 4" xfId="54"/>
    <cellStyle name="Обычный 6 5" xfId="30"/>
    <cellStyle name="Обычный 6 6" xfId="125"/>
    <cellStyle name="Обычный 6_09.04.2014_Programme budget 2014_Education_Modified" xfId="130"/>
    <cellStyle name="Обычный 7" xfId="137"/>
    <cellStyle name="Обычный 8" xfId="138"/>
    <cellStyle name="Обычный 9" xfId="141"/>
    <cellStyle name="Процентный" xfId="163" builtinId="5"/>
    <cellStyle name="Процентный 2" xfId="10"/>
    <cellStyle name="Процентный 2 2" xfId="35"/>
    <cellStyle name="Процентный 2 3" xfId="34"/>
    <cellStyle name="Процентный 2 4" xfId="139"/>
    <cellStyle name="Процентный 3" xfId="11"/>
    <cellStyle name="Процентный 4" xfId="16"/>
    <cellStyle name="Процентный 5" xfId="136"/>
    <cellStyle name="Стиль 1" xfId="62"/>
    <cellStyle name="Финансовый" xfId="1" builtinId="3"/>
    <cellStyle name="Финансовый 10" xfId="161"/>
    <cellStyle name="Финансовый 2" xfId="12"/>
    <cellStyle name="Финансовый 2 2" xfId="37"/>
    <cellStyle name="Финансовый 2 2 2" xfId="38"/>
    <cellStyle name="Финансовый 2 2 2 2" xfId="39"/>
    <cellStyle name="Финансовый 2 2 2 2 2" xfId="60"/>
    <cellStyle name="Финансовый 2 2 2 2 3" xfId="133"/>
    <cellStyle name="Финансовый 2 2 2 3" xfId="59"/>
    <cellStyle name="Финансовый 2 2 2 4" xfId="132"/>
    <cellStyle name="Финансовый 2 2 3" xfId="40"/>
    <cellStyle name="Финансовый 2 2 3 2" xfId="61"/>
    <cellStyle name="Финансовый 2 2 3 3" xfId="134"/>
    <cellStyle name="Финансовый 2 2 4" xfId="58"/>
    <cellStyle name="Финансовый 2 2 5" xfId="131"/>
    <cellStyle name="Финансовый 2 3" xfId="36"/>
    <cellStyle name="Финансовый 2 4" xfId="140"/>
    <cellStyle name="Финансовый 3" xfId="7"/>
    <cellStyle name="Финансовый 3 2" xfId="41"/>
    <cellStyle name="Финансовый 3 3" xfId="144"/>
    <cellStyle name="Финансовый 3 4" xfId="146"/>
    <cellStyle name="Финансовый 4" xfId="135"/>
    <cellStyle name="Финансовый 4 2" xfId="142"/>
    <cellStyle name="Финансовый 4 3" xfId="150"/>
    <cellStyle name="Финансовый 5" xfId="148"/>
    <cellStyle name="Финансовый 6" xfId="149"/>
    <cellStyle name="Финансовый 7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5C0A~1.ISM/AppData/Local/Temp/&#1046;&#1086;&#1075;&#1086;&#1088;&#1082;&#1091;%20&#1050;&#1077;&#1085;&#1077;&#1096;%20&#1050;&#1056;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begaliev/AppData/Local/Microsoft/Windows/Temporary%20Internet%20Files/Content.Outlook/OM498AK5/1-&#1055;&#1088;&#1086;&#1075;&#1088;.%20&#1073;&#1102;&#1076;&#1078;&#1077;&#1090;%20&#1085;&#1072;%202020-2022&#1075;.%20&#1085;&#1072;%2060%20&#1095;&#1077;&#108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AR-24/Desktop/&#1041;&#1102;&#1076;&#1078;&#1077;&#1090;&#1085;&#1099;&#1081;%20&#1094;&#1080;&#1088;&#1082;&#1091;&#1083;&#1103;&#1088;%202019-2021&#1075;&#1075;/&#1053;&#1086;&#1074;&#1072;&#1103;%20&#1087;&#1072;&#1087;&#1082;&#1072;/&#1041;&#1070;&#1044;&#1046;&#1045;&#1058;&#1053;&#1067;&#1049;%20&#1062;&#1048;&#1056;&#1050;&#1059;&#1051;&#1071;&#1056;%202019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приложение 1 "/>
      <sheetName val="приложение  2"/>
      <sheetName val="пр 3-1"/>
      <sheetName val="пр 3-2"/>
      <sheetName val="Пр 3-3"/>
      <sheetName val="Пр 3-4"/>
      <sheetName val="пр 3-5"/>
      <sheetName val="пр 3-6"/>
      <sheetName val="пр 3-9"/>
      <sheetName val="пр 3-10"/>
      <sheetName val="пр 3-11"/>
      <sheetName val="пр 3-12"/>
      <sheetName val="пр 3-13"/>
      <sheetName val="пр 3-14"/>
      <sheetName val="пр 3-15"/>
      <sheetName val="пр 3-16"/>
      <sheetName val="пр 3-17"/>
      <sheetName val="пр 3-18"/>
      <sheetName val="пр 3-19"/>
      <sheetName val="пр 3-20"/>
      <sheetName val="приложение 4-1"/>
      <sheetName val="приложение 4-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1 "/>
      <sheetName val="приложение  2"/>
      <sheetName val="приложение 3"/>
      <sheetName val="приложение 4-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2019"/>
      <sheetName val="приложение  4"/>
      <sheetName val="приложение 5"/>
      <sheetName val="приложение 8-1"/>
    </sheetNames>
    <sheetDataSet>
      <sheetData sheetId="0" refreshError="1">
        <row r="10">
          <cell r="M10" t="str">
            <v>количество сотрудников, прошедших курсы повышения квалификации от общего количества сотрудников</v>
          </cell>
        </row>
        <row r="14">
          <cell r="M14" t="str">
            <v>количество мероприятий реализованных по итогам исполнения  детализированного плана по демонтажу системной коррупции в сфере антимонопольного регулирования</v>
          </cell>
        </row>
        <row r="15">
          <cell r="M15" t="str">
            <v>количество реализованных мероприятий по итогам исполнения ведомственного плана мероприятий по противодействию коррупции</v>
          </cell>
        </row>
        <row r="16">
          <cell r="M16" t="str">
            <v>Среднее количество сотрудников региональных представительств на область КР</v>
          </cell>
        </row>
        <row r="18">
          <cell r="M18" t="str">
            <v>Увеличение удельного веса проверенных субъектов от запланированного</v>
          </cell>
        </row>
        <row r="20">
          <cell r="M20" t="str">
            <v xml:space="preserve">Количество проведенных анализов состояния конкуренции 
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2020"/>
  <sheetViews>
    <sheetView tabSelected="1" view="pageBreakPreview" zoomScale="80" zoomScaleNormal="100" zoomScaleSheetLayoutView="80" workbookViewId="0">
      <selection activeCell="E3" sqref="E3"/>
    </sheetView>
  </sheetViews>
  <sheetFormatPr defaultRowHeight="15" x14ac:dyDescent="0.25"/>
  <cols>
    <col min="1" max="1" width="0.28515625" style="18" customWidth="1"/>
    <col min="2" max="2" width="7.85546875" style="21" customWidth="1"/>
    <col min="3" max="3" width="7.85546875" style="6" customWidth="1"/>
    <col min="4" max="4" width="7.85546875" style="11" customWidth="1"/>
    <col min="5" max="5" width="46.5703125" style="372" customWidth="1"/>
    <col min="6" max="10" width="17.5703125" style="115" customWidth="1"/>
    <col min="11" max="11" width="42.28515625" style="11" customWidth="1"/>
    <col min="12" max="12" width="13.85546875" style="11" customWidth="1"/>
    <col min="13" max="17" width="14.140625" style="11" customWidth="1"/>
    <col min="18" max="16384" width="9.140625" style="11"/>
  </cols>
  <sheetData>
    <row r="1" spans="1:20" x14ac:dyDescent="0.25">
      <c r="O1" s="9"/>
      <c r="P1" s="9"/>
      <c r="Q1" s="15" t="s">
        <v>25</v>
      </c>
    </row>
    <row r="2" spans="1:20" x14ac:dyDescent="0.25">
      <c r="I2" s="14" t="s">
        <v>26</v>
      </c>
      <c r="O2" s="9"/>
      <c r="Q2" s="15" t="s">
        <v>2806</v>
      </c>
    </row>
    <row r="3" spans="1:20" x14ac:dyDescent="0.25">
      <c r="O3" s="9"/>
      <c r="P3" s="9"/>
      <c r="Q3" s="15" t="s">
        <v>2807</v>
      </c>
    </row>
    <row r="4" spans="1:20" x14ac:dyDescent="0.25">
      <c r="P4" s="9"/>
      <c r="Q4" s="15" t="s">
        <v>1007</v>
      </c>
    </row>
    <row r="5" spans="1:20" x14ac:dyDescent="0.25">
      <c r="A5" s="19"/>
      <c r="B5" s="1"/>
      <c r="C5" s="17"/>
      <c r="D5" s="2"/>
      <c r="E5" s="3"/>
      <c r="P5" s="9"/>
      <c r="Q5" s="9"/>
    </row>
    <row r="6" spans="1:20" x14ac:dyDescent="0.25">
      <c r="A6" s="2619" t="s">
        <v>0</v>
      </c>
      <c r="B6" s="2619"/>
      <c r="C6" s="2619"/>
      <c r="D6" s="2619"/>
      <c r="E6" s="2619"/>
      <c r="P6" s="9"/>
      <c r="Q6" s="9"/>
    </row>
    <row r="7" spans="1:20" x14ac:dyDescent="0.25">
      <c r="P7" s="1692"/>
    </row>
    <row r="8" spans="1:20" x14ac:dyDescent="0.25">
      <c r="A8" s="2620">
        <v>11</v>
      </c>
      <c r="B8" s="2625" t="s">
        <v>1</v>
      </c>
      <c r="C8" s="2623" t="s">
        <v>2</v>
      </c>
      <c r="D8" s="2624" t="s">
        <v>3</v>
      </c>
      <c r="E8" s="2066" t="s">
        <v>4</v>
      </c>
      <c r="F8" s="2634" t="s">
        <v>27</v>
      </c>
      <c r="G8" s="2635"/>
      <c r="H8" s="2635"/>
      <c r="I8" s="2635"/>
      <c r="J8" s="1956"/>
      <c r="K8" s="2081" t="s">
        <v>28</v>
      </c>
      <c r="L8" s="1982" t="s">
        <v>29</v>
      </c>
      <c r="M8" s="1982"/>
      <c r="N8" s="2626" t="s">
        <v>30</v>
      </c>
      <c r="O8" s="2627"/>
      <c r="P8" s="2627"/>
      <c r="Q8" s="2628"/>
      <c r="R8" s="6"/>
      <c r="S8" s="4"/>
      <c r="T8" s="5"/>
    </row>
    <row r="9" spans="1:20" x14ac:dyDescent="0.25">
      <c r="A9" s="2621"/>
      <c r="B9" s="2625"/>
      <c r="C9" s="2623"/>
      <c r="D9" s="2624"/>
      <c r="E9" s="2066"/>
      <c r="F9" s="2632" t="s">
        <v>31</v>
      </c>
      <c r="G9" s="2633"/>
      <c r="H9" s="2633"/>
      <c r="I9" s="2633"/>
      <c r="J9" s="1957"/>
      <c r="K9" s="2082"/>
      <c r="L9" s="2063"/>
      <c r="M9" s="1983"/>
      <c r="N9" s="2629"/>
      <c r="O9" s="2630"/>
      <c r="P9" s="2630"/>
      <c r="Q9" s="2631"/>
      <c r="R9" s="2618"/>
      <c r="S9" s="2618"/>
      <c r="T9" s="2618"/>
    </row>
    <row r="10" spans="1:20" x14ac:dyDescent="0.25">
      <c r="A10" s="2622"/>
      <c r="B10" s="2625"/>
      <c r="C10" s="2623"/>
      <c r="D10" s="2624"/>
      <c r="E10" s="2066"/>
      <c r="F10" s="24" t="s">
        <v>72</v>
      </c>
      <c r="G10" s="24" t="s">
        <v>32</v>
      </c>
      <c r="H10" s="24" t="s">
        <v>33</v>
      </c>
      <c r="I10" s="24" t="s">
        <v>44</v>
      </c>
      <c r="J10" s="24" t="s">
        <v>73</v>
      </c>
      <c r="K10" s="2083"/>
      <c r="L10" s="1983"/>
      <c r="M10" s="24" t="s">
        <v>72</v>
      </c>
      <c r="N10" s="24" t="s">
        <v>32</v>
      </c>
      <c r="O10" s="24" t="s">
        <v>33</v>
      </c>
      <c r="P10" s="24" t="s">
        <v>44</v>
      </c>
      <c r="Q10" s="24" t="s">
        <v>73</v>
      </c>
      <c r="R10" s="2618"/>
      <c r="S10" s="2618"/>
      <c r="T10" s="2618"/>
    </row>
    <row r="11" spans="1:20" x14ac:dyDescent="0.25">
      <c r="A11" s="2533" t="s">
        <v>769</v>
      </c>
      <c r="B11" s="2533"/>
      <c r="C11" s="2533"/>
      <c r="D11" s="2533"/>
      <c r="E11" s="2533"/>
      <c r="F11" s="2533"/>
      <c r="G11" s="2533"/>
      <c r="H11" s="2533"/>
      <c r="I11" s="2533"/>
      <c r="J11" s="2533"/>
      <c r="K11" s="2533"/>
      <c r="L11" s="2533"/>
      <c r="M11" s="2533"/>
      <c r="N11" s="2533"/>
      <c r="O11" s="2533"/>
      <c r="P11" s="2533"/>
      <c r="Q11" s="2533"/>
      <c r="R11" s="907"/>
      <c r="S11" s="907"/>
      <c r="T11" s="907"/>
    </row>
    <row r="12" spans="1:20" ht="73.5" x14ac:dyDescent="0.25">
      <c r="B12" s="236">
        <v>1</v>
      </c>
      <c r="C12" s="926"/>
      <c r="D12" s="237"/>
      <c r="E12" s="260" t="s">
        <v>71</v>
      </c>
      <c r="F12" s="873">
        <f>SUM(F13:F21)</f>
        <v>0</v>
      </c>
      <c r="G12" s="873">
        <f>SUM(G13:G21)</f>
        <v>252584.9</v>
      </c>
      <c r="H12" s="873">
        <f t="shared" ref="H12:J12" si="0">SUM(H13:H21)</f>
        <v>200361.1</v>
      </c>
      <c r="I12" s="873">
        <f t="shared" si="0"/>
        <v>256367.8</v>
      </c>
      <c r="J12" s="873">
        <f t="shared" si="0"/>
        <v>254457.3</v>
      </c>
      <c r="K12" s="238" t="s">
        <v>34</v>
      </c>
      <c r="L12" s="809" t="s">
        <v>35</v>
      </c>
      <c r="M12" s="809"/>
      <c r="N12" s="809"/>
      <c r="O12" s="809"/>
      <c r="P12" s="809"/>
      <c r="Q12" s="809"/>
    </row>
    <row r="13" spans="1:20" x14ac:dyDescent="0.25">
      <c r="B13" s="239"/>
      <c r="C13" s="881">
        <v>1</v>
      </c>
      <c r="D13" s="240"/>
      <c r="E13" s="261" t="s">
        <v>6</v>
      </c>
      <c r="F13" s="79"/>
      <c r="G13" s="786">
        <f>19142.2+3749.6+4438.5</f>
        <v>27330.3</v>
      </c>
      <c r="H13" s="729"/>
      <c r="I13" s="786">
        <f>11658.4+3936.6+5258.2</f>
        <v>20853.2</v>
      </c>
      <c r="J13" s="786">
        <f>11658.4+3936.6+5280.7</f>
        <v>20875.7</v>
      </c>
      <c r="K13" s="241" t="s">
        <v>36</v>
      </c>
      <c r="L13" s="660" t="s">
        <v>37</v>
      </c>
      <c r="M13" s="262"/>
      <c r="N13" s="262"/>
      <c r="O13" s="262"/>
      <c r="P13" s="262"/>
      <c r="Q13" s="262"/>
    </row>
    <row r="14" spans="1:20" ht="30" x14ac:dyDescent="0.25">
      <c r="B14" s="242"/>
      <c r="C14" s="243">
        <v>2</v>
      </c>
      <c r="D14" s="240"/>
      <c r="E14" s="26" t="s">
        <v>8</v>
      </c>
      <c r="F14" s="79"/>
      <c r="G14" s="786">
        <f>331.6+9139.9+4052.3</f>
        <v>13523.8</v>
      </c>
      <c r="H14" s="729">
        <v>75085.899999999994</v>
      </c>
      <c r="I14" s="786">
        <f>331.6+9571.3+4697.7</f>
        <v>14600.599999999999</v>
      </c>
      <c r="J14" s="786">
        <f>331.6+9571.3+4704.3</f>
        <v>14607.2</v>
      </c>
      <c r="K14" s="241" t="s">
        <v>38</v>
      </c>
      <c r="L14" s="660" t="s">
        <v>35</v>
      </c>
      <c r="M14" s="262"/>
      <c r="N14" s="262"/>
      <c r="O14" s="262"/>
      <c r="P14" s="262"/>
      <c r="Q14" s="262"/>
    </row>
    <row r="15" spans="1:20" ht="30" x14ac:dyDescent="0.25">
      <c r="B15" s="242"/>
      <c r="C15" s="243">
        <v>3</v>
      </c>
      <c r="D15" s="240"/>
      <c r="E15" s="26" t="s">
        <v>10</v>
      </c>
      <c r="F15" s="79"/>
      <c r="G15" s="786">
        <f>5447.6+2067.2</f>
        <v>7514.8</v>
      </c>
      <c r="H15" s="729">
        <v>0</v>
      </c>
      <c r="I15" s="786">
        <f>5815.2+2145.9</f>
        <v>7961.1</v>
      </c>
      <c r="J15" s="786">
        <f>5815.2+2145.9</f>
        <v>7961.1</v>
      </c>
      <c r="K15" s="244" t="s">
        <v>39</v>
      </c>
      <c r="L15" s="660" t="s">
        <v>35</v>
      </c>
      <c r="M15" s="262"/>
      <c r="N15" s="262"/>
      <c r="O15" s="262"/>
      <c r="P15" s="262"/>
      <c r="Q15" s="262"/>
    </row>
    <row r="16" spans="1:20" ht="30" x14ac:dyDescent="0.25">
      <c r="B16" s="242"/>
      <c r="C16" s="243">
        <v>4</v>
      </c>
      <c r="D16" s="240"/>
      <c r="E16" s="26" t="s">
        <v>12</v>
      </c>
      <c r="F16" s="79"/>
      <c r="G16" s="786">
        <f>13015.4+4731.6+226</f>
        <v>17973</v>
      </c>
      <c r="H16" s="729">
        <v>0</v>
      </c>
      <c r="I16" s="786">
        <f>14444.2+5057.8+225.5</f>
        <v>19727.5</v>
      </c>
      <c r="J16" s="786">
        <f>14444.2+5057.8+226.8</f>
        <v>19728.8</v>
      </c>
      <c r="K16" s="241" t="s">
        <v>191</v>
      </c>
      <c r="L16" s="660" t="s">
        <v>192</v>
      </c>
      <c r="M16" s="262"/>
      <c r="N16" s="262"/>
      <c r="O16" s="262"/>
      <c r="P16" s="262"/>
      <c r="Q16" s="262"/>
    </row>
    <row r="17" spans="2:17" ht="30" x14ac:dyDescent="0.25">
      <c r="B17" s="242"/>
      <c r="C17" s="243">
        <v>5</v>
      </c>
      <c r="D17" s="240"/>
      <c r="E17" s="126" t="s">
        <v>13</v>
      </c>
      <c r="F17" s="79"/>
      <c r="G17" s="786">
        <f>27422.2+226</f>
        <v>27648.2</v>
      </c>
      <c r="H17" s="729">
        <v>0</v>
      </c>
      <c r="I17" s="786">
        <f>34611.9+676.3</f>
        <v>35288.200000000004</v>
      </c>
      <c r="J17" s="786">
        <f>34611.9+680.3</f>
        <v>35292.200000000004</v>
      </c>
      <c r="K17" s="241" t="s">
        <v>194</v>
      </c>
      <c r="L17" s="660" t="s">
        <v>40</v>
      </c>
      <c r="M17" s="262"/>
      <c r="N17" s="262"/>
      <c r="O17" s="262"/>
      <c r="P17" s="262"/>
      <c r="Q17" s="262"/>
    </row>
    <row r="18" spans="2:17" ht="30" x14ac:dyDescent="0.25">
      <c r="B18" s="239"/>
      <c r="C18" s="245">
        <v>6</v>
      </c>
      <c r="D18" s="240"/>
      <c r="E18" s="263" t="s">
        <v>14</v>
      </c>
      <c r="F18" s="79"/>
      <c r="G18" s="786">
        <f>8645.3+58707.4+7621.6</f>
        <v>74974.3</v>
      </c>
      <c r="H18" s="729">
        <v>28908.6</v>
      </c>
      <c r="I18" s="786">
        <f>8471.3+57684.2+7562.4</f>
        <v>73717.899999999994</v>
      </c>
      <c r="J18" s="786">
        <f>8471.3+57684.2+7572.9</f>
        <v>73728.399999999994</v>
      </c>
      <c r="K18" s="241" t="s">
        <v>196</v>
      </c>
      <c r="L18" s="660" t="s">
        <v>35</v>
      </c>
      <c r="M18" s="262"/>
      <c r="N18" s="262"/>
      <c r="O18" s="262"/>
      <c r="P18" s="262"/>
      <c r="Q18" s="262"/>
    </row>
    <row r="19" spans="2:17" ht="45" x14ac:dyDescent="0.25">
      <c r="B19" s="242"/>
      <c r="C19" s="243">
        <v>9</v>
      </c>
      <c r="D19" s="240"/>
      <c r="E19" s="263" t="s">
        <v>732</v>
      </c>
      <c r="F19" s="804"/>
      <c r="G19" s="786">
        <f>636.5+19776.6</f>
        <v>20413.099999999999</v>
      </c>
      <c r="H19" s="729">
        <f>12851.7+6389.4</f>
        <v>19241.099999999999</v>
      </c>
      <c r="I19" s="786">
        <f>636.5+19171.8</f>
        <v>19808.3</v>
      </c>
      <c r="J19" s="786">
        <f>636.5+19651</f>
        <v>20287.5</v>
      </c>
      <c r="K19" s="246" t="s">
        <v>733</v>
      </c>
      <c r="L19" s="660"/>
      <c r="M19" s="262"/>
      <c r="N19" s="262"/>
      <c r="O19" s="262"/>
      <c r="P19" s="262"/>
      <c r="Q19" s="262"/>
    </row>
    <row r="20" spans="2:17" x14ac:dyDescent="0.25">
      <c r="B20" s="239"/>
      <c r="C20" s="245">
        <v>10</v>
      </c>
      <c r="D20" s="240"/>
      <c r="E20" s="263" t="s">
        <v>734</v>
      </c>
      <c r="F20" s="804"/>
      <c r="G20" s="786">
        <f>756.6+32065.4</f>
        <v>32822</v>
      </c>
      <c r="H20" s="729">
        <v>46906.6</v>
      </c>
      <c r="I20" s="786">
        <f>756.6+33269</f>
        <v>34025.599999999999</v>
      </c>
      <c r="J20" s="786">
        <f>756.6+30916.9</f>
        <v>31673.5</v>
      </c>
      <c r="K20" s="246" t="s">
        <v>735</v>
      </c>
      <c r="L20" s="660"/>
      <c r="M20" s="262"/>
      <c r="N20" s="262"/>
      <c r="O20" s="262"/>
      <c r="P20" s="262"/>
      <c r="Q20" s="262"/>
    </row>
    <row r="21" spans="2:17" x14ac:dyDescent="0.25">
      <c r="B21" s="239"/>
      <c r="C21" s="245">
        <v>11</v>
      </c>
      <c r="D21" s="240"/>
      <c r="E21" s="263" t="s">
        <v>736</v>
      </c>
      <c r="F21" s="804"/>
      <c r="G21" s="786">
        <f>287.3+30000+98.1</f>
        <v>30385.399999999998</v>
      </c>
      <c r="H21" s="729">
        <v>30218.9</v>
      </c>
      <c r="I21" s="786">
        <f>302.9+30000+82.5</f>
        <v>30385.4</v>
      </c>
      <c r="J21" s="786">
        <f>302.9+30000</f>
        <v>30302.9</v>
      </c>
      <c r="K21" s="246"/>
      <c r="L21" s="660"/>
      <c r="M21" s="262"/>
      <c r="N21" s="262"/>
      <c r="O21" s="262"/>
      <c r="P21" s="262"/>
      <c r="Q21" s="262"/>
    </row>
    <row r="22" spans="2:17" ht="147.75" x14ac:dyDescent="0.25">
      <c r="B22" s="239">
        <v>2</v>
      </c>
      <c r="C22" s="247"/>
      <c r="D22" s="248"/>
      <c r="E22" s="264" t="s">
        <v>737</v>
      </c>
      <c r="F22" s="683">
        <f>SUM(F23:F27)</f>
        <v>0</v>
      </c>
      <c r="G22" s="683">
        <f>SUM(G23:G27)</f>
        <v>165948.79999999999</v>
      </c>
      <c r="H22" s="683">
        <f>SUM(H23:H27)</f>
        <v>130607.4</v>
      </c>
      <c r="I22" s="683">
        <f>SUM(I23:I27)</f>
        <v>142906.4</v>
      </c>
      <c r="J22" s="683">
        <f>SUM(J23:J27)</f>
        <v>137290.70000000001</v>
      </c>
      <c r="K22" s="249" t="s">
        <v>738</v>
      </c>
      <c r="L22" s="660"/>
      <c r="M22" s="262"/>
      <c r="N22" s="262"/>
      <c r="O22" s="262"/>
      <c r="P22" s="262"/>
      <c r="Q22" s="262"/>
    </row>
    <row r="23" spans="2:17" ht="45" x14ac:dyDescent="0.25">
      <c r="B23" s="239"/>
      <c r="C23" s="245">
        <v>1</v>
      </c>
      <c r="D23" s="250"/>
      <c r="E23" s="616" t="s">
        <v>739</v>
      </c>
      <c r="F23" s="804"/>
      <c r="G23" s="786">
        <f>70933.7+1356.3</f>
        <v>72290</v>
      </c>
      <c r="H23" s="786">
        <v>0</v>
      </c>
      <c r="I23" s="786">
        <f>61336.8+1551.8</f>
        <v>62888.600000000006</v>
      </c>
      <c r="J23" s="786">
        <f>66836.8+1559.7</f>
        <v>68396.5</v>
      </c>
      <c r="K23" s="251" t="s">
        <v>740</v>
      </c>
      <c r="L23" s="660"/>
      <c r="M23" s="262"/>
      <c r="N23" s="262"/>
      <c r="O23" s="262"/>
      <c r="P23" s="262"/>
      <c r="Q23" s="262"/>
    </row>
    <row r="24" spans="2:17" ht="30" x14ac:dyDescent="0.25">
      <c r="B24" s="239"/>
      <c r="C24" s="245">
        <v>2</v>
      </c>
      <c r="D24" s="250"/>
      <c r="E24" s="616" t="s">
        <v>741</v>
      </c>
      <c r="F24" s="804"/>
      <c r="G24" s="786">
        <f>78618.8</f>
        <v>78618.8</v>
      </c>
      <c r="H24" s="786">
        <v>0</v>
      </c>
      <c r="I24" s="786">
        <f>67112.5</f>
        <v>67112.5</v>
      </c>
      <c r="J24" s="786">
        <f>74742.5-18754.9</f>
        <v>55987.6</v>
      </c>
      <c r="K24" s="251" t="s">
        <v>742</v>
      </c>
      <c r="L24" s="660"/>
      <c r="M24" s="262"/>
      <c r="N24" s="262"/>
      <c r="O24" s="262"/>
      <c r="P24" s="262"/>
      <c r="Q24" s="262"/>
    </row>
    <row r="25" spans="2:17" ht="30" x14ac:dyDescent="0.25">
      <c r="B25" s="239"/>
      <c r="C25" s="2544">
        <v>3</v>
      </c>
      <c r="D25" s="2704"/>
      <c r="E25" s="2550" t="s">
        <v>743</v>
      </c>
      <c r="F25" s="2278"/>
      <c r="G25" s="1823">
        <f>4770.6+2080.5</f>
        <v>6851.1</v>
      </c>
      <c r="H25" s="1823">
        <v>130607.4</v>
      </c>
      <c r="I25" s="1823">
        <f>4757</f>
        <v>4757</v>
      </c>
      <c r="J25" s="1823">
        <f>4757</f>
        <v>4757</v>
      </c>
      <c r="K25" s="251" t="s">
        <v>744</v>
      </c>
      <c r="L25" s="660"/>
      <c r="M25" s="262"/>
      <c r="N25" s="262"/>
      <c r="O25" s="262"/>
      <c r="P25" s="262"/>
      <c r="Q25" s="262"/>
    </row>
    <row r="26" spans="2:17" ht="30" x14ac:dyDescent="0.25">
      <c r="B26" s="252"/>
      <c r="C26" s="2545"/>
      <c r="D26" s="2705"/>
      <c r="E26" s="2552"/>
      <c r="F26" s="2280"/>
      <c r="G26" s="1824"/>
      <c r="H26" s="1824"/>
      <c r="I26" s="1824"/>
      <c r="J26" s="1824"/>
      <c r="K26" s="251" t="s">
        <v>745</v>
      </c>
      <c r="L26" s="660"/>
      <c r="M26" s="262"/>
      <c r="N26" s="262"/>
      <c r="O26" s="262"/>
      <c r="P26" s="262"/>
      <c r="Q26" s="262"/>
    </row>
    <row r="27" spans="2:17" ht="45" x14ac:dyDescent="0.25">
      <c r="B27" s="253"/>
      <c r="C27" s="245">
        <v>4</v>
      </c>
      <c r="D27" s="254"/>
      <c r="E27" s="266" t="s">
        <v>746</v>
      </c>
      <c r="F27" s="804"/>
      <c r="G27" s="786">
        <f>7962.9+226</f>
        <v>8188.9</v>
      </c>
      <c r="H27" s="786">
        <v>0</v>
      </c>
      <c r="I27" s="786">
        <f>7922.9+225.4</f>
        <v>8148.2999999999993</v>
      </c>
      <c r="J27" s="786">
        <f>7922.9+226.7</f>
        <v>8149.5999999999995</v>
      </c>
      <c r="K27" s="251" t="s">
        <v>747</v>
      </c>
      <c r="L27" s="660"/>
      <c r="M27" s="262"/>
      <c r="N27" s="262"/>
      <c r="O27" s="262"/>
      <c r="P27" s="262"/>
      <c r="Q27" s="262"/>
    </row>
    <row r="28" spans="2:17" ht="87.75" x14ac:dyDescent="0.25">
      <c r="B28" s="253">
        <v>3</v>
      </c>
      <c r="C28" s="245"/>
      <c r="D28" s="255"/>
      <c r="E28" s="264" t="s">
        <v>770</v>
      </c>
      <c r="F28" s="683">
        <f>SUM(F29:F32)</f>
        <v>0</v>
      </c>
      <c r="G28" s="683">
        <f>SUM(G29:G32)</f>
        <v>364063.60000000003</v>
      </c>
      <c r="H28" s="683">
        <f>SUM(H29:H32)</f>
        <v>462038.5</v>
      </c>
      <c r="I28" s="683">
        <f>SUM(I29:I32)</f>
        <v>391247.10000000003</v>
      </c>
      <c r="J28" s="683">
        <f>SUM(J29:J32)</f>
        <v>393123.1</v>
      </c>
      <c r="K28" s="256" t="s">
        <v>748</v>
      </c>
      <c r="L28" s="660"/>
      <c r="M28" s="262"/>
      <c r="N28" s="262"/>
      <c r="O28" s="262"/>
      <c r="P28" s="262"/>
      <c r="Q28" s="262"/>
    </row>
    <row r="29" spans="2:17" ht="45" x14ac:dyDescent="0.25">
      <c r="B29" s="253"/>
      <c r="C29" s="245">
        <v>1</v>
      </c>
      <c r="D29" s="255"/>
      <c r="E29" s="265" t="s">
        <v>749</v>
      </c>
      <c r="F29" s="79"/>
      <c r="G29" s="786">
        <f>266175.9+452.1</f>
        <v>266628</v>
      </c>
      <c r="H29" s="786">
        <v>216142.8</v>
      </c>
      <c r="I29" s="786">
        <f>257258+225.5+20019.5</f>
        <v>277503</v>
      </c>
      <c r="J29" s="786">
        <f>272459.5+226.7</f>
        <v>272686.2</v>
      </c>
      <c r="K29" s="251" t="s">
        <v>750</v>
      </c>
      <c r="L29" s="660"/>
      <c r="M29" s="262"/>
      <c r="N29" s="262"/>
      <c r="O29" s="262"/>
      <c r="P29" s="262"/>
      <c r="Q29" s="262"/>
    </row>
    <row r="30" spans="2:17" ht="30" x14ac:dyDescent="0.25">
      <c r="B30" s="239"/>
      <c r="C30" s="2544">
        <v>2</v>
      </c>
      <c r="D30" s="2546"/>
      <c r="E30" s="2550" t="s">
        <v>751</v>
      </c>
      <c r="F30" s="2278"/>
      <c r="G30" s="1823">
        <f>65977.2</f>
        <v>65977.2</v>
      </c>
      <c r="H30" s="1823">
        <v>76475.5</v>
      </c>
      <c r="I30" s="1823">
        <f>79866.9</f>
        <v>79866.899999999994</v>
      </c>
      <c r="J30" s="1823">
        <f>86208.9</f>
        <v>86208.9</v>
      </c>
      <c r="K30" s="251" t="s">
        <v>752</v>
      </c>
      <c r="L30" s="660"/>
      <c r="M30" s="262"/>
      <c r="N30" s="262"/>
      <c r="O30" s="262"/>
      <c r="P30" s="262"/>
      <c r="Q30" s="262"/>
    </row>
    <row r="31" spans="2:17" ht="30" x14ac:dyDescent="0.25">
      <c r="B31" s="252"/>
      <c r="C31" s="2545"/>
      <c r="D31" s="2547"/>
      <c r="E31" s="2552"/>
      <c r="F31" s="2280"/>
      <c r="G31" s="1824"/>
      <c r="H31" s="1824"/>
      <c r="I31" s="1824"/>
      <c r="J31" s="1824"/>
      <c r="K31" s="251" t="s">
        <v>753</v>
      </c>
      <c r="L31" s="660"/>
      <c r="M31" s="262"/>
      <c r="N31" s="262"/>
      <c r="O31" s="262"/>
      <c r="P31" s="262"/>
      <c r="Q31" s="262"/>
    </row>
    <row r="32" spans="2:17" ht="45" x14ac:dyDescent="0.25">
      <c r="B32" s="239"/>
      <c r="C32" s="245">
        <v>3</v>
      </c>
      <c r="D32" s="882"/>
      <c r="E32" s="265" t="s">
        <v>754</v>
      </c>
      <c r="F32" s="804"/>
      <c r="G32" s="786">
        <f>32736.7-1278.3</f>
        <v>31458.400000000001</v>
      </c>
      <c r="H32" s="786">
        <v>169420.2</v>
      </c>
      <c r="I32" s="786">
        <f>31777.2+2100</f>
        <v>33877.199999999997</v>
      </c>
      <c r="J32" s="786">
        <f>32128+2100</f>
        <v>34228</v>
      </c>
      <c r="K32" s="251" t="s">
        <v>755</v>
      </c>
      <c r="L32" s="660"/>
      <c r="M32" s="262"/>
      <c r="N32" s="262"/>
      <c r="O32" s="262"/>
      <c r="P32" s="262"/>
      <c r="Q32" s="262"/>
    </row>
    <row r="33" spans="1:20" ht="103.5" x14ac:dyDescent="0.25">
      <c r="B33" s="239">
        <v>4</v>
      </c>
      <c r="C33" s="245"/>
      <c r="D33" s="882"/>
      <c r="E33" s="264" t="s">
        <v>756</v>
      </c>
      <c r="F33" s="683">
        <f>SUM(F34:F38)</f>
        <v>0</v>
      </c>
      <c r="G33" s="683">
        <f>SUM(G34:G38)</f>
        <v>10381.299999999999</v>
      </c>
      <c r="H33" s="683">
        <f>SUM(H34:H38)</f>
        <v>0</v>
      </c>
      <c r="I33" s="683">
        <f>SUM(I34:I38)</f>
        <v>3276.7</v>
      </c>
      <c r="J33" s="683">
        <f>SUM(J34:J38)</f>
        <v>10566</v>
      </c>
      <c r="K33" s="256" t="s">
        <v>757</v>
      </c>
      <c r="L33" s="660"/>
      <c r="M33" s="262"/>
      <c r="N33" s="262"/>
      <c r="O33" s="262"/>
      <c r="P33" s="262"/>
      <c r="Q33" s="262"/>
    </row>
    <row r="34" spans="1:20" x14ac:dyDescent="0.25">
      <c r="B34" s="239"/>
      <c r="C34" s="2544">
        <v>1</v>
      </c>
      <c r="D34" s="2546"/>
      <c r="E34" s="2550" t="s">
        <v>758</v>
      </c>
      <c r="F34" s="2278"/>
      <c r="G34" s="1823">
        <v>3095.8</v>
      </c>
      <c r="H34" s="1823">
        <v>0</v>
      </c>
      <c r="I34" s="1823">
        <v>3276.7</v>
      </c>
      <c r="J34" s="1823">
        <v>3276.7</v>
      </c>
      <c r="K34" s="251" t="s">
        <v>759</v>
      </c>
      <c r="L34" s="660"/>
      <c r="M34" s="262"/>
      <c r="N34" s="262"/>
      <c r="O34" s="262"/>
      <c r="P34" s="262"/>
      <c r="Q34" s="262"/>
    </row>
    <row r="35" spans="1:20" x14ac:dyDescent="0.25">
      <c r="B35" s="236"/>
      <c r="C35" s="2548"/>
      <c r="D35" s="2549"/>
      <c r="E35" s="2551"/>
      <c r="F35" s="2279"/>
      <c r="G35" s="1847"/>
      <c r="H35" s="1847"/>
      <c r="I35" s="1847"/>
      <c r="J35" s="1847"/>
      <c r="K35" s="251" t="s">
        <v>760</v>
      </c>
      <c r="L35" s="660"/>
      <c r="M35" s="262"/>
      <c r="N35" s="262"/>
      <c r="O35" s="262"/>
      <c r="P35" s="262"/>
      <c r="Q35" s="262"/>
    </row>
    <row r="36" spans="1:20" x14ac:dyDescent="0.25">
      <c r="B36" s="252"/>
      <c r="C36" s="2545"/>
      <c r="D36" s="2547"/>
      <c r="E36" s="2552"/>
      <c r="F36" s="2280"/>
      <c r="G36" s="1824"/>
      <c r="H36" s="1824"/>
      <c r="I36" s="1824"/>
      <c r="J36" s="1824"/>
      <c r="K36" s="251" t="s">
        <v>761</v>
      </c>
      <c r="L36" s="660"/>
      <c r="M36" s="262"/>
      <c r="N36" s="262"/>
      <c r="O36" s="262"/>
      <c r="P36" s="262"/>
      <c r="Q36" s="262"/>
    </row>
    <row r="37" spans="1:20" ht="30" x14ac:dyDescent="0.25">
      <c r="B37" s="239"/>
      <c r="C37" s="2544">
        <v>2</v>
      </c>
      <c r="D37" s="2546"/>
      <c r="E37" s="2550" t="s">
        <v>762</v>
      </c>
      <c r="F37" s="2278"/>
      <c r="G37" s="1823">
        <v>7285.5</v>
      </c>
      <c r="H37" s="1823">
        <v>0</v>
      </c>
      <c r="I37" s="1823">
        <f>'[1]приложение  2'!D68</f>
        <v>0</v>
      </c>
      <c r="J37" s="1823">
        <v>7289.3</v>
      </c>
      <c r="K37" s="251" t="s">
        <v>763</v>
      </c>
      <c r="L37" s="660"/>
      <c r="M37" s="262"/>
      <c r="N37" s="262"/>
      <c r="O37" s="262"/>
      <c r="P37" s="262"/>
      <c r="Q37" s="262"/>
    </row>
    <row r="38" spans="1:20" ht="30" x14ac:dyDescent="0.25">
      <c r="B38" s="252"/>
      <c r="C38" s="2545"/>
      <c r="D38" s="2547"/>
      <c r="E38" s="2552"/>
      <c r="F38" s="2279"/>
      <c r="G38" s="1847"/>
      <c r="H38" s="1847"/>
      <c r="I38" s="1847"/>
      <c r="J38" s="1847"/>
      <c r="K38" s="587" t="s">
        <v>764</v>
      </c>
      <c r="L38" s="588"/>
      <c r="M38" s="589"/>
      <c r="N38" s="589"/>
      <c r="O38" s="589"/>
      <c r="P38" s="589"/>
      <c r="Q38" s="589"/>
    </row>
    <row r="39" spans="1:20" x14ac:dyDescent="0.25">
      <c r="A39" s="2706" t="s">
        <v>85</v>
      </c>
      <c r="B39" s="2706"/>
      <c r="C39" s="2706"/>
      <c r="D39" s="2706"/>
      <c r="E39" s="2707"/>
      <c r="F39" s="322">
        <f>F12+F22+F28+F33</f>
        <v>0</v>
      </c>
      <c r="G39" s="322">
        <f>G12+G22+G28+G33</f>
        <v>792978.60000000009</v>
      </c>
      <c r="H39" s="322">
        <f>H12+H22+H28+H33</f>
        <v>793007</v>
      </c>
      <c r="I39" s="322">
        <f>I12+I22+I28+I33</f>
        <v>793798</v>
      </c>
      <c r="J39" s="322">
        <f>J12+J22+J28+J33</f>
        <v>795437.1</v>
      </c>
      <c r="K39" s="228"/>
      <c r="L39" s="1909"/>
      <c r="M39" s="1909"/>
      <c r="N39" s="1909"/>
      <c r="O39" s="1909"/>
      <c r="P39" s="1909"/>
      <c r="Q39" s="1909"/>
    </row>
    <row r="40" spans="1:20" x14ac:dyDescent="0.25">
      <c r="A40" s="2708" t="s">
        <v>765</v>
      </c>
      <c r="B40" s="2708"/>
      <c r="C40" s="2708"/>
      <c r="D40" s="2708"/>
      <c r="E40" s="2708"/>
      <c r="F40" s="590"/>
      <c r="G40" s="590"/>
      <c r="H40" s="590"/>
      <c r="I40" s="590"/>
      <c r="J40" s="590"/>
      <c r="K40" s="518"/>
      <c r="L40" s="518"/>
      <c r="M40" s="518"/>
      <c r="N40" s="518"/>
      <c r="O40" s="518"/>
      <c r="P40" s="518"/>
      <c r="Q40" s="518"/>
    </row>
    <row r="41" spans="1:20" ht="60" x14ac:dyDescent="0.25">
      <c r="B41" s="2699" t="s">
        <v>467</v>
      </c>
      <c r="C41" s="272">
        <v>1</v>
      </c>
      <c r="D41" s="230"/>
      <c r="E41" s="616" t="s">
        <v>1056</v>
      </c>
      <c r="F41" s="706">
        <v>110121.9</v>
      </c>
      <c r="G41" s="706">
        <v>131049.4</v>
      </c>
      <c r="H41" s="706">
        <v>131049.4</v>
      </c>
      <c r="I41" s="706">
        <f>139234.8-8065</f>
        <v>131169.79999999999</v>
      </c>
      <c r="J41" s="706">
        <f>145251.5-13812.2</f>
        <v>131439.29999999999</v>
      </c>
      <c r="K41" s="765" t="s">
        <v>670</v>
      </c>
      <c r="L41" s="209" t="s">
        <v>35</v>
      </c>
      <c r="M41" s="231">
        <f>110121.9/154140062*100</f>
        <v>7.1442750555011453E-2</v>
      </c>
      <c r="N41" s="231">
        <f>131049.4/161913144.8*100</f>
        <v>8.0938085763126985E-2</v>
      </c>
      <c r="O41" s="231">
        <f>N41</f>
        <v>8.0938085763126985E-2</v>
      </c>
      <c r="P41" s="231">
        <f>N41</f>
        <v>8.0938085763126985E-2</v>
      </c>
      <c r="Q41" s="231">
        <f>N41</f>
        <v>8.0938085763126985E-2</v>
      </c>
    </row>
    <row r="42" spans="1:20" ht="75" x14ac:dyDescent="0.25">
      <c r="B42" s="2699"/>
      <c r="C42" s="272">
        <v>2</v>
      </c>
      <c r="D42" s="928"/>
      <c r="E42" s="616" t="s">
        <v>1058</v>
      </c>
      <c r="F42" s="706">
        <v>4892.2</v>
      </c>
      <c r="G42" s="706">
        <v>7062.9</v>
      </c>
      <c r="H42" s="706">
        <v>7062.9</v>
      </c>
      <c r="I42" s="706">
        <v>7062.9</v>
      </c>
      <c r="J42" s="706">
        <v>7062.9</v>
      </c>
      <c r="K42" s="205" t="s">
        <v>671</v>
      </c>
      <c r="L42" s="209" t="s">
        <v>35</v>
      </c>
      <c r="M42" s="232">
        <v>100</v>
      </c>
      <c r="N42" s="232">
        <v>100</v>
      </c>
      <c r="O42" s="232">
        <v>100</v>
      </c>
      <c r="P42" s="232">
        <v>100</v>
      </c>
      <c r="Q42" s="232">
        <v>100</v>
      </c>
    </row>
    <row r="43" spans="1:20" ht="75" x14ac:dyDescent="0.25">
      <c r="B43" s="2699"/>
      <c r="C43" s="272">
        <v>3</v>
      </c>
      <c r="D43" s="929"/>
      <c r="E43" s="616" t="s">
        <v>1057</v>
      </c>
      <c r="F43" s="233">
        <v>32979.599999999999</v>
      </c>
      <c r="G43" s="233">
        <v>30000</v>
      </c>
      <c r="H43" s="233">
        <v>30000</v>
      </c>
      <c r="I43" s="233">
        <v>30000</v>
      </c>
      <c r="J43" s="233">
        <v>30000</v>
      </c>
      <c r="K43" s="223" t="s">
        <v>672</v>
      </c>
      <c r="L43" s="209" t="s">
        <v>40</v>
      </c>
      <c r="M43" s="234">
        <v>110</v>
      </c>
      <c r="N43" s="234">
        <v>110</v>
      </c>
      <c r="O43" s="234">
        <v>110</v>
      </c>
      <c r="P43" s="234">
        <v>110</v>
      </c>
      <c r="Q43" s="234">
        <v>110</v>
      </c>
    </row>
    <row r="44" spans="1:20" x14ac:dyDescent="0.25">
      <c r="A44" s="2709" t="s">
        <v>85</v>
      </c>
      <c r="B44" s="2710"/>
      <c r="C44" s="2710"/>
      <c r="D44" s="2710"/>
      <c r="E44" s="2711"/>
      <c r="F44" s="235">
        <f>F41+F42+F43</f>
        <v>147993.69999999998</v>
      </c>
      <c r="G44" s="235">
        <f t="shared" ref="G44:J44" si="1">G41+G42+G43</f>
        <v>168112.3</v>
      </c>
      <c r="H44" s="235">
        <f t="shared" si="1"/>
        <v>168112.3</v>
      </c>
      <c r="I44" s="235">
        <f t="shared" si="1"/>
        <v>168232.69999999998</v>
      </c>
      <c r="J44" s="235">
        <f t="shared" si="1"/>
        <v>168502.19999999998</v>
      </c>
      <c r="K44" s="88"/>
      <c r="L44" s="88"/>
      <c r="M44" s="88"/>
      <c r="N44" s="88"/>
      <c r="O44" s="88"/>
      <c r="P44" s="88"/>
      <c r="Q44" s="88"/>
    </row>
    <row r="45" spans="1:20" x14ac:dyDescent="0.25">
      <c r="A45" s="2539" t="s">
        <v>428</v>
      </c>
      <c r="B45" s="2539"/>
      <c r="C45" s="2539"/>
      <c r="D45" s="2539"/>
      <c r="E45" s="2539"/>
      <c r="F45" s="2539"/>
      <c r="G45" s="2539"/>
      <c r="H45" s="2539"/>
      <c r="I45" s="2539"/>
      <c r="J45" s="2539"/>
      <c r="K45" s="2539"/>
      <c r="L45" s="2539"/>
      <c r="M45" s="2539"/>
      <c r="N45" s="2539"/>
      <c r="O45" s="2539"/>
      <c r="P45" s="2539"/>
      <c r="Q45" s="2540"/>
      <c r="R45" s="907"/>
      <c r="S45" s="907"/>
      <c r="T45" s="907"/>
    </row>
    <row r="46" spans="1:20" ht="45" x14ac:dyDescent="0.25">
      <c r="A46" s="86">
        <v>1</v>
      </c>
      <c r="B46" s="2702">
        <v>2</v>
      </c>
      <c r="C46" s="586" t="s">
        <v>127</v>
      </c>
      <c r="D46" s="111"/>
      <c r="E46" s="112" t="s">
        <v>1051</v>
      </c>
      <c r="F46" s="720">
        <v>9198.1</v>
      </c>
      <c r="G46" s="720">
        <v>7952.7</v>
      </c>
      <c r="H46" s="720">
        <v>7952.7</v>
      </c>
      <c r="I46" s="720">
        <v>7959.6</v>
      </c>
      <c r="J46" s="720">
        <v>7975.2</v>
      </c>
      <c r="K46" s="112" t="s">
        <v>38</v>
      </c>
      <c r="L46" s="87" t="s">
        <v>35</v>
      </c>
      <c r="M46" s="116">
        <v>1</v>
      </c>
      <c r="N46" s="116">
        <v>1</v>
      </c>
      <c r="O46" s="116">
        <v>1</v>
      </c>
      <c r="P46" s="116">
        <v>1</v>
      </c>
      <c r="Q46" s="116">
        <v>1</v>
      </c>
    </row>
    <row r="47" spans="1:20" ht="75" x14ac:dyDescent="0.25">
      <c r="A47" s="86"/>
      <c r="B47" s="2483"/>
      <c r="C47" s="586" t="s">
        <v>7</v>
      </c>
      <c r="D47" s="111"/>
      <c r="E47" s="112" t="s">
        <v>1052</v>
      </c>
      <c r="F47" s="720"/>
      <c r="G47" s="720"/>
      <c r="H47" s="720"/>
      <c r="I47" s="720"/>
      <c r="J47" s="720"/>
      <c r="K47" s="112" t="s">
        <v>426</v>
      </c>
      <c r="L47" s="87" t="s">
        <v>40</v>
      </c>
      <c r="M47" s="87">
        <v>1000</v>
      </c>
      <c r="N47" s="87">
        <v>1200</v>
      </c>
      <c r="O47" s="87">
        <v>1200</v>
      </c>
      <c r="P47" s="87">
        <v>1500</v>
      </c>
      <c r="Q47" s="87">
        <v>1500</v>
      </c>
    </row>
    <row r="48" spans="1:20" ht="60" x14ac:dyDescent="0.25">
      <c r="A48" s="86"/>
      <c r="B48" s="2703"/>
      <c r="C48" s="586" t="s">
        <v>9</v>
      </c>
      <c r="D48" s="111"/>
      <c r="E48" s="89" t="s">
        <v>1053</v>
      </c>
      <c r="F48" s="720"/>
      <c r="G48" s="720"/>
      <c r="H48" s="720"/>
      <c r="I48" s="720"/>
      <c r="J48" s="720"/>
      <c r="K48" s="112" t="s">
        <v>427</v>
      </c>
      <c r="L48" s="87" t="s">
        <v>40</v>
      </c>
      <c r="M48" s="87">
        <v>1200</v>
      </c>
      <c r="N48" s="87">
        <v>1200</v>
      </c>
      <c r="O48" s="87">
        <v>1500</v>
      </c>
      <c r="P48" s="87">
        <v>1800</v>
      </c>
      <c r="Q48" s="87">
        <v>2000</v>
      </c>
    </row>
    <row r="49" spans="1:29" x14ac:dyDescent="0.25">
      <c r="A49" s="2541" t="s">
        <v>85</v>
      </c>
      <c r="B49" s="2542"/>
      <c r="C49" s="2542"/>
      <c r="D49" s="2542"/>
      <c r="E49" s="2543"/>
      <c r="F49" s="310">
        <f>F46</f>
        <v>9198.1</v>
      </c>
      <c r="G49" s="310">
        <f t="shared" ref="G49:J49" si="2">G46</f>
        <v>7952.7</v>
      </c>
      <c r="H49" s="310">
        <f t="shared" si="2"/>
        <v>7952.7</v>
      </c>
      <c r="I49" s="310">
        <f t="shared" si="2"/>
        <v>7959.6</v>
      </c>
      <c r="J49" s="310">
        <f t="shared" si="2"/>
        <v>7975.2</v>
      </c>
      <c r="K49" s="31"/>
      <c r="L49" s="31"/>
      <c r="M49" s="31"/>
      <c r="N49" s="31"/>
      <c r="O49" s="31"/>
      <c r="P49" s="31"/>
      <c r="Q49" s="31"/>
    </row>
    <row r="50" spans="1:29" ht="15" customHeight="1" x14ac:dyDescent="0.25">
      <c r="A50" s="2536" t="s">
        <v>768</v>
      </c>
      <c r="B50" s="2537"/>
      <c r="C50" s="2537"/>
      <c r="D50" s="2537"/>
      <c r="E50" s="2537"/>
      <c r="F50" s="2537"/>
      <c r="G50" s="2537"/>
      <c r="H50" s="2537"/>
      <c r="I50" s="2537"/>
      <c r="J50" s="2537"/>
      <c r="K50" s="2537"/>
      <c r="L50" s="2537"/>
      <c r="M50" s="2537"/>
      <c r="N50" s="2537"/>
      <c r="O50" s="2537"/>
      <c r="P50" s="2537"/>
      <c r="Q50" s="2538"/>
    </row>
    <row r="51" spans="1:29" s="12" customFormat="1" ht="48" customHeight="1" x14ac:dyDescent="0.25">
      <c r="A51" s="2695"/>
      <c r="B51" s="2344">
        <v>2</v>
      </c>
      <c r="C51" s="2534">
        <v>1</v>
      </c>
      <c r="D51" s="2700"/>
      <c r="E51" s="1937" t="s">
        <v>1059</v>
      </c>
      <c r="F51" s="1933">
        <v>175588.9</v>
      </c>
      <c r="G51" s="1933">
        <v>201144.6</v>
      </c>
      <c r="H51" s="1933">
        <v>201144.6</v>
      </c>
      <c r="I51" s="1933">
        <f>216828.5+3494.8</f>
        <v>220323.3</v>
      </c>
      <c r="J51" s="1933">
        <f>225834.5-5070.8</f>
        <v>220763.7</v>
      </c>
      <c r="K51" s="1925" t="s">
        <v>766</v>
      </c>
      <c r="L51" s="2697" t="s">
        <v>40</v>
      </c>
      <c r="M51" s="234">
        <v>376</v>
      </c>
      <c r="N51" s="234">
        <v>370</v>
      </c>
      <c r="O51" s="234">
        <v>370</v>
      </c>
      <c r="P51" s="234">
        <v>370</v>
      </c>
      <c r="Q51" s="234">
        <v>370</v>
      </c>
    </row>
    <row r="52" spans="1:29" s="12" customFormat="1" ht="34.5" customHeight="1" x14ac:dyDescent="0.25">
      <c r="A52" s="2696"/>
      <c r="B52" s="2477"/>
      <c r="C52" s="2535"/>
      <c r="D52" s="2701"/>
      <c r="E52" s="1937"/>
      <c r="F52" s="1934"/>
      <c r="G52" s="1934"/>
      <c r="H52" s="1934"/>
      <c r="I52" s="1934"/>
      <c r="J52" s="1934"/>
      <c r="K52" s="2486"/>
      <c r="L52" s="2698"/>
      <c r="M52" s="234">
        <v>622</v>
      </c>
      <c r="N52" s="234">
        <v>620</v>
      </c>
      <c r="O52" s="234">
        <v>620</v>
      </c>
      <c r="P52" s="234">
        <v>620</v>
      </c>
      <c r="Q52" s="234">
        <v>620</v>
      </c>
    </row>
    <row r="53" spans="1:29" s="12" customFormat="1" ht="45" x14ac:dyDescent="0.25">
      <c r="A53" s="257"/>
      <c r="B53" s="2477"/>
      <c r="C53" s="272">
        <v>2</v>
      </c>
      <c r="D53" s="218"/>
      <c r="E53" s="89" t="s">
        <v>1060</v>
      </c>
      <c r="F53" s="706">
        <v>2101.1</v>
      </c>
      <c r="G53" s="706">
        <v>5586.1</v>
      </c>
      <c r="H53" s="706">
        <v>5586.1</v>
      </c>
      <c r="I53" s="706">
        <v>5586.1</v>
      </c>
      <c r="J53" s="706">
        <v>5586.1</v>
      </c>
      <c r="K53" s="223" t="s">
        <v>767</v>
      </c>
      <c r="L53" s="209" t="s">
        <v>40</v>
      </c>
      <c r="M53" s="267">
        <v>15</v>
      </c>
      <c r="N53" s="267">
        <v>15</v>
      </c>
      <c r="O53" s="267">
        <v>15</v>
      </c>
      <c r="P53" s="267">
        <v>15</v>
      </c>
      <c r="Q53" s="267">
        <v>15</v>
      </c>
    </row>
    <row r="54" spans="1:29" ht="65.25" customHeight="1" x14ac:dyDescent="0.25">
      <c r="A54" s="535"/>
      <c r="B54" s="2345"/>
      <c r="C54" s="880">
        <v>3</v>
      </c>
      <c r="D54" s="929"/>
      <c r="E54" s="89" t="s">
        <v>1061</v>
      </c>
      <c r="F54" s="233">
        <v>29241.599999999999</v>
      </c>
      <c r="G54" s="233">
        <v>30000</v>
      </c>
      <c r="H54" s="233">
        <v>30000</v>
      </c>
      <c r="I54" s="233">
        <v>30000</v>
      </c>
      <c r="J54" s="233">
        <v>30000</v>
      </c>
      <c r="K54" s="223" t="s">
        <v>672</v>
      </c>
      <c r="L54" s="209" t="s">
        <v>40</v>
      </c>
      <c r="M54" s="234">
        <v>134</v>
      </c>
      <c r="N54" s="234">
        <v>130</v>
      </c>
      <c r="O54" s="234">
        <v>130</v>
      </c>
      <c r="P54" s="234">
        <v>130</v>
      </c>
      <c r="Q54" s="234">
        <v>130</v>
      </c>
    </row>
    <row r="55" spans="1:29" x14ac:dyDescent="0.25">
      <c r="A55" s="2480" t="s">
        <v>85</v>
      </c>
      <c r="B55" s="2480"/>
      <c r="C55" s="2480"/>
      <c r="D55" s="2480"/>
      <c r="E55" s="2480"/>
      <c r="F55" s="268">
        <f>F51+F53+F54</f>
        <v>206931.6</v>
      </c>
      <c r="G55" s="268">
        <f>G51+G53+G54</f>
        <v>236730.7</v>
      </c>
      <c r="H55" s="268">
        <f>H51+H53+H54</f>
        <v>236730.7</v>
      </c>
      <c r="I55" s="268">
        <f>I51+I53+I54</f>
        <v>255909.4</v>
      </c>
      <c r="J55" s="268">
        <f>J51+J53+J54</f>
        <v>256349.80000000002</v>
      </c>
      <c r="K55" s="258"/>
      <c r="L55" s="258"/>
      <c r="M55" s="259"/>
      <c r="N55" s="259"/>
      <c r="O55" s="259"/>
      <c r="P55" s="259"/>
      <c r="Q55" s="313"/>
    </row>
    <row r="56" spans="1:29" x14ac:dyDescent="0.25">
      <c r="A56" s="2693" t="s">
        <v>1008</v>
      </c>
      <c r="B56" s="2693"/>
      <c r="C56" s="2693"/>
      <c r="D56" s="2693"/>
      <c r="E56" s="2693"/>
      <c r="F56" s="2693"/>
      <c r="G56" s="2693"/>
      <c r="H56" s="2693"/>
      <c r="I56" s="2693"/>
      <c r="J56" s="2693"/>
      <c r="K56" s="2693"/>
      <c r="L56" s="2693"/>
      <c r="M56" s="2693"/>
      <c r="N56" s="2693"/>
      <c r="O56" s="2693"/>
      <c r="P56" s="2693"/>
      <c r="Q56" s="2694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</row>
    <row r="57" spans="1:29" s="12" customFormat="1" ht="36.75" customHeight="1" x14ac:dyDescent="0.25">
      <c r="A57" s="617"/>
      <c r="B57" s="232">
        <v>2</v>
      </c>
      <c r="C57" s="618"/>
      <c r="D57" s="618"/>
      <c r="E57" s="484" t="s">
        <v>1066</v>
      </c>
      <c r="F57" s="724">
        <f t="shared" ref="F57:G57" si="3">F58+F59+F60+F61+F62+F63+F68+F70+F76</f>
        <v>713764.8</v>
      </c>
      <c r="G57" s="724">
        <f t="shared" si="3"/>
        <v>463013.79999999993</v>
      </c>
      <c r="H57" s="724">
        <f>H58+H59+H60+H61+H62+H63+H68+H70+H76</f>
        <v>594216</v>
      </c>
      <c r="I57" s="724">
        <f t="shared" ref="I57:J57" si="4">I58+I59+I60+I61+I62+I63+I68+I70+I76</f>
        <v>430883.05999999994</v>
      </c>
      <c r="J57" s="724">
        <f t="shared" si="4"/>
        <v>432780.6</v>
      </c>
      <c r="K57" s="618"/>
      <c r="L57" s="618"/>
      <c r="M57" s="618"/>
      <c r="N57" s="618"/>
      <c r="O57" s="618"/>
      <c r="P57" s="618"/>
      <c r="Q57" s="618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</row>
    <row r="58" spans="1:29" ht="45" x14ac:dyDescent="0.25">
      <c r="B58" s="818"/>
      <c r="C58" s="796">
        <v>1</v>
      </c>
      <c r="D58" s="864"/>
      <c r="E58" s="792" t="s">
        <v>645</v>
      </c>
      <c r="F58" s="790">
        <v>127446.1</v>
      </c>
      <c r="G58" s="790">
        <f>123373.4</f>
        <v>123373.4</v>
      </c>
      <c r="H58" s="754">
        <v>124250.7</v>
      </c>
      <c r="I58" s="790">
        <v>124250.7</v>
      </c>
      <c r="J58" s="790">
        <v>124250.7</v>
      </c>
      <c r="K58" s="792" t="s">
        <v>646</v>
      </c>
      <c r="L58" s="923" t="s">
        <v>40</v>
      </c>
      <c r="M58" s="922">
        <v>37</v>
      </c>
      <c r="N58" s="922">
        <v>38</v>
      </c>
      <c r="O58" s="922">
        <v>38</v>
      </c>
      <c r="P58" s="922">
        <v>38</v>
      </c>
      <c r="Q58" s="922">
        <v>38</v>
      </c>
    </row>
    <row r="59" spans="1:29" ht="45" x14ac:dyDescent="0.25">
      <c r="B59" s="752"/>
      <c r="C59" s="870">
        <v>2</v>
      </c>
      <c r="D59" s="207"/>
      <c r="E59" s="714" t="s">
        <v>647</v>
      </c>
      <c r="F59" s="791">
        <f>84382.7</f>
        <v>84382.7</v>
      </c>
      <c r="G59" s="791">
        <f>36588.7</f>
        <v>36588.699999999997</v>
      </c>
      <c r="H59" s="755">
        <f>37005.7</f>
        <v>37005.699999999997</v>
      </c>
      <c r="I59" s="791">
        <f>37005.7+436.9</f>
        <v>37442.6</v>
      </c>
      <c r="J59" s="791">
        <f>37005.7+12805.2-11390.8</f>
        <v>38420.099999999991</v>
      </c>
      <c r="K59" s="211" t="s">
        <v>648</v>
      </c>
      <c r="L59" s="209" t="s">
        <v>40</v>
      </c>
      <c r="M59" s="210">
        <v>95</v>
      </c>
      <c r="N59" s="210">
        <v>90</v>
      </c>
      <c r="O59" s="210">
        <v>90</v>
      </c>
      <c r="P59" s="210">
        <v>90</v>
      </c>
      <c r="Q59" s="210">
        <v>90</v>
      </c>
    </row>
    <row r="60" spans="1:29" ht="60" x14ac:dyDescent="0.25">
      <c r="B60" s="752"/>
      <c r="C60" s="870">
        <v>3</v>
      </c>
      <c r="D60" s="207"/>
      <c r="E60" s="714" t="s">
        <v>1062</v>
      </c>
      <c r="F60" s="706">
        <v>1782.3</v>
      </c>
      <c r="G60" s="706">
        <v>3023.3</v>
      </c>
      <c r="H60" s="786">
        <v>2957.3</v>
      </c>
      <c r="I60" s="706">
        <v>2957.3</v>
      </c>
      <c r="J60" s="706">
        <v>2957.3</v>
      </c>
      <c r="K60" s="105" t="s">
        <v>649</v>
      </c>
      <c r="L60" s="77" t="s">
        <v>40</v>
      </c>
      <c r="M60" s="22">
        <v>200</v>
      </c>
      <c r="N60" s="22">
        <v>200</v>
      </c>
      <c r="O60" s="22">
        <v>200</v>
      </c>
      <c r="P60" s="22">
        <v>200</v>
      </c>
      <c r="Q60" s="22">
        <v>200</v>
      </c>
    </row>
    <row r="61" spans="1:29" ht="105" x14ac:dyDescent="0.25">
      <c r="B61" s="752"/>
      <c r="C61" s="863">
        <v>4</v>
      </c>
      <c r="D61" s="207"/>
      <c r="E61" s="714" t="s">
        <v>1063</v>
      </c>
      <c r="F61" s="706">
        <v>8878.7000000000007</v>
      </c>
      <c r="G61" s="706">
        <v>8110.1</v>
      </c>
      <c r="H61" s="786">
        <v>8213.7000000000007</v>
      </c>
      <c r="I61" s="706">
        <v>8213.7000000000007</v>
      </c>
      <c r="J61" s="706">
        <v>8213.7000000000007</v>
      </c>
      <c r="K61" s="875" t="s">
        <v>650</v>
      </c>
      <c r="L61" s="704" t="s">
        <v>173</v>
      </c>
      <c r="M61" s="210">
        <v>1921</v>
      </c>
      <c r="N61" s="212">
        <v>2445</v>
      </c>
      <c r="O61" s="212">
        <f>1000+5+20+20+500</f>
        <v>1545</v>
      </c>
      <c r="P61" s="212">
        <f t="shared" ref="P61:Q61" si="5">1000+5+20+20+500</f>
        <v>1545</v>
      </c>
      <c r="Q61" s="212">
        <f t="shared" si="5"/>
        <v>1545</v>
      </c>
    </row>
    <row r="62" spans="1:29" ht="30" x14ac:dyDescent="0.25">
      <c r="B62" s="752"/>
      <c r="C62" s="863">
        <v>5</v>
      </c>
      <c r="D62" s="207"/>
      <c r="E62" s="714" t="s">
        <v>1064</v>
      </c>
      <c r="F62" s="706">
        <v>1598</v>
      </c>
      <c r="G62" s="706">
        <v>1341.6</v>
      </c>
      <c r="H62" s="786">
        <v>1238</v>
      </c>
      <c r="I62" s="706">
        <v>1238</v>
      </c>
      <c r="J62" s="706">
        <v>1238</v>
      </c>
      <c r="K62" s="875" t="s">
        <v>651</v>
      </c>
      <c r="L62" s="209" t="s">
        <v>203</v>
      </c>
      <c r="M62" s="210">
        <v>2</v>
      </c>
      <c r="N62" s="210">
        <v>2</v>
      </c>
      <c r="O62" s="210">
        <v>2</v>
      </c>
      <c r="P62" s="210">
        <v>2</v>
      </c>
      <c r="Q62" s="210">
        <v>2</v>
      </c>
    </row>
    <row r="63" spans="1:29" ht="30" x14ac:dyDescent="0.25">
      <c r="B63" s="752"/>
      <c r="C63" s="863">
        <v>6</v>
      </c>
      <c r="D63" s="207"/>
      <c r="E63" s="714" t="s">
        <v>1065</v>
      </c>
      <c r="F63" s="706">
        <v>243815.1</v>
      </c>
      <c r="G63" s="706">
        <v>22260.3</v>
      </c>
      <c r="H63" s="786">
        <v>4050</v>
      </c>
      <c r="I63" s="706">
        <v>0</v>
      </c>
      <c r="J63" s="706">
        <v>0</v>
      </c>
      <c r="K63" s="875" t="s">
        <v>652</v>
      </c>
      <c r="L63" s="209" t="s">
        <v>40</v>
      </c>
      <c r="M63" s="213">
        <v>1</v>
      </c>
      <c r="N63" s="213">
        <v>11</v>
      </c>
      <c r="O63" s="210">
        <v>7</v>
      </c>
      <c r="P63" s="210">
        <v>7</v>
      </c>
      <c r="Q63" s="210">
        <v>7</v>
      </c>
    </row>
    <row r="64" spans="1:29" ht="73.5" x14ac:dyDescent="0.25">
      <c r="B64" s="752" t="s">
        <v>500</v>
      </c>
      <c r="C64" s="272"/>
      <c r="D64" s="516"/>
      <c r="E64" s="905" t="s">
        <v>1067</v>
      </c>
      <c r="F64" s="723">
        <v>11735</v>
      </c>
      <c r="G64" s="723">
        <v>19000</v>
      </c>
      <c r="H64" s="722">
        <f>H65+H66+H67</f>
        <v>19000</v>
      </c>
      <c r="I64" s="723">
        <v>19000</v>
      </c>
      <c r="J64" s="723">
        <v>19000</v>
      </c>
      <c r="K64" s="83"/>
      <c r="L64" s="36"/>
      <c r="M64" s="83"/>
      <c r="N64" s="83"/>
      <c r="O64" s="83"/>
      <c r="P64" s="83"/>
      <c r="Q64" s="214"/>
    </row>
    <row r="65" spans="1:17" ht="45" x14ac:dyDescent="0.25">
      <c r="B65" s="752"/>
      <c r="C65" s="863">
        <v>1</v>
      </c>
      <c r="D65" s="516"/>
      <c r="E65" s="714" t="s">
        <v>1068</v>
      </c>
      <c r="F65" s="706">
        <v>8663.7999999999993</v>
      </c>
      <c r="G65" s="706">
        <v>8500</v>
      </c>
      <c r="H65" s="786">
        <v>6000</v>
      </c>
      <c r="I65" s="706">
        <v>8500</v>
      </c>
      <c r="J65" s="706">
        <v>8500</v>
      </c>
      <c r="K65" s="714" t="s">
        <v>653</v>
      </c>
      <c r="L65" s="704" t="s">
        <v>35</v>
      </c>
      <c r="M65" s="215">
        <v>0.68</v>
      </c>
      <c r="N65" s="216">
        <v>0.44700000000000001</v>
      </c>
      <c r="O65" s="216">
        <v>0.44700000000000001</v>
      </c>
      <c r="P65" s="216">
        <v>0.44700000000000001</v>
      </c>
      <c r="Q65" s="216">
        <v>0.44700000000000001</v>
      </c>
    </row>
    <row r="66" spans="1:17" ht="30" x14ac:dyDescent="0.25">
      <c r="B66" s="752"/>
      <c r="C66" s="863">
        <v>2</v>
      </c>
      <c r="D66" s="516"/>
      <c r="E66" s="714" t="s">
        <v>1069</v>
      </c>
      <c r="F66" s="706">
        <v>3780</v>
      </c>
      <c r="G66" s="706">
        <v>6000</v>
      </c>
      <c r="H66" s="706">
        <v>4500</v>
      </c>
      <c r="I66" s="706">
        <v>6000</v>
      </c>
      <c r="J66" s="706">
        <v>6000</v>
      </c>
      <c r="K66" s="714" t="s">
        <v>653</v>
      </c>
      <c r="L66" s="218" t="s">
        <v>35</v>
      </c>
      <c r="M66" s="216">
        <v>0.29699999999999999</v>
      </c>
      <c r="N66" s="216">
        <v>0.316</v>
      </c>
      <c r="O66" s="216">
        <v>0.316</v>
      </c>
      <c r="P66" s="216">
        <v>0.316</v>
      </c>
      <c r="Q66" s="216">
        <v>0.316</v>
      </c>
    </row>
    <row r="67" spans="1:17" ht="45" x14ac:dyDescent="0.25">
      <c r="B67" s="752"/>
      <c r="C67" s="863">
        <v>3</v>
      </c>
      <c r="D67" s="516"/>
      <c r="E67" s="714" t="s">
        <v>1070</v>
      </c>
      <c r="F67" s="706">
        <v>300</v>
      </c>
      <c r="G67" s="706">
        <v>4500</v>
      </c>
      <c r="H67" s="786">
        <v>8500</v>
      </c>
      <c r="I67" s="706">
        <v>4500</v>
      </c>
      <c r="J67" s="706">
        <v>4500</v>
      </c>
      <c r="K67" s="714" t="s">
        <v>653</v>
      </c>
      <c r="L67" s="218" t="s">
        <v>35</v>
      </c>
      <c r="M67" s="216">
        <v>2.3E-2</v>
      </c>
      <c r="N67" s="216">
        <v>0.23699999999999999</v>
      </c>
      <c r="O67" s="216">
        <v>0.23699999999999999</v>
      </c>
      <c r="P67" s="216">
        <v>0.23699999999999999</v>
      </c>
      <c r="Q67" s="216">
        <v>0.23699999999999999</v>
      </c>
    </row>
    <row r="68" spans="1:17" ht="30" x14ac:dyDescent="0.25">
      <c r="B68" s="752" t="s">
        <v>467</v>
      </c>
      <c r="C68" s="870">
        <v>7</v>
      </c>
      <c r="D68" s="207"/>
      <c r="E68" s="714" t="s">
        <v>655</v>
      </c>
      <c r="F68" s="706">
        <v>3843.4</v>
      </c>
      <c r="G68" s="706">
        <v>11628</v>
      </c>
      <c r="H68" s="786">
        <v>10945</v>
      </c>
      <c r="I68" s="791">
        <v>10945</v>
      </c>
      <c r="J68" s="791">
        <v>10945</v>
      </c>
      <c r="K68" s="758" t="s">
        <v>38</v>
      </c>
      <c r="L68" s="704" t="s">
        <v>35</v>
      </c>
      <c r="M68" s="219">
        <v>1</v>
      </c>
      <c r="N68" s="219">
        <v>1</v>
      </c>
      <c r="O68" s="219">
        <v>1</v>
      </c>
      <c r="P68" s="219">
        <v>1</v>
      </c>
      <c r="Q68" s="219">
        <v>1</v>
      </c>
    </row>
    <row r="69" spans="1:17" ht="15" hidden="1" customHeight="1" x14ac:dyDescent="0.25">
      <c r="B69" s="2521"/>
      <c r="C69" s="2502">
        <v>8</v>
      </c>
      <c r="D69" s="2497"/>
      <c r="E69" s="2365" t="s">
        <v>656</v>
      </c>
      <c r="F69" s="931"/>
      <c r="G69" s="931"/>
      <c r="H69" s="877"/>
      <c r="I69" s="878"/>
      <c r="J69" s="878"/>
      <c r="K69" s="221"/>
      <c r="L69" s="221"/>
      <c r="M69" s="221"/>
      <c r="N69" s="221"/>
      <c r="O69" s="221"/>
      <c r="P69" s="221"/>
      <c r="Q69" s="221"/>
    </row>
    <row r="70" spans="1:17" ht="15" customHeight="1" x14ac:dyDescent="0.25">
      <c r="B70" s="2522"/>
      <c r="C70" s="2502"/>
      <c r="D70" s="2498"/>
      <c r="E70" s="2277"/>
      <c r="F70" s="79">
        <v>145379.20000000001</v>
      </c>
      <c r="G70" s="79">
        <v>161200.4</v>
      </c>
      <c r="H70" s="1893">
        <f>200061+113829.5</f>
        <v>313890.5</v>
      </c>
      <c r="I70" s="706">
        <f>153770.7-0.04</f>
        <v>153770.66</v>
      </c>
      <c r="J70" s="706">
        <v>154270.70000000001</v>
      </c>
      <c r="K70" s="1926" t="s">
        <v>657</v>
      </c>
      <c r="L70" s="209" t="s">
        <v>35</v>
      </c>
      <c r="M70" s="222">
        <v>0.16</v>
      </c>
      <c r="N70" s="222">
        <v>0.28999999999999998</v>
      </c>
      <c r="O70" s="222">
        <v>0.24</v>
      </c>
      <c r="P70" s="222">
        <v>0.25</v>
      </c>
      <c r="Q70" s="222">
        <v>0.25</v>
      </c>
    </row>
    <row r="71" spans="1:17" x14ac:dyDescent="0.25">
      <c r="B71" s="2522"/>
      <c r="C71" s="2502"/>
      <c r="D71" s="2498"/>
      <c r="E71" s="2277"/>
      <c r="F71" s="79">
        <v>61901.5</v>
      </c>
      <c r="G71" s="79">
        <v>73769</v>
      </c>
      <c r="H71" s="2103"/>
      <c r="I71" s="706">
        <f>84500.7-0.04</f>
        <v>84500.66</v>
      </c>
      <c r="J71" s="706">
        <v>84086.5</v>
      </c>
      <c r="K71" s="1926"/>
      <c r="L71" s="209" t="s">
        <v>35</v>
      </c>
      <c r="M71" s="222">
        <v>0.47</v>
      </c>
      <c r="N71" s="222">
        <v>0.6</v>
      </c>
      <c r="O71" s="222">
        <v>0.48</v>
      </c>
      <c r="P71" s="222">
        <v>0.47</v>
      </c>
      <c r="Q71" s="222">
        <v>0.47</v>
      </c>
    </row>
    <row r="72" spans="1:17" x14ac:dyDescent="0.25">
      <c r="B72" s="2522"/>
      <c r="C72" s="2502"/>
      <c r="D72" s="2498"/>
      <c r="E72" s="2277"/>
      <c r="F72" s="79">
        <v>10466.6</v>
      </c>
      <c r="G72" s="79">
        <v>15437.5</v>
      </c>
      <c r="H72" s="2103"/>
      <c r="I72" s="706">
        <f>13096.1-0.04</f>
        <v>13096.06</v>
      </c>
      <c r="J72" s="706">
        <v>13391.6</v>
      </c>
      <c r="K72" s="1926"/>
      <c r="L72" s="209" t="s">
        <v>35</v>
      </c>
      <c r="M72" s="222">
        <v>0.14000000000000001</v>
      </c>
      <c r="N72" s="222">
        <v>0.38</v>
      </c>
      <c r="O72" s="222">
        <v>0.45</v>
      </c>
      <c r="P72" s="222">
        <v>0.46</v>
      </c>
      <c r="Q72" s="222">
        <v>0.47</v>
      </c>
    </row>
    <row r="73" spans="1:17" x14ac:dyDescent="0.25">
      <c r="A73" s="11"/>
      <c r="B73" s="2522"/>
      <c r="C73" s="2502"/>
      <c r="D73" s="2498"/>
      <c r="E73" s="2277"/>
      <c r="F73" s="79">
        <v>3947</v>
      </c>
      <c r="G73" s="79">
        <v>4103.8999999999996</v>
      </c>
      <c r="H73" s="2103"/>
      <c r="I73" s="706">
        <f>4133-0.04</f>
        <v>4132.96</v>
      </c>
      <c r="J73" s="706">
        <v>4133</v>
      </c>
      <c r="K73" s="1926"/>
      <c r="L73" s="209" t="s">
        <v>35</v>
      </c>
      <c r="M73" s="222">
        <v>0.17</v>
      </c>
      <c r="N73" s="222">
        <v>0.27</v>
      </c>
      <c r="O73" s="222">
        <v>0.27</v>
      </c>
      <c r="P73" s="222">
        <v>0.27</v>
      </c>
      <c r="Q73" s="222">
        <v>0.27</v>
      </c>
    </row>
    <row r="74" spans="1:17" x14ac:dyDescent="0.25">
      <c r="A74" s="11"/>
      <c r="B74" s="2522"/>
      <c r="C74" s="2502"/>
      <c r="D74" s="2498"/>
      <c r="E74" s="2277"/>
      <c r="F74" s="79">
        <v>30298.1</v>
      </c>
      <c r="G74" s="79">
        <v>36455.1</v>
      </c>
      <c r="H74" s="2103"/>
      <c r="I74" s="706">
        <v>45425.1</v>
      </c>
      <c r="J74" s="706">
        <v>45425.1</v>
      </c>
      <c r="K74" s="1926"/>
      <c r="L74" s="209" t="s">
        <v>35</v>
      </c>
      <c r="M74" s="222">
        <v>0.63</v>
      </c>
      <c r="N74" s="222">
        <v>0.7</v>
      </c>
      <c r="O74" s="222">
        <v>0.56000000000000005</v>
      </c>
      <c r="P74" s="222">
        <v>0.56000000000000005</v>
      </c>
      <c r="Q74" s="222">
        <v>0.56000000000000005</v>
      </c>
    </row>
    <row r="75" spans="1:17" x14ac:dyDescent="0.25">
      <c r="A75" s="11"/>
      <c r="B75" s="2523"/>
      <c r="C75" s="2502"/>
      <c r="D75" s="2499"/>
      <c r="E75" s="2088"/>
      <c r="F75" s="79">
        <v>16014.2</v>
      </c>
      <c r="G75" s="79">
        <v>20619</v>
      </c>
      <c r="H75" s="1894"/>
      <c r="I75" s="706">
        <v>13353.2</v>
      </c>
      <c r="J75" s="706">
        <v>13353.2</v>
      </c>
      <c r="K75" s="2486"/>
      <c r="L75" s="209" t="s">
        <v>35</v>
      </c>
      <c r="M75" s="222">
        <v>0.19</v>
      </c>
      <c r="N75" s="222">
        <v>0.75</v>
      </c>
      <c r="O75" s="222">
        <v>0.37</v>
      </c>
      <c r="P75" s="222">
        <v>0.37</v>
      </c>
      <c r="Q75" s="222">
        <v>0.37</v>
      </c>
    </row>
    <row r="76" spans="1:17" ht="45" x14ac:dyDescent="0.25">
      <c r="A76" s="11"/>
      <c r="B76" s="1723"/>
      <c r="C76" s="2496">
        <v>9</v>
      </c>
      <c r="D76" s="2497"/>
      <c r="E76" s="2500" t="s">
        <v>658</v>
      </c>
      <c r="F76" s="2501">
        <f>75671.9+20967.4</f>
        <v>96639.299999999988</v>
      </c>
      <c r="G76" s="2501">
        <f>74635.6+20852.4</f>
        <v>95488</v>
      </c>
      <c r="H76" s="2473">
        <f>29753+61912.1</f>
        <v>91665.1</v>
      </c>
      <c r="I76" s="2467">
        <v>92065.1</v>
      </c>
      <c r="J76" s="2467">
        <v>92485.1</v>
      </c>
      <c r="K76" s="223" t="s">
        <v>659</v>
      </c>
      <c r="L76" s="209" t="s">
        <v>40</v>
      </c>
      <c r="M76" s="224">
        <f>SUM(M77:M80)</f>
        <v>149</v>
      </c>
      <c r="N76" s="224">
        <f>SUM(N77:N80)</f>
        <v>157</v>
      </c>
      <c r="O76" s="224">
        <f>SUM(O77:O80)</f>
        <v>141</v>
      </c>
      <c r="P76" s="224">
        <f>SUM(P77:P80)</f>
        <v>141</v>
      </c>
      <c r="Q76" s="224">
        <f>SUM(Q77:Q80)</f>
        <v>141</v>
      </c>
    </row>
    <row r="77" spans="1:17" x14ac:dyDescent="0.25">
      <c r="A77" s="11"/>
      <c r="B77" s="1723"/>
      <c r="C77" s="2496"/>
      <c r="D77" s="2498"/>
      <c r="E77" s="2394"/>
      <c r="F77" s="2279"/>
      <c r="G77" s="2279"/>
      <c r="H77" s="2103"/>
      <c r="I77" s="1951"/>
      <c r="J77" s="1951"/>
      <c r="K77" s="225" t="s">
        <v>660</v>
      </c>
      <c r="L77" s="209" t="s">
        <v>40</v>
      </c>
      <c r="M77" s="218">
        <f>5+28</f>
        <v>33</v>
      </c>
      <c r="N77" s="218">
        <f>6+23</f>
        <v>29</v>
      </c>
      <c r="O77" s="218">
        <f>6+27</f>
        <v>33</v>
      </c>
      <c r="P77" s="218">
        <f t="shared" ref="P77:Q77" si="6">6+27</f>
        <v>33</v>
      </c>
      <c r="Q77" s="218">
        <f t="shared" si="6"/>
        <v>33</v>
      </c>
    </row>
    <row r="78" spans="1:17" x14ac:dyDescent="0.25">
      <c r="A78" s="11"/>
      <c r="B78" s="1723"/>
      <c r="C78" s="2496"/>
      <c r="D78" s="2498"/>
      <c r="E78" s="2394"/>
      <c r="F78" s="2279"/>
      <c r="G78" s="2279"/>
      <c r="H78" s="2103"/>
      <c r="I78" s="1951"/>
      <c r="J78" s="1951"/>
      <c r="K78" s="225" t="s">
        <v>661</v>
      </c>
      <c r="L78" s="209" t="s">
        <v>40</v>
      </c>
      <c r="M78" s="218">
        <f>4+19</f>
        <v>23</v>
      </c>
      <c r="N78" s="218">
        <f>4+14</f>
        <v>18</v>
      </c>
      <c r="O78" s="218">
        <f>4+18</f>
        <v>22</v>
      </c>
      <c r="P78" s="218">
        <f t="shared" ref="P78:Q78" si="7">4+18</f>
        <v>22</v>
      </c>
      <c r="Q78" s="218">
        <f t="shared" si="7"/>
        <v>22</v>
      </c>
    </row>
    <row r="79" spans="1:17" x14ac:dyDescent="0.25">
      <c r="A79" s="11"/>
      <c r="B79" s="1723"/>
      <c r="C79" s="2496"/>
      <c r="D79" s="2498"/>
      <c r="E79" s="2394"/>
      <c r="F79" s="2279"/>
      <c r="G79" s="2279"/>
      <c r="H79" s="2103"/>
      <c r="I79" s="1951"/>
      <c r="J79" s="1951"/>
      <c r="K79" s="225" t="s">
        <v>662</v>
      </c>
      <c r="L79" s="209" t="s">
        <v>40</v>
      </c>
      <c r="M79" s="218">
        <v>8</v>
      </c>
      <c r="N79" s="218">
        <v>8</v>
      </c>
      <c r="O79" s="218">
        <v>8</v>
      </c>
      <c r="P79" s="218">
        <v>8</v>
      </c>
      <c r="Q79" s="218">
        <v>8</v>
      </c>
    </row>
    <row r="80" spans="1:17" x14ac:dyDescent="0.25">
      <c r="A80" s="11"/>
      <c r="B80" s="1723"/>
      <c r="C80" s="2496"/>
      <c r="D80" s="2498"/>
      <c r="E80" s="2394"/>
      <c r="F80" s="2279"/>
      <c r="G80" s="2279"/>
      <c r="H80" s="2103"/>
      <c r="I80" s="1951"/>
      <c r="J80" s="1951"/>
      <c r="K80" s="225" t="s">
        <v>663</v>
      </c>
      <c r="L80" s="209" t="s">
        <v>40</v>
      </c>
      <c r="M80" s="218">
        <f>5+80</f>
        <v>85</v>
      </c>
      <c r="N80" s="218">
        <f>97+5</f>
        <v>102</v>
      </c>
      <c r="O80" s="218">
        <f>73+5</f>
        <v>78</v>
      </c>
      <c r="P80" s="218">
        <f t="shared" ref="P80:Q80" si="8">73+5</f>
        <v>78</v>
      </c>
      <c r="Q80" s="218">
        <f t="shared" si="8"/>
        <v>78</v>
      </c>
    </row>
    <row r="81" spans="1:17" ht="30" x14ac:dyDescent="0.25">
      <c r="A81" s="11"/>
      <c r="B81" s="1723"/>
      <c r="C81" s="2496"/>
      <c r="D81" s="2498"/>
      <c r="E81" s="2394"/>
      <c r="F81" s="2279"/>
      <c r="G81" s="2279"/>
      <c r="H81" s="2103"/>
      <c r="I81" s="1951"/>
      <c r="J81" s="1951"/>
      <c r="K81" s="225" t="s">
        <v>664</v>
      </c>
      <c r="L81" s="209" t="s">
        <v>40</v>
      </c>
      <c r="M81" s="224">
        <f>M82+M84+M83</f>
        <v>26</v>
      </c>
      <c r="N81" s="224">
        <f>N82+N84+N83</f>
        <v>21</v>
      </c>
      <c r="O81" s="224">
        <f>O82+O84+O83</f>
        <v>27</v>
      </c>
      <c r="P81" s="224">
        <f>P82+P84+P83</f>
        <v>27</v>
      </c>
      <c r="Q81" s="224">
        <f>Q82+Q84+Q83</f>
        <v>27</v>
      </c>
    </row>
    <row r="82" spans="1:17" x14ac:dyDescent="0.25">
      <c r="A82" s="11"/>
      <c r="B82" s="1723"/>
      <c r="C82" s="2496"/>
      <c r="D82" s="2498"/>
      <c r="E82" s="2394"/>
      <c r="F82" s="2279"/>
      <c r="G82" s="2279"/>
      <c r="H82" s="2103"/>
      <c r="I82" s="1951"/>
      <c r="J82" s="1951"/>
      <c r="K82" s="225" t="s">
        <v>665</v>
      </c>
      <c r="L82" s="209" t="s">
        <v>40</v>
      </c>
      <c r="M82" s="218">
        <v>21</v>
      </c>
      <c r="N82" s="218">
        <f>12+9</f>
        <v>21</v>
      </c>
      <c r="O82" s="218">
        <v>7</v>
      </c>
      <c r="P82" s="218">
        <v>7</v>
      </c>
      <c r="Q82" s="218">
        <v>7</v>
      </c>
    </row>
    <row r="83" spans="1:17" x14ac:dyDescent="0.25">
      <c r="A83" s="11"/>
      <c r="B83" s="1723"/>
      <c r="C83" s="2496"/>
      <c r="D83" s="2498"/>
      <c r="E83" s="2394"/>
      <c r="F83" s="2279"/>
      <c r="G83" s="2279"/>
      <c r="H83" s="2103"/>
      <c r="I83" s="1951"/>
      <c r="J83" s="1951"/>
      <c r="K83" s="225" t="s">
        <v>666</v>
      </c>
      <c r="L83" s="209" t="s">
        <v>40</v>
      </c>
      <c r="M83" s="218"/>
      <c r="N83" s="218"/>
      <c r="O83" s="218"/>
      <c r="P83" s="218"/>
      <c r="Q83" s="218"/>
    </row>
    <row r="84" spans="1:17" x14ac:dyDescent="0.25">
      <c r="A84" s="11"/>
      <c r="B84" s="1723"/>
      <c r="C84" s="2496"/>
      <c r="D84" s="2499"/>
      <c r="E84" s="2395"/>
      <c r="F84" s="2280"/>
      <c r="G84" s="2280"/>
      <c r="H84" s="1894"/>
      <c r="I84" s="1934"/>
      <c r="J84" s="1934"/>
      <c r="K84" s="225" t="s">
        <v>663</v>
      </c>
      <c r="L84" s="209" t="s">
        <v>40</v>
      </c>
      <c r="M84" s="218">
        <f>3+2</f>
        <v>5</v>
      </c>
      <c r="N84" s="218"/>
      <c r="O84" s="218">
        <v>20</v>
      </c>
      <c r="P84" s="218">
        <v>20</v>
      </c>
      <c r="Q84" s="218">
        <v>20</v>
      </c>
    </row>
    <row r="85" spans="1:17" ht="15" customHeight="1" x14ac:dyDescent="0.25">
      <c r="A85" s="11"/>
      <c r="B85" s="1723" t="s">
        <v>508</v>
      </c>
      <c r="C85" s="2504">
        <v>1</v>
      </c>
      <c r="D85" s="2505"/>
      <c r="E85" s="2503" t="s">
        <v>667</v>
      </c>
      <c r="F85" s="2467">
        <v>29485.7</v>
      </c>
      <c r="G85" s="2467">
        <v>29203</v>
      </c>
      <c r="H85" s="2431">
        <f>17976.4+16584.6</f>
        <v>34561</v>
      </c>
      <c r="I85" s="2467">
        <v>34561</v>
      </c>
      <c r="J85" s="2467">
        <v>37837.9</v>
      </c>
      <c r="K85" s="226"/>
      <c r="L85" s="218"/>
      <c r="M85" s="226"/>
      <c r="N85" s="226"/>
      <c r="O85" s="226"/>
      <c r="P85" s="226"/>
      <c r="Q85" s="226"/>
    </row>
    <row r="86" spans="1:17" ht="28.5" customHeight="1" x14ac:dyDescent="0.25">
      <c r="A86" s="11"/>
      <c r="B86" s="1723"/>
      <c r="C86" s="2504"/>
      <c r="D86" s="2506"/>
      <c r="E86" s="1932"/>
      <c r="F86" s="1934"/>
      <c r="G86" s="1934"/>
      <c r="H86" s="1824"/>
      <c r="I86" s="1934"/>
      <c r="J86" s="1934"/>
      <c r="K86" s="227" t="s">
        <v>654</v>
      </c>
      <c r="L86" s="218" t="s">
        <v>203</v>
      </c>
      <c r="M86" s="218">
        <v>299</v>
      </c>
      <c r="N86" s="218">
        <v>294</v>
      </c>
      <c r="O86" s="218">
        <v>260</v>
      </c>
      <c r="P86" s="218">
        <v>260</v>
      </c>
      <c r="Q86" s="218">
        <v>260</v>
      </c>
    </row>
    <row r="87" spans="1:17" x14ac:dyDescent="0.25">
      <c r="A87" s="11"/>
      <c r="B87" s="1723" t="s">
        <v>601</v>
      </c>
      <c r="C87" s="2504">
        <v>1</v>
      </c>
      <c r="D87" s="2505"/>
      <c r="E87" s="2503" t="s">
        <v>668</v>
      </c>
      <c r="F87" s="2467">
        <v>5882.1</v>
      </c>
      <c r="G87" s="2467">
        <v>7044.6</v>
      </c>
      <c r="H87" s="2431">
        <f>6655.8+500</f>
        <v>7155.8</v>
      </c>
      <c r="I87" s="2467">
        <v>7155.8</v>
      </c>
      <c r="J87" s="2467">
        <v>7155.8</v>
      </c>
      <c r="K87" s="226"/>
      <c r="L87" s="218"/>
      <c r="M87" s="226"/>
      <c r="N87" s="226"/>
      <c r="O87" s="226"/>
      <c r="P87" s="226"/>
      <c r="Q87" s="226"/>
    </row>
    <row r="88" spans="1:17" ht="30" x14ac:dyDescent="0.25">
      <c r="A88" s="11"/>
      <c r="B88" s="1723"/>
      <c r="C88" s="2504"/>
      <c r="D88" s="2506"/>
      <c r="E88" s="1932"/>
      <c r="F88" s="1934"/>
      <c r="G88" s="1934"/>
      <c r="H88" s="1824"/>
      <c r="I88" s="1934"/>
      <c r="J88" s="1934"/>
      <c r="K88" s="714" t="s">
        <v>669</v>
      </c>
      <c r="L88" s="218" t="s">
        <v>40</v>
      </c>
      <c r="M88" s="218">
        <v>2</v>
      </c>
      <c r="N88" s="218">
        <v>4</v>
      </c>
      <c r="O88" s="218">
        <v>6</v>
      </c>
      <c r="P88" s="218">
        <v>6</v>
      </c>
      <c r="Q88" s="218">
        <v>6</v>
      </c>
    </row>
    <row r="89" spans="1:17" x14ac:dyDescent="0.25">
      <c r="A89" s="2480" t="s">
        <v>85</v>
      </c>
      <c r="B89" s="2480"/>
      <c r="C89" s="2480"/>
      <c r="D89" s="2480"/>
      <c r="E89" s="2480"/>
      <c r="F89" s="322">
        <f>F58+F59+F60+F61+F62+F63+F68+F69+F76+F85+F87+F70+F71+F72+F73+F74+F75+F65+F66+F67</f>
        <v>884503.8</v>
      </c>
      <c r="G89" s="322">
        <f>G58+G59+G60+G61+G62+G63+G68+G69+G76+G85+G87+G70+G71+G72+G73+G74+G75+G65+G66+G67</f>
        <v>668645.89999999991</v>
      </c>
      <c r="H89" s="322">
        <f>H57+H64+H85+H87</f>
        <v>654932.80000000005</v>
      </c>
      <c r="I89" s="322">
        <f>I58+I59+I60+I61+I62+I63+I68+I69+I76+I85+I87+I70+I71+I72+I73+I74+I75+I65+I66+I67</f>
        <v>652107.84</v>
      </c>
      <c r="J89" s="322">
        <f>J58+J59+J60+J61+J62+J63+J68+J69+J76+J85+J87+J70+J71+J72+J73+J74+J75+J65+J66+J67</f>
        <v>657163.69999999995</v>
      </c>
      <c r="K89" s="228"/>
      <c r="L89" s="229"/>
      <c r="M89" s="228"/>
      <c r="N89" s="228"/>
      <c r="O89" s="228"/>
      <c r="P89" s="228"/>
      <c r="Q89" s="228"/>
    </row>
    <row r="90" spans="1:17" x14ac:dyDescent="0.25">
      <c r="A90" s="2510" t="s">
        <v>567</v>
      </c>
      <c r="B90" s="2510"/>
      <c r="C90" s="2510"/>
      <c r="D90" s="2510"/>
      <c r="E90" s="2510"/>
      <c r="F90" s="2510"/>
      <c r="G90" s="2510"/>
      <c r="H90" s="2510"/>
      <c r="I90" s="2510"/>
      <c r="J90" s="2510"/>
      <c r="K90" s="2510"/>
      <c r="L90" s="2510"/>
      <c r="M90" s="2510"/>
      <c r="N90" s="2510"/>
      <c r="O90" s="2510"/>
      <c r="P90" s="2510"/>
      <c r="Q90" s="2511"/>
    </row>
    <row r="91" spans="1:17" s="621" customFormat="1" ht="73.5" x14ac:dyDescent="0.25">
      <c r="A91" s="620"/>
      <c r="B91" s="512" t="s">
        <v>516</v>
      </c>
      <c r="C91" s="512"/>
      <c r="D91" s="512"/>
      <c r="E91" s="682" t="s">
        <v>1089</v>
      </c>
      <c r="F91" s="683">
        <f>SUM(F92:F97)</f>
        <v>36143.5</v>
      </c>
      <c r="G91" s="683">
        <f>SUM(G92:G97)</f>
        <v>48458.1</v>
      </c>
      <c r="H91" s="683">
        <f>SUM(H92:H97)</f>
        <v>0</v>
      </c>
      <c r="I91" s="683">
        <f>SUM(I92:I97)</f>
        <v>0</v>
      </c>
      <c r="J91" s="683">
        <f>SUM(J92:J97)</f>
        <v>0</v>
      </c>
      <c r="K91" s="684" t="s">
        <v>517</v>
      </c>
      <c r="L91" s="262" t="s">
        <v>35</v>
      </c>
      <c r="M91" s="262">
        <v>68.2</v>
      </c>
      <c r="N91" s="262">
        <v>69.599999999999994</v>
      </c>
      <c r="O91" s="262">
        <v>69.599999999999994</v>
      </c>
      <c r="P91" s="262">
        <v>69.599999999999994</v>
      </c>
      <c r="Q91" s="262">
        <v>69.599999999999994</v>
      </c>
    </row>
    <row r="92" spans="1:17" s="621" customFormat="1" ht="45" x14ac:dyDescent="0.25">
      <c r="A92" s="620"/>
      <c r="B92" s="658"/>
      <c r="C92" s="658" t="s">
        <v>5</v>
      </c>
      <c r="D92" s="658"/>
      <c r="E92" s="659" t="s">
        <v>6</v>
      </c>
      <c r="F92" s="786">
        <v>11321.1</v>
      </c>
      <c r="G92" s="786">
        <v>14685.3</v>
      </c>
      <c r="H92" s="786"/>
      <c r="I92" s="786"/>
      <c r="J92" s="786"/>
      <c r="K92" s="774" t="s">
        <v>518</v>
      </c>
      <c r="L92" s="660" t="s">
        <v>274</v>
      </c>
      <c r="M92" s="511">
        <v>0</v>
      </c>
      <c r="N92" s="511">
        <v>0</v>
      </c>
      <c r="O92" s="511">
        <v>0</v>
      </c>
      <c r="P92" s="511">
        <v>0</v>
      </c>
      <c r="Q92" s="511">
        <v>0</v>
      </c>
    </row>
    <row r="93" spans="1:17" s="621" customFormat="1" ht="30" x14ac:dyDescent="0.25">
      <c r="A93" s="620"/>
      <c r="B93" s="658"/>
      <c r="C93" s="658" t="s">
        <v>9</v>
      </c>
      <c r="D93" s="658"/>
      <c r="E93" s="659" t="s">
        <v>10</v>
      </c>
      <c r="F93" s="786">
        <v>3354.4</v>
      </c>
      <c r="G93" s="786">
        <v>25072.799999999999</v>
      </c>
      <c r="H93" s="786"/>
      <c r="I93" s="786"/>
      <c r="J93" s="786"/>
      <c r="K93" s="774" t="s">
        <v>519</v>
      </c>
      <c r="L93" s="660" t="s">
        <v>35</v>
      </c>
      <c r="M93" s="660">
        <v>0</v>
      </c>
      <c r="N93" s="660">
        <v>0</v>
      </c>
      <c r="O93" s="510">
        <v>0</v>
      </c>
      <c r="P93" s="510">
        <v>0</v>
      </c>
      <c r="Q93" s="510">
        <v>0</v>
      </c>
    </row>
    <row r="94" spans="1:17" s="621" customFormat="1" ht="30" x14ac:dyDescent="0.25">
      <c r="A94" s="620"/>
      <c r="B94" s="1960"/>
      <c r="C94" s="1960" t="s">
        <v>127</v>
      </c>
      <c r="D94" s="1960"/>
      <c r="E94" s="1845" t="s">
        <v>520</v>
      </c>
      <c r="F94" s="753">
        <v>3884.2</v>
      </c>
      <c r="G94" s="753">
        <v>1000</v>
      </c>
      <c r="H94" s="753"/>
      <c r="I94" s="753"/>
      <c r="J94" s="753"/>
      <c r="K94" s="774" t="s">
        <v>521</v>
      </c>
      <c r="L94" s="660" t="s">
        <v>116</v>
      </c>
      <c r="M94" s="660">
        <v>20</v>
      </c>
      <c r="N94" s="660">
        <v>20</v>
      </c>
      <c r="O94" s="660">
        <v>20</v>
      </c>
      <c r="P94" s="660">
        <v>20</v>
      </c>
      <c r="Q94" s="660">
        <v>20</v>
      </c>
    </row>
    <row r="95" spans="1:17" s="621" customFormat="1" ht="45" x14ac:dyDescent="0.25">
      <c r="A95" s="620"/>
      <c r="B95" s="1961"/>
      <c r="C95" s="1961"/>
      <c r="D95" s="1961"/>
      <c r="E95" s="1852"/>
      <c r="F95" s="754">
        <v>3225.4</v>
      </c>
      <c r="G95" s="754">
        <v>4000</v>
      </c>
      <c r="H95" s="754"/>
      <c r="I95" s="754"/>
      <c r="J95" s="754"/>
      <c r="K95" s="774" t="s">
        <v>522</v>
      </c>
      <c r="L95" s="660" t="s">
        <v>116</v>
      </c>
      <c r="M95" s="660">
        <v>3</v>
      </c>
      <c r="N95" s="660">
        <v>3</v>
      </c>
      <c r="O95" s="660">
        <v>3</v>
      </c>
      <c r="P95" s="660">
        <v>3</v>
      </c>
      <c r="Q95" s="660">
        <v>3</v>
      </c>
    </row>
    <row r="96" spans="1:17" s="621" customFormat="1" ht="30" x14ac:dyDescent="0.25">
      <c r="A96" s="620"/>
      <c r="B96" s="658"/>
      <c r="C96" s="658" t="s">
        <v>127</v>
      </c>
      <c r="D96" s="658"/>
      <c r="E96" s="659" t="s">
        <v>523</v>
      </c>
      <c r="F96" s="786">
        <v>14358.4</v>
      </c>
      <c r="G96" s="786">
        <v>3700</v>
      </c>
      <c r="H96" s="786"/>
      <c r="I96" s="786"/>
      <c r="J96" s="786"/>
      <c r="K96" s="774" t="s">
        <v>524</v>
      </c>
      <c r="L96" s="660" t="s">
        <v>116</v>
      </c>
      <c r="M96" s="660" t="s">
        <v>525</v>
      </c>
      <c r="N96" s="660" t="s">
        <v>525</v>
      </c>
      <c r="O96" s="660" t="s">
        <v>525</v>
      </c>
      <c r="P96" s="660" t="s">
        <v>525</v>
      </c>
      <c r="Q96" s="660" t="s">
        <v>525</v>
      </c>
    </row>
    <row r="97" spans="1:17" s="621" customFormat="1" ht="45" x14ac:dyDescent="0.25">
      <c r="A97" s="620"/>
      <c r="B97" s="658"/>
      <c r="C97" s="658" t="s">
        <v>129</v>
      </c>
      <c r="D97" s="658"/>
      <c r="E97" s="659" t="s">
        <v>1054</v>
      </c>
      <c r="F97" s="786">
        <v>0</v>
      </c>
      <c r="G97" s="786"/>
      <c r="H97" s="786"/>
      <c r="I97" s="786"/>
      <c r="J97" s="786"/>
      <c r="K97" s="774" t="s">
        <v>527</v>
      </c>
      <c r="L97" s="660" t="s">
        <v>35</v>
      </c>
      <c r="M97" s="660">
        <v>30</v>
      </c>
      <c r="N97" s="660">
        <v>30</v>
      </c>
      <c r="O97" s="660">
        <v>30</v>
      </c>
      <c r="P97" s="660">
        <v>30</v>
      </c>
      <c r="Q97" s="660">
        <v>30</v>
      </c>
    </row>
    <row r="98" spans="1:17" s="621" customFormat="1" ht="73.5" x14ac:dyDescent="0.25">
      <c r="A98" s="620"/>
      <c r="B98" s="680" t="s">
        <v>467</v>
      </c>
      <c r="C98" s="680"/>
      <c r="D98" s="680"/>
      <c r="E98" s="682" t="s">
        <v>912</v>
      </c>
      <c r="F98" s="683">
        <f>SUM(F99:F106)</f>
        <v>98874.1</v>
      </c>
      <c r="G98" s="683">
        <f>SUM(G99:G106)</f>
        <v>98995.9</v>
      </c>
      <c r="H98" s="683">
        <f>SUM(H99:H106)</f>
        <v>151754</v>
      </c>
      <c r="I98" s="683">
        <f>SUM(I99:I106)</f>
        <v>144002.9</v>
      </c>
      <c r="J98" s="683">
        <f>SUM(J99:J106)</f>
        <v>143175.4</v>
      </c>
      <c r="K98" s="684" t="s">
        <v>528</v>
      </c>
      <c r="L98" s="660" t="s">
        <v>35</v>
      </c>
      <c r="M98" s="660">
        <v>174</v>
      </c>
      <c r="N98" s="660">
        <v>0</v>
      </c>
      <c r="O98" s="660">
        <v>0</v>
      </c>
      <c r="P98" s="660">
        <v>0</v>
      </c>
      <c r="Q98" s="660">
        <v>0</v>
      </c>
    </row>
    <row r="99" spans="1:17" s="621" customFormat="1" ht="45" x14ac:dyDescent="0.25">
      <c r="A99" s="620"/>
      <c r="B99" s="661"/>
      <c r="C99" s="661" t="s">
        <v>5</v>
      </c>
      <c r="D99" s="661"/>
      <c r="E99" s="659" t="s">
        <v>529</v>
      </c>
      <c r="F99" s="786">
        <v>68976.600000000006</v>
      </c>
      <c r="G99" s="786">
        <v>61016.9</v>
      </c>
      <c r="H99" s="786">
        <f>147454+4300</f>
        <v>151754</v>
      </c>
      <c r="I99" s="786">
        <v>144002.9</v>
      </c>
      <c r="J99" s="786">
        <v>143175.4</v>
      </c>
      <c r="K99" s="774" t="s">
        <v>530</v>
      </c>
      <c r="L99" s="499" t="s">
        <v>116</v>
      </c>
      <c r="M99" s="660">
        <v>650</v>
      </c>
      <c r="N99" s="658" t="s">
        <v>531</v>
      </c>
      <c r="O99" s="658" t="s">
        <v>531</v>
      </c>
      <c r="P99" s="658" t="s">
        <v>532</v>
      </c>
      <c r="Q99" s="658" t="s">
        <v>532</v>
      </c>
    </row>
    <row r="100" spans="1:17" s="621" customFormat="1" ht="30" x14ac:dyDescent="0.25">
      <c r="A100" s="620"/>
      <c r="B100" s="661"/>
      <c r="C100" s="661" t="s">
        <v>7</v>
      </c>
      <c r="D100" s="661"/>
      <c r="E100" s="396" t="s">
        <v>533</v>
      </c>
      <c r="F100" s="786">
        <v>10200</v>
      </c>
      <c r="G100" s="786">
        <v>9032</v>
      </c>
      <c r="H100" s="685"/>
      <c r="I100" s="685"/>
      <c r="J100" s="685"/>
      <c r="K100" s="396" t="s">
        <v>534</v>
      </c>
      <c r="L100" s="662"/>
      <c r="M100" s="660" t="s">
        <v>535</v>
      </c>
      <c r="N100" s="660" t="s">
        <v>535</v>
      </c>
      <c r="O100" s="660" t="s">
        <v>535</v>
      </c>
      <c r="P100" s="660" t="s">
        <v>535</v>
      </c>
      <c r="Q100" s="660" t="s">
        <v>535</v>
      </c>
    </row>
    <row r="101" spans="1:17" s="621" customFormat="1" ht="45" x14ac:dyDescent="0.25">
      <c r="A101" s="620"/>
      <c r="B101" s="661"/>
      <c r="C101" s="661" t="s">
        <v>9</v>
      </c>
      <c r="D101" s="661"/>
      <c r="E101" s="396" t="s">
        <v>536</v>
      </c>
      <c r="F101" s="786">
        <v>8000</v>
      </c>
      <c r="G101" s="786">
        <v>5000</v>
      </c>
      <c r="H101" s="786"/>
      <c r="I101" s="786"/>
      <c r="J101" s="786"/>
      <c r="K101" s="396" t="s">
        <v>537</v>
      </c>
      <c r="L101" s="662" t="s">
        <v>35</v>
      </c>
      <c r="M101" s="660">
        <v>100</v>
      </c>
      <c r="N101" s="660">
        <v>100</v>
      </c>
      <c r="O101" s="660">
        <v>100</v>
      </c>
      <c r="P101" s="660">
        <v>100</v>
      </c>
      <c r="Q101" s="660">
        <v>100</v>
      </c>
    </row>
    <row r="102" spans="1:17" s="621" customFormat="1" ht="30" x14ac:dyDescent="0.25">
      <c r="A102" s="620"/>
      <c r="B102" s="661"/>
      <c r="C102" s="661" t="s">
        <v>11</v>
      </c>
      <c r="D102" s="661"/>
      <c r="E102" s="396" t="s">
        <v>538</v>
      </c>
      <c r="F102" s="786">
        <v>600</v>
      </c>
      <c r="G102" s="786">
        <v>15380</v>
      </c>
      <c r="H102" s="761"/>
      <c r="I102" s="761"/>
      <c r="J102" s="761"/>
      <c r="K102" s="396" t="s">
        <v>539</v>
      </c>
      <c r="L102" s="660" t="s">
        <v>35</v>
      </c>
      <c r="M102" s="660">
        <v>100</v>
      </c>
      <c r="N102" s="660">
        <v>100</v>
      </c>
      <c r="O102" s="660">
        <v>100</v>
      </c>
      <c r="P102" s="660">
        <v>100</v>
      </c>
      <c r="Q102" s="660">
        <v>100</v>
      </c>
    </row>
    <row r="103" spans="1:17" s="621" customFormat="1" ht="60" x14ac:dyDescent="0.25">
      <c r="A103" s="620"/>
      <c r="B103" s="661"/>
      <c r="C103" s="661" t="s">
        <v>127</v>
      </c>
      <c r="D103" s="661"/>
      <c r="E103" s="622" t="s">
        <v>540</v>
      </c>
      <c r="F103" s="786">
        <v>100</v>
      </c>
      <c r="G103" s="786">
        <v>8567</v>
      </c>
      <c r="H103" s="761"/>
      <c r="I103" s="761"/>
      <c r="J103" s="761"/>
      <c r="K103" s="623" t="s">
        <v>541</v>
      </c>
      <c r="L103" s="510" t="s">
        <v>274</v>
      </c>
      <c r="M103" s="660">
        <v>30</v>
      </c>
      <c r="N103" s="660">
        <v>30</v>
      </c>
      <c r="O103" s="660">
        <v>30</v>
      </c>
      <c r="P103" s="660">
        <v>30</v>
      </c>
      <c r="Q103" s="660">
        <v>30</v>
      </c>
    </row>
    <row r="104" spans="1:17" s="621" customFormat="1" ht="30" x14ac:dyDescent="0.25">
      <c r="A104" s="620"/>
      <c r="B104" s="661"/>
      <c r="C104" s="661" t="s">
        <v>129</v>
      </c>
      <c r="D104" s="661"/>
      <c r="E104" s="679" t="s">
        <v>542</v>
      </c>
      <c r="F104" s="786">
        <v>6237</v>
      </c>
      <c r="G104" s="786"/>
      <c r="H104" s="761"/>
      <c r="I104" s="761"/>
      <c r="J104" s="761"/>
      <c r="K104" s="623" t="s">
        <v>543</v>
      </c>
      <c r="L104" s="510" t="s">
        <v>116</v>
      </c>
      <c r="M104" s="660">
        <v>14</v>
      </c>
      <c r="N104" s="660">
        <v>14</v>
      </c>
      <c r="O104" s="660"/>
      <c r="P104" s="660"/>
      <c r="Q104" s="660"/>
    </row>
    <row r="105" spans="1:17" s="621" customFormat="1" ht="30" x14ac:dyDescent="0.25">
      <c r="A105" s="620"/>
      <c r="B105" s="661"/>
      <c r="C105" s="661" t="s">
        <v>131</v>
      </c>
      <c r="D105" s="661"/>
      <c r="E105" s="693" t="s">
        <v>544</v>
      </c>
      <c r="F105" s="786">
        <v>4760.5</v>
      </c>
      <c r="G105" s="786"/>
      <c r="H105" s="761"/>
      <c r="I105" s="761"/>
      <c r="J105" s="761"/>
      <c r="K105" s="517" t="s">
        <v>545</v>
      </c>
      <c r="L105" s="510" t="s">
        <v>116</v>
      </c>
      <c r="M105" s="660">
        <v>278</v>
      </c>
      <c r="N105" s="660">
        <v>280</v>
      </c>
      <c r="O105" s="660"/>
      <c r="P105" s="660"/>
      <c r="Q105" s="660"/>
    </row>
    <row r="106" spans="1:17" s="621" customFormat="1" x14ac:dyDescent="0.25">
      <c r="A106" s="620"/>
      <c r="B106" s="661"/>
      <c r="C106" s="661" t="s">
        <v>134</v>
      </c>
      <c r="D106" s="661"/>
      <c r="E106" s="396" t="s">
        <v>546</v>
      </c>
      <c r="F106" s="624">
        <v>0</v>
      </c>
      <c r="G106" s="786"/>
      <c r="H106" s="761"/>
      <c r="I106" s="761"/>
      <c r="J106" s="761"/>
      <c r="K106" s="517" t="s">
        <v>547</v>
      </c>
      <c r="L106" s="510" t="s">
        <v>116</v>
      </c>
      <c r="M106" s="660">
        <v>88</v>
      </c>
      <c r="N106" s="660">
        <v>90</v>
      </c>
      <c r="O106" s="660"/>
      <c r="P106" s="660"/>
      <c r="Q106" s="660"/>
    </row>
    <row r="107" spans="1:17" s="621" customFormat="1" ht="74.25" x14ac:dyDescent="0.25">
      <c r="A107" s="620"/>
      <c r="B107" s="661" t="s">
        <v>500</v>
      </c>
      <c r="C107" s="661"/>
      <c r="D107" s="661"/>
      <c r="E107" s="625" t="s">
        <v>913</v>
      </c>
      <c r="F107" s="683">
        <f>F108+F109</f>
        <v>150</v>
      </c>
      <c r="G107" s="683">
        <f t="shared" ref="G107:J107" si="9">G108+G109</f>
        <v>0</v>
      </c>
      <c r="H107" s="683">
        <f t="shared" si="9"/>
        <v>0</v>
      </c>
      <c r="I107" s="683">
        <f t="shared" si="9"/>
        <v>0</v>
      </c>
      <c r="J107" s="683">
        <f t="shared" si="9"/>
        <v>0</v>
      </c>
      <c r="K107" s="626" t="s">
        <v>548</v>
      </c>
      <c r="L107" s="660" t="s">
        <v>313</v>
      </c>
      <c r="M107" s="784">
        <v>0</v>
      </c>
      <c r="N107" s="784">
        <v>0</v>
      </c>
      <c r="O107" s="627"/>
      <c r="P107" s="784"/>
      <c r="Q107" s="784"/>
    </row>
    <row r="108" spans="1:17" s="621" customFormat="1" ht="60" x14ac:dyDescent="0.25">
      <c r="A108" s="620"/>
      <c r="B108" s="661"/>
      <c r="C108" s="661" t="s">
        <v>5</v>
      </c>
      <c r="D108" s="661"/>
      <c r="E108" s="396" t="s">
        <v>549</v>
      </c>
      <c r="F108" s="786">
        <v>100</v>
      </c>
      <c r="G108" s="786"/>
      <c r="H108" s="761"/>
      <c r="I108" s="761"/>
      <c r="J108" s="761"/>
      <c r="K108" s="396" t="s">
        <v>550</v>
      </c>
      <c r="L108" s="662" t="s">
        <v>116</v>
      </c>
      <c r="M108" s="784">
        <v>0</v>
      </c>
      <c r="N108" s="784">
        <v>0</v>
      </c>
      <c r="O108" s="627"/>
      <c r="P108" s="784"/>
      <c r="Q108" s="784"/>
    </row>
    <row r="109" spans="1:17" s="621" customFormat="1" ht="45" x14ac:dyDescent="0.25">
      <c r="A109" s="620"/>
      <c r="B109" s="661"/>
      <c r="C109" s="661" t="s">
        <v>7</v>
      </c>
      <c r="D109" s="661"/>
      <c r="E109" s="693" t="s">
        <v>551</v>
      </c>
      <c r="F109" s="786">
        <v>50</v>
      </c>
      <c r="G109" s="786"/>
      <c r="H109" s="761"/>
      <c r="I109" s="761"/>
      <c r="J109" s="761"/>
      <c r="K109" s="396" t="s">
        <v>552</v>
      </c>
      <c r="L109" s="662" t="s">
        <v>553</v>
      </c>
      <c r="M109" s="628">
        <v>43295</v>
      </c>
      <c r="N109" s="784"/>
      <c r="O109" s="627"/>
      <c r="P109" s="784"/>
      <c r="Q109" s="784"/>
    </row>
    <row r="110" spans="1:17" s="621" customFormat="1" ht="58.5" x14ac:dyDescent="0.25">
      <c r="A110" s="620"/>
      <c r="B110" s="680" t="s">
        <v>508</v>
      </c>
      <c r="C110" s="661"/>
      <c r="D110" s="661"/>
      <c r="E110" s="625" t="s">
        <v>914</v>
      </c>
      <c r="F110" s="683">
        <f>SUM(F111:F116)</f>
        <v>700</v>
      </c>
      <c r="G110" s="683">
        <f t="shared" ref="G110:J110" si="10">SUM(G111:G116)</f>
        <v>0</v>
      </c>
      <c r="H110" s="683">
        <f t="shared" si="10"/>
        <v>0</v>
      </c>
      <c r="I110" s="683">
        <f t="shared" si="10"/>
        <v>0</v>
      </c>
      <c r="J110" s="683">
        <f t="shared" si="10"/>
        <v>0</v>
      </c>
      <c r="K110" s="626" t="s">
        <v>554</v>
      </c>
      <c r="L110" s="660" t="s">
        <v>35</v>
      </c>
      <c r="M110" s="448">
        <v>0</v>
      </c>
      <c r="N110" s="448">
        <v>0</v>
      </c>
      <c r="O110" s="627"/>
      <c r="P110" s="784"/>
      <c r="Q110" s="784"/>
    </row>
    <row r="111" spans="1:17" s="621" customFormat="1" ht="30" x14ac:dyDescent="0.25">
      <c r="A111" s="620"/>
      <c r="B111" s="661"/>
      <c r="C111" s="661" t="s">
        <v>5</v>
      </c>
      <c r="D111" s="661"/>
      <c r="E111" s="396" t="s">
        <v>555</v>
      </c>
      <c r="F111" s="786">
        <v>50</v>
      </c>
      <c r="G111" s="786"/>
      <c r="H111" s="761"/>
      <c r="I111" s="761"/>
      <c r="J111" s="761"/>
      <c r="K111" s="513" t="s">
        <v>556</v>
      </c>
      <c r="L111" s="660" t="s">
        <v>116</v>
      </c>
      <c r="M111" s="886">
        <v>1500</v>
      </c>
      <c r="N111" s="886">
        <v>1550</v>
      </c>
      <c r="O111" s="627"/>
      <c r="P111" s="784"/>
      <c r="Q111" s="784"/>
    </row>
    <row r="112" spans="1:17" s="621" customFormat="1" ht="30" x14ac:dyDescent="0.25">
      <c r="A112" s="620"/>
      <c r="B112" s="661"/>
      <c r="C112" s="661" t="s">
        <v>5</v>
      </c>
      <c r="D112" s="661"/>
      <c r="E112" s="396" t="s">
        <v>557</v>
      </c>
      <c r="F112" s="786">
        <v>200</v>
      </c>
      <c r="G112" s="786"/>
      <c r="H112" s="761"/>
      <c r="I112" s="761"/>
      <c r="J112" s="761"/>
      <c r="K112" s="513"/>
      <c r="L112" s="660"/>
      <c r="M112" s="886"/>
      <c r="N112" s="886"/>
      <c r="O112" s="627"/>
      <c r="P112" s="784"/>
      <c r="Q112" s="784"/>
    </row>
    <row r="113" spans="1:17" s="621" customFormat="1" ht="45" x14ac:dyDescent="0.25">
      <c r="A113" s="620"/>
      <c r="B113" s="661"/>
      <c r="C113" s="661" t="s">
        <v>7</v>
      </c>
      <c r="D113" s="661"/>
      <c r="E113" s="396" t="s">
        <v>558</v>
      </c>
      <c r="F113" s="786">
        <v>100</v>
      </c>
      <c r="G113" s="786"/>
      <c r="H113" s="761"/>
      <c r="I113" s="761"/>
      <c r="J113" s="761"/>
      <c r="K113" s="396" t="s">
        <v>559</v>
      </c>
      <c r="L113" s="660" t="s">
        <v>116</v>
      </c>
      <c r="M113" s="693">
        <v>14000</v>
      </c>
      <c r="N113" s="693">
        <v>14000</v>
      </c>
      <c r="O113" s="627"/>
      <c r="P113" s="784"/>
      <c r="Q113" s="784"/>
    </row>
    <row r="114" spans="1:17" s="621" customFormat="1" ht="30" x14ac:dyDescent="0.25">
      <c r="A114" s="620"/>
      <c r="B114" s="661"/>
      <c r="C114" s="661" t="s">
        <v>9</v>
      </c>
      <c r="D114" s="661"/>
      <c r="E114" s="396" t="s">
        <v>560</v>
      </c>
      <c r="F114" s="786">
        <v>150</v>
      </c>
      <c r="G114" s="786"/>
      <c r="H114" s="761"/>
      <c r="I114" s="761"/>
      <c r="J114" s="761"/>
      <c r="K114" s="396" t="s">
        <v>561</v>
      </c>
      <c r="L114" s="660" t="s">
        <v>116</v>
      </c>
      <c r="M114" s="448">
        <v>0</v>
      </c>
      <c r="N114" s="448">
        <v>0</v>
      </c>
      <c r="O114" s="627"/>
      <c r="P114" s="784"/>
      <c r="Q114" s="784"/>
    </row>
    <row r="115" spans="1:17" s="621" customFormat="1" ht="45" x14ac:dyDescent="0.25">
      <c r="A115" s="620"/>
      <c r="B115" s="661"/>
      <c r="C115" s="661" t="s">
        <v>11</v>
      </c>
      <c r="D115" s="661"/>
      <c r="E115" s="693" t="s">
        <v>562</v>
      </c>
      <c r="F115" s="786">
        <v>100</v>
      </c>
      <c r="G115" s="786"/>
      <c r="H115" s="761"/>
      <c r="I115" s="761"/>
      <c r="J115" s="761"/>
      <c r="K115" s="396" t="s">
        <v>563</v>
      </c>
      <c r="L115" s="660" t="s">
        <v>116</v>
      </c>
      <c r="M115" s="449" t="s">
        <v>564</v>
      </c>
      <c r="N115" s="449" t="s">
        <v>564</v>
      </c>
      <c r="O115" s="627"/>
      <c r="P115" s="784"/>
      <c r="Q115" s="784"/>
    </row>
    <row r="116" spans="1:17" s="621" customFormat="1" ht="45" x14ac:dyDescent="0.25">
      <c r="A116" s="620"/>
      <c r="B116" s="756"/>
      <c r="C116" s="756" t="s">
        <v>127</v>
      </c>
      <c r="D116" s="756"/>
      <c r="E116" s="678" t="s">
        <v>565</v>
      </c>
      <c r="F116" s="753">
        <v>100</v>
      </c>
      <c r="G116" s="753"/>
      <c r="H116" s="759"/>
      <c r="I116" s="759"/>
      <c r="J116" s="759"/>
      <c r="K116" s="629" t="s">
        <v>566</v>
      </c>
      <c r="L116" s="784" t="s">
        <v>116</v>
      </c>
      <c r="M116" s="455">
        <v>0</v>
      </c>
      <c r="N116" s="455">
        <v>0</v>
      </c>
      <c r="O116" s="630"/>
      <c r="P116" s="784"/>
      <c r="Q116" s="784"/>
    </row>
    <row r="117" spans="1:17" ht="15.75" customHeight="1" x14ac:dyDescent="0.25">
      <c r="A117" s="2480" t="s">
        <v>85</v>
      </c>
      <c r="B117" s="2480"/>
      <c r="C117" s="2480"/>
      <c r="D117" s="2480"/>
      <c r="E117" s="2480"/>
      <c r="F117" s="268">
        <f>F98+F91+F107+F110</f>
        <v>135867.6</v>
      </c>
      <c r="G117" s="268">
        <f>G98+G91+G107+G110</f>
        <v>147454</v>
      </c>
      <c r="H117" s="268">
        <f>H98+H91+H107+H110</f>
        <v>151754</v>
      </c>
      <c r="I117" s="268">
        <f>I98+I91+I107+I110</f>
        <v>144002.9</v>
      </c>
      <c r="J117" s="268">
        <f>J98+J91+J107+J110</f>
        <v>143175.4</v>
      </c>
      <c r="K117" s="919"/>
      <c r="L117" s="696"/>
      <c r="M117" s="696"/>
      <c r="N117" s="696"/>
      <c r="O117" s="696"/>
      <c r="P117" s="696"/>
      <c r="Q117" s="696"/>
    </row>
    <row r="118" spans="1:17" x14ac:dyDescent="0.25">
      <c r="A118" s="2492" t="s">
        <v>722</v>
      </c>
      <c r="B118" s="2492"/>
      <c r="C118" s="2492"/>
      <c r="D118" s="2492"/>
      <c r="E118" s="2492"/>
      <c r="F118" s="2492"/>
      <c r="G118" s="2492"/>
      <c r="H118" s="2492"/>
      <c r="I118" s="2492"/>
      <c r="J118" s="2492"/>
      <c r="K118" s="2492"/>
      <c r="L118" s="2492"/>
      <c r="M118" s="2492"/>
      <c r="N118" s="2492"/>
      <c r="O118" s="2492"/>
      <c r="P118" s="2492"/>
      <c r="Q118" s="2492"/>
    </row>
    <row r="119" spans="1:17" s="12" customFormat="1" ht="88.5" x14ac:dyDescent="0.25">
      <c r="A119" s="110"/>
      <c r="B119" s="647" t="s">
        <v>516</v>
      </c>
      <c r="C119" s="647"/>
      <c r="D119" s="647"/>
      <c r="E119" s="648" t="s">
        <v>1090</v>
      </c>
      <c r="F119" s="208">
        <f>SUM(F120:F124)</f>
        <v>12716.199999999999</v>
      </c>
      <c r="G119" s="208">
        <f>SUM(G120:G124)</f>
        <v>13851.099999999999</v>
      </c>
      <c r="H119" s="208">
        <f>SUM(H120:H124)</f>
        <v>12787.599999999999</v>
      </c>
      <c r="I119" s="208">
        <f>SUM(I120:I124)</f>
        <v>11899.3</v>
      </c>
      <c r="J119" s="208">
        <f>SUM(J120:J124)</f>
        <v>11899.3</v>
      </c>
      <c r="K119" s="712" t="s">
        <v>724</v>
      </c>
      <c r="L119" s="922" t="s">
        <v>35</v>
      </c>
      <c r="M119" s="922">
        <v>27.3</v>
      </c>
      <c r="N119" s="922">
        <v>27.3</v>
      </c>
      <c r="O119" s="922">
        <v>27.3</v>
      </c>
      <c r="P119" s="922">
        <v>27.3</v>
      </c>
      <c r="Q119" s="922">
        <v>27.3</v>
      </c>
    </row>
    <row r="120" spans="1:17" s="12" customFormat="1" ht="30" x14ac:dyDescent="0.25">
      <c r="A120" s="110"/>
      <c r="B120" s="705"/>
      <c r="C120" s="705" t="s">
        <v>5</v>
      </c>
      <c r="D120" s="705"/>
      <c r="E120" s="765" t="s">
        <v>6</v>
      </c>
      <c r="F120" s="706">
        <v>2767.1</v>
      </c>
      <c r="G120" s="706">
        <v>3016.5</v>
      </c>
      <c r="H120" s="706">
        <v>3727.8</v>
      </c>
      <c r="I120" s="706">
        <v>3727.8</v>
      </c>
      <c r="J120" s="706">
        <v>3727.8</v>
      </c>
      <c r="K120" s="765" t="s">
        <v>856</v>
      </c>
      <c r="L120" s="704" t="s">
        <v>37</v>
      </c>
      <c r="M120" s="704">
        <v>0</v>
      </c>
      <c r="N120" s="704">
        <v>0</v>
      </c>
      <c r="O120" s="704">
        <v>0</v>
      </c>
      <c r="P120" s="704">
        <v>0</v>
      </c>
      <c r="Q120" s="704">
        <v>0</v>
      </c>
    </row>
    <row r="121" spans="1:17" s="12" customFormat="1" ht="30" x14ac:dyDescent="0.25">
      <c r="A121" s="110"/>
      <c r="B121" s="705"/>
      <c r="C121" s="705" t="s">
        <v>7</v>
      </c>
      <c r="D121" s="705"/>
      <c r="E121" s="765" t="s">
        <v>8</v>
      </c>
      <c r="F121" s="706">
        <v>2262.1999999999998</v>
      </c>
      <c r="G121" s="706">
        <v>2316.6999999999998</v>
      </c>
      <c r="H121" s="706">
        <v>2646.5</v>
      </c>
      <c r="I121" s="706">
        <v>2646.5</v>
      </c>
      <c r="J121" s="706">
        <v>2646.5</v>
      </c>
      <c r="K121" s="765" t="s">
        <v>857</v>
      </c>
      <c r="L121" s="704" t="s">
        <v>35</v>
      </c>
      <c r="M121" s="704">
        <v>0</v>
      </c>
      <c r="N121" s="704">
        <v>0</v>
      </c>
      <c r="O121" s="704">
        <v>0</v>
      </c>
      <c r="P121" s="704">
        <v>0</v>
      </c>
      <c r="Q121" s="704">
        <v>0</v>
      </c>
    </row>
    <row r="122" spans="1:17" s="12" customFormat="1" ht="30" x14ac:dyDescent="0.25">
      <c r="A122" s="110"/>
      <c r="B122" s="705"/>
      <c r="C122" s="705" t="s">
        <v>9</v>
      </c>
      <c r="D122" s="705"/>
      <c r="E122" s="765" t="s">
        <v>10</v>
      </c>
      <c r="F122" s="706">
        <v>645.6</v>
      </c>
      <c r="G122" s="706">
        <v>824.1</v>
      </c>
      <c r="H122" s="706">
        <v>1676.6</v>
      </c>
      <c r="I122" s="706">
        <v>1676.6</v>
      </c>
      <c r="J122" s="706">
        <v>1676.6</v>
      </c>
      <c r="K122" s="765" t="s">
        <v>858</v>
      </c>
      <c r="L122" s="704" t="s">
        <v>35</v>
      </c>
      <c r="M122" s="704">
        <v>0</v>
      </c>
      <c r="N122" s="704">
        <v>0</v>
      </c>
      <c r="O122" s="704">
        <v>0</v>
      </c>
      <c r="P122" s="704">
        <v>0</v>
      </c>
      <c r="Q122" s="704">
        <v>0</v>
      </c>
    </row>
    <row r="123" spans="1:17" s="12" customFormat="1" ht="30" x14ac:dyDescent="0.25">
      <c r="A123" s="110"/>
      <c r="B123" s="705"/>
      <c r="C123" s="705" t="s">
        <v>11</v>
      </c>
      <c r="D123" s="705"/>
      <c r="E123" s="765" t="s">
        <v>13</v>
      </c>
      <c r="F123" s="706">
        <v>2778.9</v>
      </c>
      <c r="G123" s="706">
        <v>2792.1</v>
      </c>
      <c r="H123" s="706">
        <v>888.3</v>
      </c>
      <c r="I123" s="706"/>
      <c r="J123" s="706"/>
      <c r="K123" s="765"/>
      <c r="L123" s="704" t="s">
        <v>116</v>
      </c>
      <c r="M123" s="704"/>
      <c r="N123" s="704"/>
      <c r="O123" s="704"/>
      <c r="P123" s="704"/>
      <c r="Q123" s="704"/>
    </row>
    <row r="124" spans="1:17" s="12" customFormat="1" ht="60" x14ac:dyDescent="0.25">
      <c r="A124" s="110"/>
      <c r="B124" s="705"/>
      <c r="C124" s="705" t="s">
        <v>127</v>
      </c>
      <c r="D124" s="705"/>
      <c r="E124" s="765" t="s">
        <v>526</v>
      </c>
      <c r="F124" s="706">
        <v>4262.3999999999996</v>
      </c>
      <c r="G124" s="706">
        <v>4901.7</v>
      </c>
      <c r="H124" s="706">
        <v>3848.4</v>
      </c>
      <c r="I124" s="706">
        <v>3848.4</v>
      </c>
      <c r="J124" s="706">
        <v>3848.4</v>
      </c>
      <c r="K124" s="765" t="s">
        <v>725</v>
      </c>
      <c r="L124" s="704" t="s">
        <v>35</v>
      </c>
      <c r="M124" s="704">
        <v>27.3</v>
      </c>
      <c r="N124" s="704">
        <v>27.3</v>
      </c>
      <c r="O124" s="704">
        <v>27.3</v>
      </c>
      <c r="P124" s="704">
        <v>27.3</v>
      </c>
      <c r="Q124" s="704">
        <v>27.3</v>
      </c>
    </row>
    <row r="125" spans="1:17" s="12" customFormat="1" ht="117.75" x14ac:dyDescent="0.25">
      <c r="A125" s="110"/>
      <c r="B125" s="924" t="s">
        <v>467</v>
      </c>
      <c r="C125" s="924"/>
      <c r="D125" s="924"/>
      <c r="E125" s="713" t="s">
        <v>2805</v>
      </c>
      <c r="F125" s="711">
        <f>SUM(F126:F132)</f>
        <v>2952.9</v>
      </c>
      <c r="G125" s="711">
        <f>SUM(G126:G132)</f>
        <v>2952.9</v>
      </c>
      <c r="H125" s="711">
        <f>SUM(H126:H132)</f>
        <v>37704.999999999993</v>
      </c>
      <c r="I125" s="711">
        <f>SUM(I126:I132)</f>
        <v>37704.999999999993</v>
      </c>
      <c r="J125" s="711">
        <f>SUM(J126:J132)</f>
        <v>37704.999999999993</v>
      </c>
      <c r="K125" s="649" t="s">
        <v>859</v>
      </c>
      <c r="L125" s="704" t="s">
        <v>116</v>
      </c>
      <c r="M125" s="704">
        <v>23</v>
      </c>
      <c r="N125" s="704">
        <v>23</v>
      </c>
      <c r="O125" s="704">
        <v>23</v>
      </c>
      <c r="P125" s="704">
        <v>23</v>
      </c>
      <c r="Q125" s="704">
        <v>23</v>
      </c>
    </row>
    <row r="126" spans="1:17" s="12" customFormat="1" ht="30" x14ac:dyDescent="0.25">
      <c r="A126" s="110"/>
      <c r="B126" s="924" t="s">
        <v>601</v>
      </c>
      <c r="C126" s="717" t="s">
        <v>5</v>
      </c>
      <c r="D126" s="717"/>
      <c r="E126" s="381" t="s">
        <v>860</v>
      </c>
      <c r="F126" s="706">
        <v>1089.2</v>
      </c>
      <c r="G126" s="706">
        <v>1089.2</v>
      </c>
      <c r="H126" s="233">
        <v>18548</v>
      </c>
      <c r="I126" s="233">
        <v>18548</v>
      </c>
      <c r="J126" s="233">
        <v>18548</v>
      </c>
      <c r="K126" s="381" t="s">
        <v>726</v>
      </c>
      <c r="L126" s="226" t="s">
        <v>40</v>
      </c>
      <c r="M126" s="704">
        <v>73</v>
      </c>
      <c r="N126" s="704">
        <v>73</v>
      </c>
      <c r="O126" s="704">
        <v>73</v>
      </c>
      <c r="P126" s="704">
        <v>73</v>
      </c>
      <c r="Q126" s="704">
        <v>73</v>
      </c>
    </row>
    <row r="127" spans="1:17" s="12" customFormat="1" ht="30" x14ac:dyDescent="0.25">
      <c r="A127" s="110"/>
      <c r="B127" s="1905" t="s">
        <v>467</v>
      </c>
      <c r="C127" s="717" t="s">
        <v>129</v>
      </c>
      <c r="D127" s="717"/>
      <c r="E127" s="381" t="s">
        <v>727</v>
      </c>
      <c r="F127" s="706">
        <v>331.6</v>
      </c>
      <c r="G127" s="706">
        <v>331.6</v>
      </c>
      <c r="H127" s="706">
        <v>15978.5</v>
      </c>
      <c r="I127" s="706">
        <v>15978.5</v>
      </c>
      <c r="J127" s="706">
        <v>15978.5</v>
      </c>
      <c r="K127" s="381" t="s">
        <v>726</v>
      </c>
      <c r="L127" s="226" t="s">
        <v>40</v>
      </c>
      <c r="M127" s="704">
        <v>73</v>
      </c>
      <c r="N127" s="704">
        <v>73</v>
      </c>
      <c r="O127" s="704">
        <v>73</v>
      </c>
      <c r="P127" s="704">
        <v>73</v>
      </c>
      <c r="Q127" s="704">
        <v>73</v>
      </c>
    </row>
    <row r="128" spans="1:17" s="12" customFormat="1" ht="30" x14ac:dyDescent="0.25">
      <c r="A128" s="110"/>
      <c r="B128" s="2313"/>
      <c r="C128" s="717" t="s">
        <v>131</v>
      </c>
      <c r="D128" s="717"/>
      <c r="E128" s="381" t="s">
        <v>861</v>
      </c>
      <c r="F128" s="706"/>
      <c r="G128" s="706"/>
      <c r="H128" s="706">
        <v>748.2</v>
      </c>
      <c r="I128" s="706">
        <v>748.2</v>
      </c>
      <c r="J128" s="706">
        <v>748.2</v>
      </c>
      <c r="K128" s="381" t="s">
        <v>728</v>
      </c>
      <c r="L128" s="226" t="s">
        <v>40</v>
      </c>
      <c r="M128" s="450">
        <v>18</v>
      </c>
      <c r="N128" s="450">
        <v>18</v>
      </c>
      <c r="O128" s="450">
        <v>18</v>
      </c>
      <c r="P128" s="450">
        <v>18</v>
      </c>
      <c r="Q128" s="450">
        <v>18</v>
      </c>
    </row>
    <row r="129" spans="1:17" s="12" customFormat="1" ht="165" x14ac:dyDescent="0.25">
      <c r="A129" s="110"/>
      <c r="B129" s="2313"/>
      <c r="C129" s="717" t="s">
        <v>134</v>
      </c>
      <c r="D129" s="717"/>
      <c r="E129" s="381" t="s">
        <v>862</v>
      </c>
      <c r="F129" s="706"/>
      <c r="G129" s="706"/>
      <c r="H129" s="706">
        <v>216.6</v>
      </c>
      <c r="I129" s="706">
        <v>216.6</v>
      </c>
      <c r="J129" s="706">
        <v>216.6</v>
      </c>
      <c r="K129" s="381" t="s">
        <v>729</v>
      </c>
      <c r="L129" s="226" t="s">
        <v>40</v>
      </c>
      <c r="M129" s="450">
        <v>4</v>
      </c>
      <c r="N129" s="450">
        <v>4</v>
      </c>
      <c r="O129" s="450">
        <v>4</v>
      </c>
      <c r="P129" s="450">
        <v>4</v>
      </c>
      <c r="Q129" s="450">
        <v>4</v>
      </c>
    </row>
    <row r="130" spans="1:17" s="12" customFormat="1" ht="45" x14ac:dyDescent="0.25">
      <c r="A130" s="110"/>
      <c r="B130" s="2313"/>
      <c r="C130" s="717" t="s">
        <v>137</v>
      </c>
      <c r="D130" s="717"/>
      <c r="E130" s="381" t="s">
        <v>863</v>
      </c>
      <c r="F130" s="706">
        <v>1532.1</v>
      </c>
      <c r="G130" s="706">
        <v>1532.1</v>
      </c>
      <c r="H130" s="706">
        <v>2113.6999999999998</v>
      </c>
      <c r="I130" s="706">
        <v>2113.6999999999998</v>
      </c>
      <c r="J130" s="706">
        <v>2113.6999999999998</v>
      </c>
      <c r="K130" s="381" t="s">
        <v>864</v>
      </c>
      <c r="L130" s="226" t="s">
        <v>40</v>
      </c>
      <c r="M130" s="226">
        <v>1</v>
      </c>
      <c r="N130" s="226">
        <v>0</v>
      </c>
      <c r="O130" s="226">
        <v>1</v>
      </c>
      <c r="P130" s="226">
        <v>0</v>
      </c>
      <c r="Q130" s="226">
        <v>1</v>
      </c>
    </row>
    <row r="131" spans="1:17" s="12" customFormat="1" ht="45" x14ac:dyDescent="0.25">
      <c r="A131" s="110"/>
      <c r="B131" s="2313"/>
      <c r="C131" s="717" t="s">
        <v>129</v>
      </c>
      <c r="D131" s="717"/>
      <c r="E131" s="381" t="s">
        <v>865</v>
      </c>
      <c r="F131" s="233"/>
      <c r="G131" s="706"/>
      <c r="H131" s="706">
        <v>0</v>
      </c>
      <c r="I131" s="706">
        <v>0</v>
      </c>
      <c r="J131" s="706">
        <v>0</v>
      </c>
      <c r="K131" s="381" t="s">
        <v>866</v>
      </c>
      <c r="L131" s="226" t="s">
        <v>40</v>
      </c>
      <c r="M131" s="226">
        <v>0</v>
      </c>
      <c r="N131" s="226">
        <v>1</v>
      </c>
      <c r="O131" s="226">
        <v>0</v>
      </c>
      <c r="P131" s="226">
        <v>1</v>
      </c>
      <c r="Q131" s="226">
        <v>0</v>
      </c>
    </row>
    <row r="132" spans="1:17" s="12" customFormat="1" ht="45" x14ac:dyDescent="0.25">
      <c r="A132" s="110"/>
      <c r="B132" s="1906"/>
      <c r="C132" s="717" t="s">
        <v>407</v>
      </c>
      <c r="D132" s="717"/>
      <c r="E132" s="381" t="s">
        <v>867</v>
      </c>
      <c r="F132" s="233"/>
      <c r="G132" s="233"/>
      <c r="H132" s="706">
        <v>100</v>
      </c>
      <c r="I132" s="706">
        <v>100</v>
      </c>
      <c r="J132" s="706">
        <f>I132</f>
        <v>100</v>
      </c>
      <c r="K132" s="381" t="s">
        <v>868</v>
      </c>
      <c r="L132" s="226" t="s">
        <v>40</v>
      </c>
      <c r="M132" s="226">
        <v>2</v>
      </c>
      <c r="N132" s="226">
        <v>2</v>
      </c>
      <c r="O132" s="226">
        <v>2</v>
      </c>
      <c r="P132" s="226">
        <v>2</v>
      </c>
      <c r="Q132" s="226">
        <v>2</v>
      </c>
    </row>
    <row r="133" spans="1:17" s="12" customFormat="1" ht="71.25" x14ac:dyDescent="0.25">
      <c r="A133" s="110"/>
      <c r="B133" s="924" t="s">
        <v>500</v>
      </c>
      <c r="C133" s="924"/>
      <c r="D133" s="924"/>
      <c r="E133" s="650" t="s">
        <v>915</v>
      </c>
      <c r="F133" s="711">
        <f>F134+F137+F135+F136</f>
        <v>793.5</v>
      </c>
      <c r="G133" s="711">
        <f t="shared" ref="G133:J133" si="11">G134+G137+G135+G136</f>
        <v>504.1</v>
      </c>
      <c r="H133" s="711">
        <f t="shared" si="11"/>
        <v>50</v>
      </c>
      <c r="I133" s="711">
        <f>I134+I137+I135+I136</f>
        <v>938.3</v>
      </c>
      <c r="J133" s="711">
        <f t="shared" si="11"/>
        <v>938.3</v>
      </c>
      <c r="K133" s="644" t="s">
        <v>869</v>
      </c>
      <c r="L133" s="704" t="s">
        <v>40</v>
      </c>
      <c r="M133" s="704">
        <v>0</v>
      </c>
      <c r="N133" s="704">
        <v>0</v>
      </c>
      <c r="O133" s="704">
        <v>0</v>
      </c>
      <c r="P133" s="704">
        <v>0</v>
      </c>
      <c r="Q133" s="704">
        <v>0</v>
      </c>
    </row>
    <row r="134" spans="1:17" s="12" customFormat="1" ht="30" x14ac:dyDescent="0.25">
      <c r="A134" s="110"/>
      <c r="B134" s="717"/>
      <c r="C134" s="717" t="s">
        <v>5</v>
      </c>
      <c r="D134" s="717"/>
      <c r="E134" s="381" t="s">
        <v>523</v>
      </c>
      <c r="F134" s="706">
        <v>3.5</v>
      </c>
      <c r="G134" s="706">
        <v>103.5</v>
      </c>
      <c r="H134" s="706"/>
      <c r="I134" s="706">
        <v>888.3</v>
      </c>
      <c r="J134" s="706">
        <v>888.3</v>
      </c>
      <c r="K134" s="381" t="s">
        <v>730</v>
      </c>
      <c r="L134" s="226" t="s">
        <v>116</v>
      </c>
      <c r="M134" s="226">
        <v>528</v>
      </c>
      <c r="N134" s="451">
        <v>528</v>
      </c>
      <c r="O134" s="451">
        <v>528</v>
      </c>
      <c r="P134" s="451">
        <v>528</v>
      </c>
      <c r="Q134" s="451">
        <v>528</v>
      </c>
    </row>
    <row r="135" spans="1:17" s="12" customFormat="1" ht="45" x14ac:dyDescent="0.25">
      <c r="A135" s="110"/>
      <c r="B135" s="717"/>
      <c r="C135" s="717"/>
      <c r="D135" s="717"/>
      <c r="E135" s="381" t="s">
        <v>870</v>
      </c>
      <c r="F135" s="706">
        <v>790</v>
      </c>
      <c r="G135" s="706">
        <v>400.6</v>
      </c>
      <c r="H135" s="706">
        <v>0</v>
      </c>
      <c r="I135" s="706">
        <v>0</v>
      </c>
      <c r="J135" s="706">
        <v>0</v>
      </c>
      <c r="K135" s="381" t="s">
        <v>871</v>
      </c>
      <c r="L135" s="226" t="s">
        <v>116</v>
      </c>
      <c r="M135" s="226">
        <v>100</v>
      </c>
      <c r="N135" s="451">
        <v>100</v>
      </c>
      <c r="O135" s="451">
        <v>100</v>
      </c>
      <c r="P135" s="451">
        <v>100</v>
      </c>
      <c r="Q135" s="451">
        <v>100</v>
      </c>
    </row>
    <row r="136" spans="1:17" s="12" customFormat="1" ht="45" x14ac:dyDescent="0.25">
      <c r="A136" s="110"/>
      <c r="B136" s="717"/>
      <c r="C136" s="717"/>
      <c r="D136" s="717"/>
      <c r="E136" s="381" t="s">
        <v>1094</v>
      </c>
      <c r="F136" s="706"/>
      <c r="G136" s="706"/>
      <c r="H136" s="706">
        <v>0</v>
      </c>
      <c r="I136" s="706">
        <v>0</v>
      </c>
      <c r="J136" s="706">
        <v>0</v>
      </c>
      <c r="K136" s="381" t="s">
        <v>731</v>
      </c>
      <c r="L136" s="226" t="s">
        <v>116</v>
      </c>
      <c r="M136" s="226">
        <v>560</v>
      </c>
      <c r="N136" s="451">
        <v>560</v>
      </c>
      <c r="O136" s="451">
        <v>560</v>
      </c>
      <c r="P136" s="451">
        <v>560</v>
      </c>
      <c r="Q136" s="451">
        <v>560</v>
      </c>
    </row>
    <row r="137" spans="1:17" s="12" customFormat="1" ht="45" x14ac:dyDescent="0.25">
      <c r="A137" s="110"/>
      <c r="B137" s="717"/>
      <c r="C137" s="717" t="s">
        <v>7</v>
      </c>
      <c r="D137" s="717"/>
      <c r="E137" s="381" t="s">
        <v>872</v>
      </c>
      <c r="F137" s="706"/>
      <c r="G137" s="706"/>
      <c r="H137" s="706">
        <v>50</v>
      </c>
      <c r="I137" s="706">
        <v>50</v>
      </c>
      <c r="J137" s="706">
        <v>50</v>
      </c>
      <c r="K137" s="381" t="s">
        <v>873</v>
      </c>
      <c r="L137" s="226" t="s">
        <v>591</v>
      </c>
      <c r="M137" s="450" t="s">
        <v>535</v>
      </c>
      <c r="N137" s="450" t="s">
        <v>535</v>
      </c>
      <c r="O137" s="450" t="s">
        <v>535</v>
      </c>
      <c r="P137" s="450" t="s">
        <v>535</v>
      </c>
      <c r="Q137" s="450" t="s">
        <v>535</v>
      </c>
    </row>
    <row r="138" spans="1:17" s="12" customFormat="1" ht="58.5" x14ac:dyDescent="0.25">
      <c r="A138" s="110"/>
      <c r="B138" s="924" t="s">
        <v>508</v>
      </c>
      <c r="C138" s="924"/>
      <c r="D138" s="924"/>
      <c r="E138" s="650" t="s">
        <v>916</v>
      </c>
      <c r="F138" s="711">
        <f>F139+F140+F141+F142+F143</f>
        <v>53969.599999999999</v>
      </c>
      <c r="G138" s="711">
        <f>G139+G140+G141+G142+G143</f>
        <v>34111.799999999996</v>
      </c>
      <c r="H138" s="711">
        <f>H139+H140+H141+H142+H143</f>
        <v>0</v>
      </c>
      <c r="I138" s="732">
        <f>SUM(I139:I143)</f>
        <v>0</v>
      </c>
      <c r="J138" s="732">
        <f>SUM(J139:J143)</f>
        <v>0</v>
      </c>
      <c r="K138" s="644" t="s">
        <v>1096</v>
      </c>
      <c r="L138" s="704"/>
      <c r="M138" s="226"/>
      <c r="N138" s="226"/>
      <c r="O138" s="226"/>
      <c r="P138" s="226"/>
      <c r="Q138" s="226"/>
    </row>
    <row r="139" spans="1:17" s="12" customFormat="1" x14ac:dyDescent="0.25">
      <c r="A139" s="110"/>
      <c r="B139" s="717"/>
      <c r="C139" s="717" t="s">
        <v>5</v>
      </c>
      <c r="D139" s="717"/>
      <c r="E139" s="765" t="s">
        <v>1095</v>
      </c>
      <c r="F139" s="711">
        <v>24881.200000000001</v>
      </c>
      <c r="G139" s="711">
        <v>29890.6</v>
      </c>
      <c r="H139" s="706"/>
      <c r="I139" s="706"/>
      <c r="J139" s="706"/>
      <c r="K139" s="381"/>
      <c r="L139" s="226"/>
      <c r="M139" s="226"/>
      <c r="N139" s="226"/>
      <c r="O139" s="226"/>
      <c r="P139" s="226"/>
      <c r="Q139" s="226"/>
    </row>
    <row r="140" spans="1:17" s="12" customFormat="1" ht="30" x14ac:dyDescent="0.25">
      <c r="A140" s="110"/>
      <c r="B140" s="717"/>
      <c r="C140" s="717" t="s">
        <v>7</v>
      </c>
      <c r="D140" s="717"/>
      <c r="E140" s="765" t="s">
        <v>542</v>
      </c>
      <c r="F140" s="711">
        <v>24881.200000000001</v>
      </c>
      <c r="G140" s="711">
        <v>4041.7</v>
      </c>
      <c r="H140" s="706"/>
      <c r="I140" s="706"/>
      <c r="J140" s="706"/>
      <c r="K140" s="381"/>
      <c r="L140" s="226"/>
      <c r="M140" s="226"/>
      <c r="N140" s="226"/>
      <c r="O140" s="226"/>
      <c r="P140" s="226"/>
      <c r="Q140" s="226"/>
    </row>
    <row r="141" spans="1:17" s="12" customFormat="1" ht="30" x14ac:dyDescent="0.25">
      <c r="A141" s="110"/>
      <c r="B141" s="717"/>
      <c r="C141" s="717" t="s">
        <v>9</v>
      </c>
      <c r="D141" s="717"/>
      <c r="E141" s="381" t="s">
        <v>1097</v>
      </c>
      <c r="F141" s="711">
        <v>3927.7</v>
      </c>
      <c r="G141" s="711">
        <v>76.5</v>
      </c>
      <c r="H141" s="706"/>
      <c r="I141" s="706"/>
      <c r="J141" s="706"/>
      <c r="K141" s="381"/>
      <c r="L141" s="226"/>
      <c r="M141" s="226"/>
      <c r="N141" s="226"/>
      <c r="O141" s="451"/>
      <c r="P141" s="451"/>
      <c r="Q141" s="451"/>
    </row>
    <row r="142" spans="1:17" s="12" customFormat="1" ht="30" x14ac:dyDescent="0.25">
      <c r="A142" s="110"/>
      <c r="B142" s="717"/>
      <c r="C142" s="717" t="s">
        <v>11</v>
      </c>
      <c r="D142" s="717"/>
      <c r="E142" s="381" t="s">
        <v>874</v>
      </c>
      <c r="F142" s="706">
        <v>76.5</v>
      </c>
      <c r="G142" s="706">
        <v>53</v>
      </c>
      <c r="H142" s="706"/>
      <c r="I142" s="706"/>
      <c r="J142" s="706"/>
      <c r="K142" s="381"/>
      <c r="L142" s="226"/>
      <c r="M142" s="226"/>
      <c r="N142" s="226"/>
      <c r="O142" s="451"/>
      <c r="P142" s="451"/>
      <c r="Q142" s="451"/>
    </row>
    <row r="143" spans="1:17" s="12" customFormat="1" ht="30" x14ac:dyDescent="0.25">
      <c r="A143" s="110"/>
      <c r="B143" s="710"/>
      <c r="C143" s="710" t="s">
        <v>127</v>
      </c>
      <c r="D143" s="710"/>
      <c r="E143" s="537" t="s">
        <v>875</v>
      </c>
      <c r="F143" s="789">
        <f>53+150</f>
        <v>203</v>
      </c>
      <c r="G143" s="789">
        <v>50</v>
      </c>
      <c r="H143" s="789"/>
      <c r="I143" s="789"/>
      <c r="J143" s="789"/>
      <c r="K143" s="381"/>
      <c r="L143" s="226"/>
      <c r="M143" s="226"/>
      <c r="N143" s="226"/>
      <c r="O143" s="451"/>
      <c r="P143" s="451"/>
      <c r="Q143" s="451"/>
    </row>
    <row r="144" spans="1:17" x14ac:dyDescent="0.25">
      <c r="A144" s="2480" t="s">
        <v>85</v>
      </c>
      <c r="B144" s="2480"/>
      <c r="C144" s="2480"/>
      <c r="D144" s="2480"/>
      <c r="E144" s="2480"/>
      <c r="F144" s="268">
        <f>F119+F125+F133+F138</f>
        <v>70432.2</v>
      </c>
      <c r="G144" s="268">
        <f>G119+G125+G133+G138</f>
        <v>51419.899999999994</v>
      </c>
      <c r="H144" s="268">
        <f>H119+H125+H133+H138</f>
        <v>50542.599999999991</v>
      </c>
      <c r="I144" s="268">
        <f>I119+I125+I133+I138</f>
        <v>50542.599999999991</v>
      </c>
      <c r="J144" s="268">
        <f>J119+J125+J133+J138</f>
        <v>50542.599999999991</v>
      </c>
      <c r="K144" s="536"/>
      <c r="L144" s="363"/>
      <c r="M144" s="363"/>
      <c r="N144" s="363"/>
      <c r="O144" s="363"/>
      <c r="P144" s="363"/>
      <c r="Q144" s="363"/>
    </row>
    <row r="145" spans="1:17" x14ac:dyDescent="0.25">
      <c r="A145" s="2516" t="s">
        <v>1009</v>
      </c>
      <c r="B145" s="2516"/>
      <c r="C145" s="2516"/>
      <c r="D145" s="2516"/>
      <c r="E145" s="2516"/>
      <c r="F145" s="2516"/>
      <c r="G145" s="2516"/>
      <c r="H145" s="2516"/>
      <c r="I145" s="2516"/>
      <c r="J145" s="2516"/>
      <c r="K145" s="2516"/>
      <c r="L145" s="2516"/>
      <c r="M145" s="2516"/>
      <c r="N145" s="2516"/>
      <c r="O145" s="2516"/>
      <c r="P145" s="2516"/>
      <c r="Q145" s="2516"/>
    </row>
    <row r="146" spans="1:17" s="621" customFormat="1" ht="88.5" x14ac:dyDescent="0.25">
      <c r="A146" s="620"/>
      <c r="B146" s="512" t="s">
        <v>516</v>
      </c>
      <c r="C146" s="512"/>
      <c r="D146" s="512"/>
      <c r="E146" s="410" t="s">
        <v>1091</v>
      </c>
      <c r="F146" s="683">
        <f>SUM(F147:F150)</f>
        <v>9806.1</v>
      </c>
      <c r="G146" s="683">
        <f>SUM(G147:G150)</f>
        <v>22347.9</v>
      </c>
      <c r="H146" s="683">
        <f t="shared" ref="H146:J146" si="12">H147</f>
        <v>21748.1</v>
      </c>
      <c r="I146" s="683">
        <f t="shared" si="12"/>
        <v>21948.1</v>
      </c>
      <c r="J146" s="683">
        <f t="shared" si="12"/>
        <v>21498.1</v>
      </c>
      <c r="K146" s="684" t="s">
        <v>568</v>
      </c>
      <c r="L146" s="262" t="s">
        <v>35</v>
      </c>
      <c r="M146" s="262">
        <v>4.9000000000000004</v>
      </c>
      <c r="N146" s="262">
        <v>4.9000000000000004</v>
      </c>
      <c r="O146" s="262">
        <v>4.9000000000000004</v>
      </c>
      <c r="P146" s="262">
        <v>4.9000000000000004</v>
      </c>
      <c r="Q146" s="262">
        <v>4.9000000000000004</v>
      </c>
    </row>
    <row r="147" spans="1:17" s="621" customFormat="1" ht="45" x14ac:dyDescent="0.25">
      <c r="A147" s="620"/>
      <c r="B147" s="658"/>
      <c r="C147" s="658" t="s">
        <v>5</v>
      </c>
      <c r="D147" s="658"/>
      <c r="E147" s="659" t="s">
        <v>6</v>
      </c>
      <c r="F147" s="786">
        <v>2101.4</v>
      </c>
      <c r="G147" s="786">
        <v>22347.9</v>
      </c>
      <c r="H147" s="786">
        <v>21748.1</v>
      </c>
      <c r="I147" s="786">
        <v>21948.1</v>
      </c>
      <c r="J147" s="786">
        <v>21498.1</v>
      </c>
      <c r="K147" s="659" t="s">
        <v>569</v>
      </c>
      <c r="L147" s="660" t="s">
        <v>116</v>
      </c>
      <c r="M147" s="660">
        <v>0</v>
      </c>
      <c r="N147" s="660">
        <v>0</v>
      </c>
      <c r="O147" s="660">
        <v>0</v>
      </c>
      <c r="P147" s="660">
        <v>0</v>
      </c>
      <c r="Q147" s="660">
        <v>0</v>
      </c>
    </row>
    <row r="148" spans="1:17" s="621" customFormat="1" ht="30" x14ac:dyDescent="0.25">
      <c r="A148" s="620"/>
      <c r="B148" s="658"/>
      <c r="C148" s="658" t="s">
        <v>7</v>
      </c>
      <c r="D148" s="658"/>
      <c r="E148" s="659" t="s">
        <v>8</v>
      </c>
      <c r="F148" s="786">
        <v>2313.8000000000002</v>
      </c>
      <c r="G148" s="786"/>
      <c r="H148" s="786"/>
      <c r="I148" s="786"/>
      <c r="J148" s="786"/>
      <c r="K148" s="659" t="s">
        <v>570</v>
      </c>
      <c r="L148" s="660" t="s">
        <v>35</v>
      </c>
      <c r="M148" s="660">
        <v>100</v>
      </c>
      <c r="N148" s="660">
        <v>100</v>
      </c>
      <c r="O148" s="660"/>
      <c r="P148" s="660"/>
      <c r="Q148" s="660"/>
    </row>
    <row r="149" spans="1:17" s="621" customFormat="1" ht="30" x14ac:dyDescent="0.25">
      <c r="A149" s="620"/>
      <c r="B149" s="658"/>
      <c r="C149" s="658" t="s">
        <v>9</v>
      </c>
      <c r="D149" s="658"/>
      <c r="E149" s="659" t="s">
        <v>10</v>
      </c>
      <c r="F149" s="786">
        <v>1107.7</v>
      </c>
      <c r="G149" s="786"/>
      <c r="H149" s="786"/>
      <c r="I149" s="786"/>
      <c r="J149" s="786"/>
      <c r="K149" s="659" t="s">
        <v>571</v>
      </c>
      <c r="L149" s="660" t="s">
        <v>35</v>
      </c>
      <c r="M149" s="660">
        <v>0</v>
      </c>
      <c r="N149" s="660">
        <v>0</v>
      </c>
      <c r="O149" s="660"/>
      <c r="P149" s="660"/>
      <c r="Q149" s="660"/>
    </row>
    <row r="150" spans="1:17" s="621" customFormat="1" ht="30" x14ac:dyDescent="0.25">
      <c r="A150" s="620"/>
      <c r="B150" s="658"/>
      <c r="C150" s="658" t="s">
        <v>11</v>
      </c>
      <c r="D150" s="658"/>
      <c r="E150" s="659" t="s">
        <v>572</v>
      </c>
      <c r="F150" s="786">
        <v>4283.2</v>
      </c>
      <c r="G150" s="786"/>
      <c r="H150" s="786"/>
      <c r="I150" s="786"/>
      <c r="J150" s="786"/>
      <c r="K150" s="659" t="s">
        <v>573</v>
      </c>
      <c r="L150" s="660" t="s">
        <v>116</v>
      </c>
      <c r="M150" s="660"/>
      <c r="N150" s="660"/>
      <c r="O150" s="660"/>
      <c r="P150" s="660"/>
      <c r="Q150" s="660"/>
    </row>
    <row r="151" spans="1:17" s="621" customFormat="1" ht="72.75" x14ac:dyDescent="0.25">
      <c r="A151" s="620"/>
      <c r="B151" s="680" t="s">
        <v>467</v>
      </c>
      <c r="C151" s="680"/>
      <c r="D151" s="680"/>
      <c r="E151" s="682" t="s">
        <v>917</v>
      </c>
      <c r="F151" s="683">
        <f>SUM(F152:F154)</f>
        <v>14425.400000000001</v>
      </c>
      <c r="G151" s="683">
        <f>SUM(G152:G154)</f>
        <v>9765.9</v>
      </c>
      <c r="H151" s="683">
        <f>H152+H153+H154</f>
        <v>10365.700000000001</v>
      </c>
      <c r="I151" s="683">
        <f t="shared" ref="I151:J151" si="13">I152+I153+I154</f>
        <v>14094.4</v>
      </c>
      <c r="J151" s="683">
        <f t="shared" si="13"/>
        <v>14044.4</v>
      </c>
      <c r="K151" s="684" t="s">
        <v>574</v>
      </c>
      <c r="L151" s="660" t="s">
        <v>116</v>
      </c>
      <c r="M151" s="660">
        <v>2000</v>
      </c>
      <c r="N151" s="660">
        <v>2200</v>
      </c>
      <c r="O151" s="660">
        <v>2300</v>
      </c>
      <c r="P151" s="660">
        <v>2500</v>
      </c>
      <c r="Q151" s="660">
        <v>2600</v>
      </c>
    </row>
    <row r="152" spans="1:17" s="621" customFormat="1" ht="30" x14ac:dyDescent="0.25">
      <c r="A152" s="620"/>
      <c r="B152" s="681"/>
      <c r="C152" s="681" t="s">
        <v>5</v>
      </c>
      <c r="D152" s="681"/>
      <c r="E152" s="693" t="s">
        <v>575</v>
      </c>
      <c r="F152" s="786">
        <v>10703.2</v>
      </c>
      <c r="G152" s="786">
        <v>9111.9</v>
      </c>
      <c r="H152" s="786">
        <v>9711.7000000000007</v>
      </c>
      <c r="I152" s="786">
        <v>13440.4</v>
      </c>
      <c r="J152" s="786">
        <v>13390.4</v>
      </c>
      <c r="K152" s="762" t="s">
        <v>576</v>
      </c>
      <c r="L152" s="631" t="s">
        <v>40</v>
      </c>
      <c r="M152" s="631">
        <v>2000</v>
      </c>
      <c r="N152" s="631">
        <v>2200</v>
      </c>
      <c r="O152" s="631">
        <v>2300</v>
      </c>
      <c r="P152" s="631">
        <v>2500</v>
      </c>
      <c r="Q152" s="631">
        <v>2600</v>
      </c>
    </row>
    <row r="153" spans="1:17" s="621" customFormat="1" ht="30" x14ac:dyDescent="0.25">
      <c r="A153" s="620"/>
      <c r="B153" s="681"/>
      <c r="C153" s="681" t="s">
        <v>7</v>
      </c>
      <c r="D153" s="681"/>
      <c r="E153" s="693" t="s">
        <v>577</v>
      </c>
      <c r="F153" s="786">
        <v>3722.2</v>
      </c>
      <c r="G153" s="786">
        <v>334</v>
      </c>
      <c r="H153" s="786">
        <v>334</v>
      </c>
      <c r="I153" s="786">
        <v>334</v>
      </c>
      <c r="J153" s="786">
        <v>334</v>
      </c>
      <c r="K153" s="764"/>
      <c r="L153" s="632"/>
      <c r="M153" s="632"/>
      <c r="N153" s="632"/>
      <c r="O153" s="632"/>
      <c r="P153" s="632"/>
      <c r="Q153" s="632"/>
    </row>
    <row r="154" spans="1:17" s="621" customFormat="1" ht="75" x14ac:dyDescent="0.25">
      <c r="A154" s="620"/>
      <c r="B154" s="681"/>
      <c r="C154" s="681" t="s">
        <v>9</v>
      </c>
      <c r="D154" s="681"/>
      <c r="E154" s="693" t="s">
        <v>1098</v>
      </c>
      <c r="F154" s="786"/>
      <c r="G154" s="786">
        <v>320</v>
      </c>
      <c r="H154" s="786">
        <v>320</v>
      </c>
      <c r="I154" s="786">
        <v>320</v>
      </c>
      <c r="J154" s="786">
        <v>320</v>
      </c>
      <c r="K154" s="693" t="s">
        <v>578</v>
      </c>
      <c r="L154" s="448" t="s">
        <v>313</v>
      </c>
      <c r="M154" s="452">
        <v>20</v>
      </c>
      <c r="N154" s="448">
        <v>30</v>
      </c>
      <c r="O154" s="448">
        <v>37</v>
      </c>
      <c r="P154" s="448">
        <v>37</v>
      </c>
      <c r="Q154" s="448">
        <v>37</v>
      </c>
    </row>
    <row r="155" spans="1:17" s="621" customFormat="1" ht="58.5" x14ac:dyDescent="0.25">
      <c r="A155" s="620"/>
      <c r="B155" s="680" t="s">
        <v>500</v>
      </c>
      <c r="C155" s="681"/>
      <c r="D155" s="681"/>
      <c r="E155" s="633" t="s">
        <v>918</v>
      </c>
      <c r="F155" s="683">
        <f>F156+F157+F158</f>
        <v>3076.7999999999997</v>
      </c>
      <c r="G155" s="683">
        <f t="shared" ref="G155:J155" si="14">G156+G157+G158</f>
        <v>0</v>
      </c>
      <c r="H155" s="683">
        <f t="shared" si="14"/>
        <v>0</v>
      </c>
      <c r="I155" s="683">
        <f t="shared" si="14"/>
        <v>0</v>
      </c>
      <c r="J155" s="683">
        <f t="shared" si="14"/>
        <v>0</v>
      </c>
      <c r="K155" s="626" t="s">
        <v>579</v>
      </c>
      <c r="L155" s="455" t="s">
        <v>40</v>
      </c>
      <c r="M155" s="454">
        <v>0</v>
      </c>
      <c r="N155" s="455">
        <v>0</v>
      </c>
      <c r="O155" s="456">
        <v>0</v>
      </c>
      <c r="P155" s="455">
        <v>0</v>
      </c>
      <c r="Q155" s="455">
        <v>0</v>
      </c>
    </row>
    <row r="156" spans="1:17" s="621" customFormat="1" ht="30" x14ac:dyDescent="0.25">
      <c r="A156" s="620"/>
      <c r="B156" s="1805"/>
      <c r="C156" s="1805" t="s">
        <v>5</v>
      </c>
      <c r="D156" s="1805"/>
      <c r="E156" s="2475" t="s">
        <v>580</v>
      </c>
      <c r="F156" s="786">
        <v>474.7</v>
      </c>
      <c r="G156" s="786"/>
      <c r="H156" s="786"/>
      <c r="I156" s="786"/>
      <c r="J156" s="786"/>
      <c r="K156" s="433" t="s">
        <v>581</v>
      </c>
      <c r="L156" s="448" t="s">
        <v>582</v>
      </c>
      <c r="M156" s="454"/>
      <c r="N156" s="455"/>
      <c r="O156" s="456"/>
      <c r="P156" s="455"/>
      <c r="Q156" s="455"/>
    </row>
    <row r="157" spans="1:17" s="621" customFormat="1" x14ac:dyDescent="0.25">
      <c r="A157" s="620"/>
      <c r="B157" s="1806"/>
      <c r="C157" s="1806"/>
      <c r="D157" s="1806"/>
      <c r="E157" s="2476"/>
      <c r="F157" s="786">
        <v>2602.1</v>
      </c>
      <c r="G157" s="786"/>
      <c r="H157" s="786"/>
      <c r="I157" s="786"/>
      <c r="J157" s="786"/>
      <c r="K157" s="693" t="s">
        <v>583</v>
      </c>
      <c r="L157" s="448" t="s">
        <v>203</v>
      </c>
      <c r="M157" s="454"/>
      <c r="N157" s="455"/>
      <c r="O157" s="456"/>
      <c r="P157" s="455"/>
      <c r="Q157" s="455"/>
    </row>
    <row r="158" spans="1:17" s="621" customFormat="1" ht="30" x14ac:dyDescent="0.25">
      <c r="A158" s="620"/>
      <c r="B158" s="661"/>
      <c r="C158" s="661" t="s">
        <v>7</v>
      </c>
      <c r="D158" s="661"/>
      <c r="E158" s="514" t="s">
        <v>584</v>
      </c>
      <c r="F158" s="786"/>
      <c r="G158" s="786"/>
      <c r="H158" s="786"/>
      <c r="I158" s="786"/>
      <c r="J158" s="786"/>
      <c r="K158" s="693" t="s">
        <v>583</v>
      </c>
      <c r="L158" s="448" t="s">
        <v>203</v>
      </c>
      <c r="M158" s="454"/>
      <c r="N158" s="455"/>
      <c r="O158" s="456"/>
      <c r="P158" s="455"/>
      <c r="Q158" s="455"/>
    </row>
    <row r="159" spans="1:17" s="621" customFormat="1" ht="58.5" x14ac:dyDescent="0.25">
      <c r="A159" s="620"/>
      <c r="B159" s="680" t="s">
        <v>508</v>
      </c>
      <c r="C159" s="661"/>
      <c r="D159" s="661"/>
      <c r="E159" s="682" t="s">
        <v>919</v>
      </c>
      <c r="F159" s="683">
        <f>SUM(F160:F166)</f>
        <v>11564.199999999999</v>
      </c>
      <c r="G159" s="683">
        <f t="shared" ref="G159:J159" si="15">SUM(G160:G166)</f>
        <v>0</v>
      </c>
      <c r="H159" s="683">
        <f t="shared" si="15"/>
        <v>0</v>
      </c>
      <c r="I159" s="683">
        <f t="shared" si="15"/>
        <v>0</v>
      </c>
      <c r="J159" s="683">
        <f t="shared" si="15"/>
        <v>0</v>
      </c>
      <c r="K159" s="626" t="s">
        <v>585</v>
      </c>
      <c r="L159" s="660" t="s">
        <v>116</v>
      </c>
      <c r="M159" s="454"/>
      <c r="N159" s="455"/>
      <c r="O159" s="456"/>
      <c r="P159" s="455"/>
      <c r="Q159" s="455"/>
    </row>
    <row r="160" spans="1:17" s="621" customFormat="1" ht="30" x14ac:dyDescent="0.25">
      <c r="A160" s="620"/>
      <c r="B160" s="1805"/>
      <c r="C160" s="1805" t="s">
        <v>5</v>
      </c>
      <c r="D160" s="1805"/>
      <c r="E160" s="1845" t="s">
        <v>586</v>
      </c>
      <c r="F160" s="2431">
        <v>1155.5999999999999</v>
      </c>
      <c r="G160" s="2431"/>
      <c r="H160" s="2431"/>
      <c r="I160" s="2431"/>
      <c r="J160" s="2431"/>
      <c r="K160" s="433" t="s">
        <v>587</v>
      </c>
      <c r="L160" s="448" t="s">
        <v>35</v>
      </c>
      <c r="M160" s="448">
        <v>100</v>
      </c>
      <c r="N160" s="448"/>
      <c r="O160" s="456"/>
      <c r="P160" s="455"/>
      <c r="Q160" s="455"/>
    </row>
    <row r="161" spans="1:17" s="621" customFormat="1" ht="30" x14ac:dyDescent="0.25">
      <c r="A161" s="620"/>
      <c r="B161" s="1806"/>
      <c r="C161" s="1806"/>
      <c r="D161" s="1806"/>
      <c r="E161" s="1852"/>
      <c r="F161" s="1824"/>
      <c r="G161" s="1824"/>
      <c r="H161" s="1824"/>
      <c r="I161" s="1824"/>
      <c r="J161" s="1824"/>
      <c r="K161" s="433" t="s">
        <v>588</v>
      </c>
      <c r="L161" s="448" t="s">
        <v>35</v>
      </c>
      <c r="M161" s="448">
        <v>100</v>
      </c>
      <c r="N161" s="448"/>
      <c r="O161" s="456"/>
      <c r="P161" s="455"/>
      <c r="Q161" s="455"/>
    </row>
    <row r="162" spans="1:17" s="621" customFormat="1" x14ac:dyDescent="0.25">
      <c r="A162" s="620"/>
      <c r="B162" s="661"/>
      <c r="C162" s="661" t="s">
        <v>7</v>
      </c>
      <c r="D162" s="661"/>
      <c r="E162" s="659" t="s">
        <v>589</v>
      </c>
      <c r="F162" s="786">
        <v>578.4</v>
      </c>
      <c r="G162" s="786"/>
      <c r="H162" s="786"/>
      <c r="I162" s="786"/>
      <c r="J162" s="786"/>
      <c r="K162" s="433" t="s">
        <v>590</v>
      </c>
      <c r="L162" s="448" t="s">
        <v>591</v>
      </c>
      <c r="M162" s="448" t="s">
        <v>535</v>
      </c>
      <c r="N162" s="448"/>
      <c r="O162" s="456"/>
      <c r="P162" s="455"/>
      <c r="Q162" s="455"/>
    </row>
    <row r="163" spans="1:17" s="621" customFormat="1" ht="30" x14ac:dyDescent="0.25">
      <c r="A163" s="620"/>
      <c r="B163" s="661"/>
      <c r="C163" s="661" t="s">
        <v>9</v>
      </c>
      <c r="D163" s="661"/>
      <c r="E163" s="659" t="s">
        <v>592</v>
      </c>
      <c r="F163" s="786">
        <v>1133.9000000000001</v>
      </c>
      <c r="G163" s="786"/>
      <c r="H163" s="786"/>
      <c r="I163" s="786"/>
      <c r="J163" s="786"/>
      <c r="K163" s="433" t="s">
        <v>593</v>
      </c>
      <c r="L163" s="448" t="s">
        <v>35</v>
      </c>
      <c r="M163" s="448">
        <v>850</v>
      </c>
      <c r="N163" s="457"/>
      <c r="O163" s="456"/>
      <c r="P163" s="455"/>
      <c r="Q163" s="455"/>
    </row>
    <row r="164" spans="1:17" s="621" customFormat="1" x14ac:dyDescent="0.25">
      <c r="A164" s="620"/>
      <c r="B164" s="661"/>
      <c r="C164" s="661" t="s">
        <v>11</v>
      </c>
      <c r="D164" s="661"/>
      <c r="E164" s="659" t="s">
        <v>594</v>
      </c>
      <c r="F164" s="786">
        <v>7550</v>
      </c>
      <c r="G164" s="786"/>
      <c r="H164" s="786"/>
      <c r="I164" s="786"/>
      <c r="J164" s="786"/>
      <c r="K164" s="693" t="s">
        <v>595</v>
      </c>
      <c r="L164" s="448" t="s">
        <v>596</v>
      </c>
      <c r="M164" s="448"/>
      <c r="N164" s="457"/>
      <c r="O164" s="456"/>
      <c r="P164" s="455"/>
      <c r="Q164" s="455"/>
    </row>
    <row r="165" spans="1:17" s="621" customFormat="1" ht="60" x14ac:dyDescent="0.25">
      <c r="A165" s="620"/>
      <c r="B165" s="661"/>
      <c r="C165" s="661" t="s">
        <v>127</v>
      </c>
      <c r="D165" s="661"/>
      <c r="E165" s="659" t="s">
        <v>597</v>
      </c>
      <c r="F165" s="786">
        <v>579.29999999999995</v>
      </c>
      <c r="G165" s="786"/>
      <c r="H165" s="786"/>
      <c r="I165" s="786"/>
      <c r="J165" s="786"/>
      <c r="K165" s="433" t="s">
        <v>598</v>
      </c>
      <c r="L165" s="448" t="s">
        <v>40</v>
      </c>
      <c r="M165" s="448">
        <v>1</v>
      </c>
      <c r="N165" s="457"/>
      <c r="O165" s="456"/>
      <c r="P165" s="455"/>
      <c r="Q165" s="455"/>
    </row>
    <row r="166" spans="1:17" s="621" customFormat="1" ht="30" x14ac:dyDescent="0.25">
      <c r="A166" s="620"/>
      <c r="B166" s="661"/>
      <c r="C166" s="661" t="s">
        <v>129</v>
      </c>
      <c r="D166" s="661"/>
      <c r="E166" s="659" t="s">
        <v>599</v>
      </c>
      <c r="F166" s="786">
        <v>567</v>
      </c>
      <c r="G166" s="786"/>
      <c r="H166" s="786"/>
      <c r="I166" s="786"/>
      <c r="J166" s="786"/>
      <c r="K166" s="693" t="s">
        <v>600</v>
      </c>
      <c r="L166" s="448" t="s">
        <v>35</v>
      </c>
      <c r="M166" s="448">
        <v>50</v>
      </c>
      <c r="N166" s="457"/>
      <c r="O166" s="456"/>
      <c r="P166" s="455"/>
      <c r="Q166" s="455"/>
    </row>
    <row r="167" spans="1:17" s="621" customFormat="1" ht="58.5" x14ac:dyDescent="0.25">
      <c r="A167" s="620"/>
      <c r="B167" s="680" t="s">
        <v>601</v>
      </c>
      <c r="C167" s="661"/>
      <c r="D167" s="661"/>
      <c r="E167" s="684" t="s">
        <v>920</v>
      </c>
      <c r="F167" s="683">
        <f>F168</f>
        <v>720</v>
      </c>
      <c r="G167" s="683">
        <f t="shared" ref="G167:J167" si="16">G168</f>
        <v>0</v>
      </c>
      <c r="H167" s="683">
        <f t="shared" si="16"/>
        <v>0</v>
      </c>
      <c r="I167" s="683">
        <f t="shared" si="16"/>
        <v>0</v>
      </c>
      <c r="J167" s="683">
        <f t="shared" si="16"/>
        <v>0</v>
      </c>
      <c r="K167" s="684" t="s">
        <v>602</v>
      </c>
      <c r="L167" s="262" t="s">
        <v>203</v>
      </c>
      <c r="M167" s="262"/>
      <c r="N167" s="262"/>
      <c r="O167" s="456"/>
      <c r="P167" s="455"/>
      <c r="Q167" s="455"/>
    </row>
    <row r="168" spans="1:17" s="621" customFormat="1" ht="30" x14ac:dyDescent="0.25">
      <c r="A168" s="620"/>
      <c r="B168" s="658"/>
      <c r="C168" s="658" t="s">
        <v>5</v>
      </c>
      <c r="D168" s="658"/>
      <c r="E168" s="659" t="s">
        <v>603</v>
      </c>
      <c r="F168" s="753">
        <v>720</v>
      </c>
      <c r="G168" s="753"/>
      <c r="H168" s="753"/>
      <c r="I168" s="753"/>
      <c r="J168" s="753"/>
      <c r="K168" s="433" t="s">
        <v>602</v>
      </c>
      <c r="L168" s="448" t="s">
        <v>40</v>
      </c>
      <c r="M168" s="448">
        <v>291</v>
      </c>
      <c r="N168" s="448"/>
      <c r="O168" s="456"/>
      <c r="P168" s="455"/>
      <c r="Q168" s="455"/>
    </row>
    <row r="169" spans="1:17" ht="15.75" customHeight="1" x14ac:dyDescent="0.25">
      <c r="A169" s="2480" t="s">
        <v>85</v>
      </c>
      <c r="B169" s="2480"/>
      <c r="C169" s="2480"/>
      <c r="D169" s="2480"/>
      <c r="E169" s="2481"/>
      <c r="F169" s="268">
        <f>F146+F151+F155+F159+F167</f>
        <v>39592.5</v>
      </c>
      <c r="G169" s="268">
        <f>G146+G151+G155+G159+G167</f>
        <v>32113.800000000003</v>
      </c>
      <c r="H169" s="268">
        <f>H146+H151+H155+H159+H167</f>
        <v>32113.8</v>
      </c>
      <c r="I169" s="268">
        <f>I146+I151+I155+I159+I167</f>
        <v>36042.5</v>
      </c>
      <c r="J169" s="268">
        <f>J146+J151+J155+J159+J167</f>
        <v>35542.5</v>
      </c>
      <c r="K169" s="538"/>
      <c r="L169" s="696"/>
      <c r="M169" s="88"/>
      <c r="N169" s="88"/>
      <c r="O169" s="696"/>
      <c r="P169" s="696"/>
      <c r="Q169" s="696"/>
    </row>
    <row r="170" spans="1:17" x14ac:dyDescent="0.25">
      <c r="A170" s="2492" t="s">
        <v>723</v>
      </c>
      <c r="B170" s="2492"/>
      <c r="C170" s="2492"/>
      <c r="D170" s="2492"/>
      <c r="E170" s="2492"/>
      <c r="F170" s="2493"/>
      <c r="G170" s="2493"/>
      <c r="H170" s="2493"/>
      <c r="I170" s="2493"/>
      <c r="J170" s="2493"/>
      <c r="K170" s="2492"/>
      <c r="L170" s="2492"/>
      <c r="M170" s="2492"/>
      <c r="N170" s="2492"/>
      <c r="O170" s="2492"/>
      <c r="P170" s="2492"/>
      <c r="Q170" s="2492"/>
    </row>
    <row r="171" spans="1:17" s="12" customFormat="1" ht="88.5" x14ac:dyDescent="0.25">
      <c r="A171" s="110"/>
      <c r="B171" s="634" t="s">
        <v>516</v>
      </c>
      <c r="C171" s="634"/>
      <c r="D171" s="634"/>
      <c r="E171" s="713" t="s">
        <v>1092</v>
      </c>
      <c r="F171" s="711">
        <f>SUM(F172:F179)</f>
        <v>79281.5</v>
      </c>
      <c r="G171" s="711">
        <f t="shared" ref="G171:J171" si="17">SUM(G172:G179)</f>
        <v>145665.20000000001</v>
      </c>
      <c r="H171" s="711">
        <f t="shared" si="17"/>
        <v>108878.7</v>
      </c>
      <c r="I171" s="711">
        <f t="shared" si="17"/>
        <v>105901.5</v>
      </c>
      <c r="J171" s="711">
        <f t="shared" si="17"/>
        <v>105901.5</v>
      </c>
      <c r="K171" s="257" t="s">
        <v>673</v>
      </c>
      <c r="L171" s="210" t="s">
        <v>35</v>
      </c>
      <c r="M171" s="210">
        <v>100</v>
      </c>
      <c r="N171" s="210">
        <v>100</v>
      </c>
      <c r="O171" s="210">
        <v>100</v>
      </c>
      <c r="P171" s="210">
        <v>100</v>
      </c>
      <c r="Q171" s="210">
        <v>100</v>
      </c>
    </row>
    <row r="172" spans="1:17" s="12" customFormat="1" ht="15" customHeight="1" x14ac:dyDescent="0.25">
      <c r="A172" s="110"/>
      <c r="B172" s="705"/>
      <c r="C172" s="705" t="s">
        <v>5</v>
      </c>
      <c r="D172" s="705"/>
      <c r="E172" s="765" t="s">
        <v>6</v>
      </c>
      <c r="F172" s="706">
        <v>1658.7</v>
      </c>
      <c r="G172" s="706">
        <v>47979.4</v>
      </c>
      <c r="H172" s="706">
        <v>43282.1</v>
      </c>
      <c r="I172" s="706">
        <v>53784.3</v>
      </c>
      <c r="J172" s="706">
        <v>53784.3</v>
      </c>
      <c r="K172" s="635" t="s">
        <v>900</v>
      </c>
      <c r="L172" s="704" t="s">
        <v>35</v>
      </c>
      <c r="M172" s="704">
        <v>100</v>
      </c>
      <c r="N172" s="704">
        <v>100</v>
      </c>
      <c r="O172" s="704">
        <v>100</v>
      </c>
      <c r="P172" s="704">
        <v>100</v>
      </c>
      <c r="Q172" s="704">
        <v>100</v>
      </c>
    </row>
    <row r="173" spans="1:17" s="12" customFormat="1" x14ac:dyDescent="0.25">
      <c r="A173" s="110"/>
      <c r="B173" s="705"/>
      <c r="C173" s="705" t="s">
        <v>134</v>
      </c>
      <c r="D173" s="705"/>
      <c r="E173" s="765" t="s">
        <v>333</v>
      </c>
      <c r="F173" s="706">
        <v>50112.7</v>
      </c>
      <c r="G173" s="706">
        <v>97685.8</v>
      </c>
      <c r="H173" s="706">
        <v>65508.1</v>
      </c>
      <c r="I173" s="706">
        <v>52117.2</v>
      </c>
      <c r="J173" s="706">
        <v>52117.2</v>
      </c>
      <c r="K173" s="636"/>
      <c r="L173" s="704" t="s">
        <v>35</v>
      </c>
      <c r="M173" s="704">
        <v>100</v>
      </c>
      <c r="N173" s="704">
        <v>100</v>
      </c>
      <c r="O173" s="704">
        <v>100</v>
      </c>
      <c r="P173" s="704">
        <v>100</v>
      </c>
      <c r="Q173" s="704">
        <v>100</v>
      </c>
    </row>
    <row r="174" spans="1:17" s="12" customFormat="1" ht="45" x14ac:dyDescent="0.25">
      <c r="A174" s="110"/>
      <c r="B174" s="705"/>
      <c r="C174" s="705" t="s">
        <v>7</v>
      </c>
      <c r="D174" s="705"/>
      <c r="E174" s="765" t="s">
        <v>8</v>
      </c>
      <c r="F174" s="706">
        <v>6429.5</v>
      </c>
      <c r="G174" s="706"/>
      <c r="H174" s="706"/>
      <c r="I174" s="706"/>
      <c r="J174" s="706"/>
      <c r="K174" s="765" t="s">
        <v>674</v>
      </c>
      <c r="L174" s="704" t="s">
        <v>35</v>
      </c>
      <c r="M174" s="704">
        <v>100</v>
      </c>
      <c r="N174" s="704"/>
      <c r="O174" s="704"/>
      <c r="P174" s="704"/>
      <c r="Q174" s="704"/>
    </row>
    <row r="175" spans="1:17" s="12" customFormat="1" ht="30" x14ac:dyDescent="0.25">
      <c r="A175" s="110"/>
      <c r="B175" s="705"/>
      <c r="C175" s="705" t="s">
        <v>9</v>
      </c>
      <c r="D175" s="705"/>
      <c r="E175" s="765" t="s">
        <v>10</v>
      </c>
      <c r="F175" s="706">
        <v>3196.3</v>
      </c>
      <c r="G175" s="706"/>
      <c r="H175" s="706"/>
      <c r="I175" s="706"/>
      <c r="J175" s="706"/>
      <c r="K175" s="765" t="s">
        <v>519</v>
      </c>
      <c r="L175" s="704" t="s">
        <v>35</v>
      </c>
      <c r="M175" s="704">
        <v>0</v>
      </c>
      <c r="N175" s="447"/>
      <c r="O175" s="704"/>
      <c r="P175" s="704"/>
      <c r="Q175" s="704"/>
    </row>
    <row r="176" spans="1:17" s="12" customFormat="1" ht="30" x14ac:dyDescent="0.25">
      <c r="A176" s="110"/>
      <c r="B176" s="705"/>
      <c r="C176" s="705" t="s">
        <v>11</v>
      </c>
      <c r="D176" s="705"/>
      <c r="E176" s="765" t="s">
        <v>12</v>
      </c>
      <c r="F176" s="706">
        <v>3986.1</v>
      </c>
      <c r="G176" s="706"/>
      <c r="H176" s="706"/>
      <c r="I176" s="706"/>
      <c r="J176" s="706"/>
      <c r="K176" s="765" t="s">
        <v>191</v>
      </c>
      <c r="L176" s="704" t="s">
        <v>192</v>
      </c>
      <c r="M176" s="704">
        <v>20</v>
      </c>
      <c r="N176" s="704"/>
      <c r="O176" s="704"/>
      <c r="P176" s="704"/>
      <c r="Q176" s="704"/>
    </row>
    <row r="177" spans="1:17" s="12" customFormat="1" ht="30" x14ac:dyDescent="0.25">
      <c r="A177" s="110"/>
      <c r="B177" s="705"/>
      <c r="C177" s="705" t="s">
        <v>127</v>
      </c>
      <c r="D177" s="705"/>
      <c r="E177" s="765" t="s">
        <v>13</v>
      </c>
      <c r="F177" s="706">
        <v>3308.7</v>
      </c>
      <c r="G177" s="706"/>
      <c r="H177" s="706"/>
      <c r="I177" s="706"/>
      <c r="J177" s="706"/>
      <c r="K177" s="765" t="s">
        <v>573</v>
      </c>
      <c r="L177" s="704" t="s">
        <v>313</v>
      </c>
      <c r="M177" s="704">
        <v>3</v>
      </c>
      <c r="N177" s="704"/>
      <c r="O177" s="704"/>
      <c r="P177" s="704"/>
      <c r="Q177" s="704"/>
    </row>
    <row r="178" spans="1:17" s="12" customFormat="1" ht="45" x14ac:dyDescent="0.25">
      <c r="A178" s="110"/>
      <c r="B178" s="705"/>
      <c r="C178" s="705" t="s">
        <v>129</v>
      </c>
      <c r="D178" s="705"/>
      <c r="E178" s="765" t="s">
        <v>14</v>
      </c>
      <c r="F178" s="706">
        <v>6539.2</v>
      </c>
      <c r="G178" s="706"/>
      <c r="H178" s="706">
        <v>88.5</v>
      </c>
      <c r="I178" s="706"/>
      <c r="J178" s="706"/>
      <c r="K178" s="765" t="s">
        <v>41</v>
      </c>
      <c r="L178" s="704" t="s">
        <v>35</v>
      </c>
      <c r="M178" s="704" t="s">
        <v>675</v>
      </c>
      <c r="N178" s="704"/>
      <c r="O178" s="704"/>
      <c r="P178" s="704"/>
      <c r="Q178" s="704"/>
    </row>
    <row r="179" spans="1:17" s="12" customFormat="1" ht="60" x14ac:dyDescent="0.25">
      <c r="A179" s="110"/>
      <c r="B179" s="705"/>
      <c r="C179" s="705" t="s">
        <v>131</v>
      </c>
      <c r="D179" s="705"/>
      <c r="E179" s="765" t="s">
        <v>464</v>
      </c>
      <c r="F179" s="706">
        <v>4050.3</v>
      </c>
      <c r="G179" s="706"/>
      <c r="H179" s="706"/>
      <c r="I179" s="706"/>
      <c r="J179" s="706"/>
      <c r="K179" s="765" t="s">
        <v>676</v>
      </c>
      <c r="L179" s="704" t="s">
        <v>35</v>
      </c>
      <c r="M179" s="704">
        <v>30</v>
      </c>
      <c r="N179" s="704"/>
      <c r="O179" s="704"/>
      <c r="P179" s="704"/>
      <c r="Q179" s="704"/>
    </row>
    <row r="180" spans="1:17" s="12" customFormat="1" ht="72.75" x14ac:dyDescent="0.25">
      <c r="A180" s="110"/>
      <c r="B180" s="924" t="s">
        <v>467</v>
      </c>
      <c r="C180" s="924"/>
      <c r="D180" s="924"/>
      <c r="E180" s="713" t="s">
        <v>1099</v>
      </c>
      <c r="F180" s="711">
        <f>SUM(F181:F196)</f>
        <v>0</v>
      </c>
      <c r="G180" s="711">
        <f>SUM(G181:G196)</f>
        <v>1777964.1999999997</v>
      </c>
      <c r="H180" s="711">
        <f t="shared" ref="H180:J180" si="18">SUM(H181:H196)</f>
        <v>1850450.7</v>
      </c>
      <c r="I180" s="711">
        <f t="shared" si="18"/>
        <v>2823470.0000000005</v>
      </c>
      <c r="J180" s="711">
        <f t="shared" si="18"/>
        <v>2699253.6000000006</v>
      </c>
      <c r="K180" s="257" t="s">
        <v>1100</v>
      </c>
      <c r="L180" s="704" t="s">
        <v>677</v>
      </c>
      <c r="M180" s="507">
        <v>3.7</v>
      </c>
      <c r="N180" s="507">
        <v>3.9</v>
      </c>
      <c r="O180" s="507">
        <v>4.0999999999999996</v>
      </c>
      <c r="P180" s="507">
        <v>4.2</v>
      </c>
      <c r="Q180" s="507">
        <v>4.4000000000000004</v>
      </c>
    </row>
    <row r="181" spans="1:17" s="12" customFormat="1" ht="30" x14ac:dyDescent="0.25">
      <c r="A181" s="110"/>
      <c r="B181" s="717"/>
      <c r="C181" s="717" t="s">
        <v>5</v>
      </c>
      <c r="D181" s="717"/>
      <c r="E181" s="765" t="s">
        <v>678</v>
      </c>
      <c r="F181" s="706"/>
      <c r="G181" s="706">
        <v>5422.4</v>
      </c>
      <c r="H181" s="233">
        <v>4170.3999999999996</v>
      </c>
      <c r="I181" s="233">
        <v>4141.8</v>
      </c>
      <c r="J181" s="233">
        <v>4141.8</v>
      </c>
      <c r="K181" s="637" t="s">
        <v>574</v>
      </c>
      <c r="L181" s="704" t="s">
        <v>35</v>
      </c>
      <c r="M181" s="704">
        <v>100</v>
      </c>
      <c r="N181" s="704">
        <v>100</v>
      </c>
      <c r="O181" s="704">
        <v>100</v>
      </c>
      <c r="P181" s="704">
        <v>100</v>
      </c>
      <c r="Q181" s="704">
        <v>100</v>
      </c>
    </row>
    <row r="182" spans="1:17" s="12" customFormat="1" ht="30" x14ac:dyDescent="0.25">
      <c r="A182" s="110"/>
      <c r="B182" s="717"/>
      <c r="C182" s="717" t="s">
        <v>7</v>
      </c>
      <c r="D182" s="717"/>
      <c r="E182" s="458" t="s">
        <v>679</v>
      </c>
      <c r="F182" s="706"/>
      <c r="G182" s="706">
        <v>27000</v>
      </c>
      <c r="H182" s="233">
        <v>32000</v>
      </c>
      <c r="I182" s="233">
        <v>56082</v>
      </c>
      <c r="J182" s="233">
        <v>43041</v>
      </c>
      <c r="K182" s="2512" t="s">
        <v>1198</v>
      </c>
      <c r="L182" s="704" t="s">
        <v>313</v>
      </c>
      <c r="M182" s="218">
        <v>3</v>
      </c>
      <c r="N182" s="218">
        <v>18</v>
      </c>
      <c r="O182" s="218">
        <v>36</v>
      </c>
      <c r="P182" s="218">
        <v>54</v>
      </c>
      <c r="Q182" s="218">
        <v>72</v>
      </c>
    </row>
    <row r="183" spans="1:17" s="12" customFormat="1" ht="30" x14ac:dyDescent="0.25">
      <c r="A183" s="110"/>
      <c r="B183" s="717"/>
      <c r="C183" s="717" t="s">
        <v>9</v>
      </c>
      <c r="D183" s="717"/>
      <c r="E183" s="458" t="s">
        <v>680</v>
      </c>
      <c r="F183" s="706"/>
      <c r="G183" s="706">
        <v>6000</v>
      </c>
      <c r="H183" s="233">
        <v>0</v>
      </c>
      <c r="I183" s="233">
        <v>0</v>
      </c>
      <c r="J183" s="233">
        <v>0</v>
      </c>
      <c r="K183" s="2513"/>
      <c r="L183" s="704" t="s">
        <v>313</v>
      </c>
      <c r="M183" s="218">
        <v>0</v>
      </c>
      <c r="N183" s="218">
        <v>20</v>
      </c>
      <c r="O183" s="218">
        <v>60</v>
      </c>
      <c r="P183" s="218">
        <v>100</v>
      </c>
      <c r="Q183" s="218">
        <v>100</v>
      </c>
    </row>
    <row r="184" spans="1:17" s="12" customFormat="1" ht="30" customHeight="1" x14ac:dyDescent="0.25">
      <c r="A184" s="110"/>
      <c r="B184" s="717"/>
      <c r="C184" s="717" t="s">
        <v>11</v>
      </c>
      <c r="D184" s="717"/>
      <c r="E184" s="458" t="s">
        <v>681</v>
      </c>
      <c r="F184" s="706"/>
      <c r="G184" s="706">
        <v>8500</v>
      </c>
      <c r="H184" s="233">
        <v>23081</v>
      </c>
      <c r="I184" s="233">
        <v>12750</v>
      </c>
      <c r="J184" s="233">
        <v>0</v>
      </c>
      <c r="K184" s="2514"/>
      <c r="L184" s="704" t="s">
        <v>313</v>
      </c>
      <c r="M184" s="218">
        <v>0</v>
      </c>
      <c r="N184" s="218">
        <v>1</v>
      </c>
      <c r="O184" s="218">
        <v>18</v>
      </c>
      <c r="P184" s="218">
        <v>36</v>
      </c>
      <c r="Q184" s="218">
        <v>54</v>
      </c>
    </row>
    <row r="185" spans="1:17" s="12" customFormat="1" ht="30" x14ac:dyDescent="0.25">
      <c r="A185" s="110"/>
      <c r="B185" s="717"/>
      <c r="C185" s="717" t="s">
        <v>127</v>
      </c>
      <c r="D185" s="717"/>
      <c r="E185" s="458" t="s">
        <v>682</v>
      </c>
      <c r="F185" s="706"/>
      <c r="G185" s="706">
        <v>58265.4</v>
      </c>
      <c r="H185" s="233">
        <v>79404.100000000006</v>
      </c>
      <c r="I185" s="233">
        <v>46933.3</v>
      </c>
      <c r="J185" s="233">
        <v>46933.3</v>
      </c>
      <c r="K185" s="458" t="s">
        <v>683</v>
      </c>
      <c r="L185" s="704" t="s">
        <v>313</v>
      </c>
      <c r="M185" s="704">
        <v>34</v>
      </c>
      <c r="N185" s="704">
        <v>70</v>
      </c>
      <c r="O185" s="704">
        <v>72</v>
      </c>
      <c r="P185" s="704">
        <v>72</v>
      </c>
      <c r="Q185" s="704">
        <v>72</v>
      </c>
    </row>
    <row r="186" spans="1:17" s="12" customFormat="1" ht="73.5" x14ac:dyDescent="0.25">
      <c r="A186" s="110"/>
      <c r="B186" s="717"/>
      <c r="C186" s="717" t="s">
        <v>129</v>
      </c>
      <c r="D186" s="717"/>
      <c r="E186" s="458" t="s">
        <v>684</v>
      </c>
      <c r="F186" s="706"/>
      <c r="G186" s="706">
        <v>6121.7</v>
      </c>
      <c r="H186" s="233">
        <v>5360.6</v>
      </c>
      <c r="I186" s="233">
        <v>5740.5</v>
      </c>
      <c r="J186" s="233">
        <v>4740.5</v>
      </c>
      <c r="K186" s="458" t="s">
        <v>901</v>
      </c>
      <c r="L186" s="704" t="s">
        <v>35</v>
      </c>
      <c r="M186" s="450">
        <v>100</v>
      </c>
      <c r="N186" s="450">
        <v>100</v>
      </c>
      <c r="O186" s="450">
        <v>100</v>
      </c>
      <c r="P186" s="450">
        <v>100</v>
      </c>
      <c r="Q186" s="450">
        <v>100</v>
      </c>
    </row>
    <row r="187" spans="1:17" s="12" customFormat="1" ht="45" x14ac:dyDescent="0.25">
      <c r="A187" s="110"/>
      <c r="B187" s="717"/>
      <c r="C187" s="717" t="s">
        <v>131</v>
      </c>
      <c r="D187" s="717"/>
      <c r="E187" s="458" t="s">
        <v>685</v>
      </c>
      <c r="F187" s="706"/>
      <c r="G187" s="706">
        <v>144779.6</v>
      </c>
      <c r="H187" s="233">
        <v>35000</v>
      </c>
      <c r="I187" s="233">
        <v>0</v>
      </c>
      <c r="J187" s="233">
        <v>0</v>
      </c>
      <c r="K187" s="458" t="s">
        <v>1101</v>
      </c>
      <c r="L187" s="704" t="s">
        <v>313</v>
      </c>
      <c r="M187" s="450">
        <v>77</v>
      </c>
      <c r="N187" s="450">
        <v>134</v>
      </c>
      <c r="O187" s="450">
        <v>181</v>
      </c>
      <c r="P187" s="450">
        <v>181</v>
      </c>
      <c r="Q187" s="450">
        <v>181</v>
      </c>
    </row>
    <row r="188" spans="1:17" s="12" customFormat="1" ht="104.25" x14ac:dyDescent="0.25">
      <c r="A188" s="110"/>
      <c r="B188" s="717"/>
      <c r="C188" s="717" t="s">
        <v>134</v>
      </c>
      <c r="D188" s="717"/>
      <c r="E188" s="458" t="s">
        <v>686</v>
      </c>
      <c r="F188" s="706"/>
      <c r="G188" s="706">
        <v>613298.69999999995</v>
      </c>
      <c r="H188" s="233">
        <v>1030648.3</v>
      </c>
      <c r="I188" s="233">
        <v>1862989.6</v>
      </c>
      <c r="J188" s="233">
        <v>1870978.7</v>
      </c>
      <c r="K188" s="458" t="s">
        <v>1102</v>
      </c>
      <c r="L188" s="704" t="s">
        <v>313</v>
      </c>
      <c r="M188" s="704">
        <v>30</v>
      </c>
      <c r="N188" s="704">
        <v>38</v>
      </c>
      <c r="O188" s="704">
        <v>46</v>
      </c>
      <c r="P188" s="704">
        <v>54</v>
      </c>
      <c r="Q188" s="704">
        <v>62</v>
      </c>
    </row>
    <row r="189" spans="1:17" s="12" customFormat="1" ht="30" x14ac:dyDescent="0.25">
      <c r="A189" s="110"/>
      <c r="B189" s="717"/>
      <c r="C189" s="717" t="s">
        <v>137</v>
      </c>
      <c r="D189" s="717"/>
      <c r="E189" s="458" t="s">
        <v>687</v>
      </c>
      <c r="F189" s="706"/>
      <c r="G189" s="706">
        <v>4773.2</v>
      </c>
      <c r="H189" s="233">
        <v>1250</v>
      </c>
      <c r="I189" s="233">
        <v>1250</v>
      </c>
      <c r="J189" s="233">
        <v>1250</v>
      </c>
      <c r="K189" s="458" t="s">
        <v>574</v>
      </c>
      <c r="L189" s="704" t="s">
        <v>313</v>
      </c>
      <c r="M189" s="705" t="s">
        <v>688</v>
      </c>
      <c r="N189" s="705" t="s">
        <v>689</v>
      </c>
      <c r="O189" s="705" t="s">
        <v>690</v>
      </c>
      <c r="P189" s="705" t="s">
        <v>690</v>
      </c>
      <c r="Q189" s="705" t="s">
        <v>690</v>
      </c>
    </row>
    <row r="190" spans="1:17" s="12" customFormat="1" ht="30" x14ac:dyDescent="0.25">
      <c r="A190" s="110"/>
      <c r="B190" s="717"/>
      <c r="C190" s="717" t="s">
        <v>405</v>
      </c>
      <c r="D190" s="717"/>
      <c r="E190" s="458" t="s">
        <v>691</v>
      </c>
      <c r="F190" s="706"/>
      <c r="G190" s="706">
        <v>143002.29999999999</v>
      </c>
      <c r="H190" s="233">
        <v>67410.8</v>
      </c>
      <c r="I190" s="233">
        <v>221749.9</v>
      </c>
      <c r="J190" s="233">
        <v>137149.9</v>
      </c>
      <c r="K190" s="765" t="s">
        <v>692</v>
      </c>
      <c r="L190" s="704" t="s">
        <v>35</v>
      </c>
      <c r="M190" s="450">
        <v>0</v>
      </c>
      <c r="N190" s="450">
        <v>10</v>
      </c>
      <c r="O190" s="450">
        <v>30</v>
      </c>
      <c r="P190" s="450">
        <v>80</v>
      </c>
      <c r="Q190" s="450">
        <v>100</v>
      </c>
    </row>
    <row r="191" spans="1:17" s="12" customFormat="1" ht="59.25" x14ac:dyDescent="0.25">
      <c r="A191" s="110"/>
      <c r="B191" s="717"/>
      <c r="C191" s="717" t="s">
        <v>407</v>
      </c>
      <c r="D191" s="717"/>
      <c r="E191" s="458" t="s">
        <v>693</v>
      </c>
      <c r="F191" s="706"/>
      <c r="G191" s="706">
        <v>73207.7</v>
      </c>
      <c r="H191" s="233">
        <v>102753.4</v>
      </c>
      <c r="I191" s="233">
        <v>260747.2</v>
      </c>
      <c r="J191" s="233">
        <v>260747.2</v>
      </c>
      <c r="K191" s="458" t="s">
        <v>1199</v>
      </c>
      <c r="L191" s="704" t="s">
        <v>35</v>
      </c>
      <c r="M191" s="450">
        <v>42.4</v>
      </c>
      <c r="N191" s="450">
        <v>43</v>
      </c>
      <c r="O191" s="450">
        <v>44</v>
      </c>
      <c r="P191" s="450">
        <v>45</v>
      </c>
      <c r="Q191" s="450">
        <v>46</v>
      </c>
    </row>
    <row r="192" spans="1:17" s="12" customFormat="1" ht="45" x14ac:dyDescent="0.25">
      <c r="A192" s="110"/>
      <c r="B192" s="717"/>
      <c r="C192" s="717" t="s">
        <v>409</v>
      </c>
      <c r="D192" s="717"/>
      <c r="E192" s="458" t="s">
        <v>694</v>
      </c>
      <c r="F192" s="706"/>
      <c r="G192" s="706">
        <v>337401.9</v>
      </c>
      <c r="H192" s="233">
        <v>423449.9</v>
      </c>
      <c r="I192" s="233">
        <v>26387.599999999999</v>
      </c>
      <c r="J192" s="233">
        <v>26387.599999999999</v>
      </c>
      <c r="K192" s="458" t="s">
        <v>695</v>
      </c>
      <c r="L192" s="704" t="s">
        <v>35</v>
      </c>
      <c r="M192" s="704">
        <v>19.100000000000001</v>
      </c>
      <c r="N192" s="704">
        <v>15</v>
      </c>
      <c r="O192" s="704">
        <v>11</v>
      </c>
      <c r="P192" s="704">
        <v>9</v>
      </c>
      <c r="Q192" s="704">
        <v>2</v>
      </c>
    </row>
    <row r="193" spans="1:17" s="12" customFormat="1" ht="30" x14ac:dyDescent="0.25">
      <c r="A193" s="110"/>
      <c r="B193" s="717"/>
      <c r="C193" s="717" t="s">
        <v>411</v>
      </c>
      <c r="D193" s="717"/>
      <c r="E193" s="458" t="s">
        <v>696</v>
      </c>
      <c r="F193" s="706"/>
      <c r="G193" s="706">
        <v>130364.9</v>
      </c>
      <c r="H193" s="233">
        <v>0</v>
      </c>
      <c r="I193" s="233">
        <v>0</v>
      </c>
      <c r="J193" s="233">
        <v>0</v>
      </c>
      <c r="K193" s="638" t="s">
        <v>697</v>
      </c>
      <c r="L193" s="704" t="s">
        <v>35</v>
      </c>
      <c r="M193" s="704">
        <v>60</v>
      </c>
      <c r="N193" s="704">
        <v>96</v>
      </c>
      <c r="O193" s="704">
        <v>100</v>
      </c>
      <c r="P193" s="704">
        <v>100</v>
      </c>
      <c r="Q193" s="704">
        <v>100</v>
      </c>
    </row>
    <row r="194" spans="1:17" s="12" customFormat="1" ht="45" x14ac:dyDescent="0.25">
      <c r="A194" s="110"/>
      <c r="B194" s="717"/>
      <c r="C194" s="717" t="s">
        <v>413</v>
      </c>
      <c r="D194" s="717"/>
      <c r="E194" s="765" t="s">
        <v>698</v>
      </c>
      <c r="F194" s="706"/>
      <c r="G194" s="706">
        <v>25250</v>
      </c>
      <c r="H194" s="233">
        <v>0</v>
      </c>
      <c r="I194" s="233">
        <v>0</v>
      </c>
      <c r="J194" s="233">
        <v>0</v>
      </c>
      <c r="K194" s="639" t="s">
        <v>699</v>
      </c>
      <c r="L194" s="704" t="s">
        <v>35</v>
      </c>
      <c r="M194" s="704">
        <v>0</v>
      </c>
      <c r="N194" s="704">
        <v>100</v>
      </c>
      <c r="O194" s="704">
        <v>100</v>
      </c>
      <c r="P194" s="704">
        <v>100</v>
      </c>
      <c r="Q194" s="704">
        <v>100</v>
      </c>
    </row>
    <row r="195" spans="1:17" s="12" customFormat="1" ht="60" x14ac:dyDescent="0.25">
      <c r="A195" s="110"/>
      <c r="B195" s="717"/>
      <c r="C195" s="717" t="s">
        <v>273</v>
      </c>
      <c r="D195" s="717"/>
      <c r="E195" s="765" t="s">
        <v>700</v>
      </c>
      <c r="F195" s="706"/>
      <c r="G195" s="706">
        <v>54850</v>
      </c>
      <c r="H195" s="233">
        <v>30000</v>
      </c>
      <c r="I195" s="233">
        <v>57269</v>
      </c>
      <c r="J195" s="233">
        <v>0</v>
      </c>
      <c r="K195" s="458" t="s">
        <v>1104</v>
      </c>
      <c r="L195" s="704" t="s">
        <v>35</v>
      </c>
      <c r="M195" s="450">
        <v>0</v>
      </c>
      <c r="N195" s="450">
        <v>10</v>
      </c>
      <c r="O195" s="450">
        <v>30</v>
      </c>
      <c r="P195" s="450">
        <v>80</v>
      </c>
      <c r="Q195" s="450">
        <v>100</v>
      </c>
    </row>
    <row r="196" spans="1:17" s="12" customFormat="1" ht="45" x14ac:dyDescent="0.25">
      <c r="A196" s="110"/>
      <c r="B196" s="717"/>
      <c r="C196" s="717" t="s">
        <v>337</v>
      </c>
      <c r="D196" s="717"/>
      <c r="E196" s="765" t="s">
        <v>701</v>
      </c>
      <c r="F196" s="706"/>
      <c r="G196" s="706">
        <v>139726.39999999999</v>
      </c>
      <c r="H196" s="233">
        <v>15922.2</v>
      </c>
      <c r="I196" s="233">
        <v>267429.09999999998</v>
      </c>
      <c r="J196" s="233">
        <v>303883.59999999998</v>
      </c>
      <c r="K196" s="640" t="s">
        <v>1103</v>
      </c>
      <c r="L196" s="704" t="s">
        <v>313</v>
      </c>
      <c r="M196" s="226">
        <v>0</v>
      </c>
      <c r="N196" s="226">
        <v>0</v>
      </c>
      <c r="O196" s="226">
        <v>2</v>
      </c>
      <c r="P196" s="226">
        <v>5</v>
      </c>
      <c r="Q196" s="226">
        <v>8</v>
      </c>
    </row>
    <row r="197" spans="1:17" s="12" customFormat="1" ht="79.5" customHeight="1" x14ac:dyDescent="0.25">
      <c r="A197" s="110"/>
      <c r="B197" s="924" t="s">
        <v>467</v>
      </c>
      <c r="C197" s="924"/>
      <c r="D197" s="924"/>
      <c r="E197" s="257" t="s">
        <v>921</v>
      </c>
      <c r="F197" s="711">
        <f>SUM(F198:F202)</f>
        <v>195384</v>
      </c>
      <c r="G197" s="711">
        <f t="shared" ref="G197:J197" si="19">SUM(G198:G202)</f>
        <v>0</v>
      </c>
      <c r="H197" s="711">
        <f t="shared" si="19"/>
        <v>0</v>
      </c>
      <c r="I197" s="711">
        <f t="shared" si="19"/>
        <v>0</v>
      </c>
      <c r="J197" s="711">
        <f t="shared" si="19"/>
        <v>0</v>
      </c>
      <c r="K197" s="257" t="s">
        <v>1105</v>
      </c>
      <c r="L197" s="704" t="s">
        <v>35</v>
      </c>
      <c r="M197" s="704">
        <v>0</v>
      </c>
      <c r="N197" s="704"/>
      <c r="O197" s="641"/>
      <c r="P197" s="642"/>
      <c r="Q197" s="642"/>
    </row>
    <row r="198" spans="1:17" s="12" customFormat="1" ht="30" x14ac:dyDescent="0.25">
      <c r="A198" s="110"/>
      <c r="B198" s="717"/>
      <c r="C198" s="717" t="s">
        <v>5</v>
      </c>
      <c r="D198" s="717"/>
      <c r="E198" s="765" t="s">
        <v>678</v>
      </c>
      <c r="F198" s="706">
        <v>824.9</v>
      </c>
      <c r="G198" s="706"/>
      <c r="H198" s="233"/>
      <c r="I198" s="233"/>
      <c r="J198" s="233"/>
      <c r="K198" s="765" t="s">
        <v>702</v>
      </c>
      <c r="L198" s="704" t="s">
        <v>35</v>
      </c>
      <c r="M198" s="704">
        <v>100</v>
      </c>
      <c r="N198" s="704"/>
      <c r="O198" s="643"/>
      <c r="P198" s="453"/>
      <c r="Q198" s="453"/>
    </row>
    <row r="199" spans="1:17" s="12" customFormat="1" x14ac:dyDescent="0.25">
      <c r="A199" s="110"/>
      <c r="B199" s="717"/>
      <c r="C199" s="717" t="s">
        <v>7</v>
      </c>
      <c r="D199" s="717"/>
      <c r="E199" s="458" t="s">
        <v>703</v>
      </c>
      <c r="F199" s="706">
        <v>0</v>
      </c>
      <c r="G199" s="706"/>
      <c r="H199" s="233"/>
      <c r="I199" s="233"/>
      <c r="J199" s="233"/>
      <c r="K199" s="1925" t="s">
        <v>704</v>
      </c>
      <c r="L199" s="2685" t="s">
        <v>313</v>
      </c>
      <c r="M199" s="2690">
        <v>20</v>
      </c>
      <c r="N199" s="2690"/>
      <c r="O199" s="643"/>
      <c r="P199" s="453"/>
      <c r="Q199" s="453"/>
    </row>
    <row r="200" spans="1:17" s="12" customFormat="1" x14ac:dyDescent="0.25">
      <c r="A200" s="110"/>
      <c r="B200" s="717"/>
      <c r="C200" s="717" t="s">
        <v>9</v>
      </c>
      <c r="D200" s="717"/>
      <c r="E200" s="458" t="s">
        <v>705</v>
      </c>
      <c r="F200" s="706">
        <v>1730</v>
      </c>
      <c r="G200" s="706"/>
      <c r="H200" s="233"/>
      <c r="I200" s="233"/>
      <c r="J200" s="233"/>
      <c r="K200" s="1926"/>
      <c r="L200" s="2687"/>
      <c r="M200" s="2691"/>
      <c r="N200" s="2691"/>
      <c r="O200" s="643"/>
      <c r="P200" s="453"/>
      <c r="Q200" s="453"/>
    </row>
    <row r="201" spans="1:17" s="12" customFormat="1" x14ac:dyDescent="0.25">
      <c r="A201" s="110"/>
      <c r="B201" s="717"/>
      <c r="C201" s="717" t="s">
        <v>11</v>
      </c>
      <c r="D201" s="717"/>
      <c r="E201" s="458" t="s">
        <v>706</v>
      </c>
      <c r="F201" s="706">
        <v>158207.4</v>
      </c>
      <c r="G201" s="706"/>
      <c r="H201" s="233"/>
      <c r="I201" s="233"/>
      <c r="J201" s="233"/>
      <c r="K201" s="2486"/>
      <c r="L201" s="2686"/>
      <c r="M201" s="2692"/>
      <c r="N201" s="2692"/>
      <c r="O201" s="643"/>
      <c r="P201" s="453"/>
      <c r="Q201" s="453"/>
    </row>
    <row r="202" spans="1:17" s="12" customFormat="1" ht="45" x14ac:dyDescent="0.25">
      <c r="A202" s="110"/>
      <c r="B202" s="717"/>
      <c r="C202" s="717" t="s">
        <v>127</v>
      </c>
      <c r="D202" s="717"/>
      <c r="E202" s="458" t="s">
        <v>682</v>
      </c>
      <c r="F202" s="706">
        <v>34621.699999999997</v>
      </c>
      <c r="G202" s="706"/>
      <c r="H202" s="233"/>
      <c r="I202" s="233"/>
      <c r="J202" s="233"/>
      <c r="K202" s="458" t="s">
        <v>1106</v>
      </c>
      <c r="L202" s="704" t="s">
        <v>313</v>
      </c>
      <c r="M202" s="704">
        <v>0</v>
      </c>
      <c r="N202" s="704"/>
      <c r="O202" s="643"/>
      <c r="P202" s="453"/>
      <c r="Q202" s="453"/>
    </row>
    <row r="203" spans="1:17" s="12" customFormat="1" ht="58.5" x14ac:dyDescent="0.25">
      <c r="A203" s="110"/>
      <c r="B203" s="924" t="s">
        <v>500</v>
      </c>
      <c r="C203" s="924"/>
      <c r="D203" s="924"/>
      <c r="E203" s="257" t="s">
        <v>922</v>
      </c>
      <c r="F203" s="711">
        <f>SUM(F204:F206)</f>
        <v>108752.59999999999</v>
      </c>
      <c r="G203" s="711">
        <f t="shared" ref="G203:J203" si="20">SUM(G204:G206)</f>
        <v>0</v>
      </c>
      <c r="H203" s="711">
        <f t="shared" si="20"/>
        <v>0</v>
      </c>
      <c r="I203" s="711">
        <f t="shared" si="20"/>
        <v>0</v>
      </c>
      <c r="J203" s="711">
        <f t="shared" si="20"/>
        <v>0</v>
      </c>
      <c r="K203" s="644" t="s">
        <v>707</v>
      </c>
      <c r="L203" s="210" t="s">
        <v>313</v>
      </c>
      <c r="M203" s="704">
        <v>0</v>
      </c>
      <c r="N203" s="704"/>
      <c r="O203" s="641"/>
      <c r="P203" s="642"/>
      <c r="Q203" s="642"/>
    </row>
    <row r="204" spans="1:17" s="12" customFormat="1" ht="45" x14ac:dyDescent="0.25">
      <c r="A204" s="110"/>
      <c r="B204" s="717"/>
      <c r="C204" s="717" t="s">
        <v>5</v>
      </c>
      <c r="D204" s="717"/>
      <c r="E204" s="458" t="s">
        <v>708</v>
      </c>
      <c r="F204" s="706">
        <v>4033.4</v>
      </c>
      <c r="G204" s="706"/>
      <c r="H204" s="233"/>
      <c r="I204" s="233"/>
      <c r="J204" s="233"/>
      <c r="K204" s="458" t="s">
        <v>709</v>
      </c>
      <c r="L204" s="704" t="s">
        <v>313</v>
      </c>
      <c r="M204" s="226">
        <v>20</v>
      </c>
      <c r="N204" s="226"/>
      <c r="O204" s="643"/>
      <c r="P204" s="453"/>
      <c r="Q204" s="453"/>
    </row>
    <row r="205" spans="1:17" s="12" customFormat="1" ht="30" x14ac:dyDescent="0.25">
      <c r="A205" s="110"/>
      <c r="B205" s="717"/>
      <c r="C205" s="717" t="s">
        <v>7</v>
      </c>
      <c r="D205" s="717"/>
      <c r="E205" s="458" t="s">
        <v>710</v>
      </c>
      <c r="F205" s="706">
        <v>104719.2</v>
      </c>
      <c r="G205" s="706"/>
      <c r="H205" s="233"/>
      <c r="I205" s="233"/>
      <c r="J205" s="233"/>
      <c r="K205" s="458" t="s">
        <v>711</v>
      </c>
      <c r="L205" s="704" t="s">
        <v>313</v>
      </c>
      <c r="M205" s="226">
        <v>75</v>
      </c>
      <c r="N205" s="226"/>
      <c r="O205" s="643"/>
      <c r="P205" s="453"/>
      <c r="Q205" s="453"/>
    </row>
    <row r="206" spans="1:17" s="12" customFormat="1" ht="60" x14ac:dyDescent="0.25">
      <c r="A206" s="110"/>
      <c r="B206" s="717"/>
      <c r="C206" s="717" t="s">
        <v>9</v>
      </c>
      <c r="D206" s="717"/>
      <c r="E206" s="458" t="s">
        <v>712</v>
      </c>
      <c r="F206" s="706">
        <v>0</v>
      </c>
      <c r="G206" s="706">
        <v>0</v>
      </c>
      <c r="H206" s="233"/>
      <c r="I206" s="233"/>
      <c r="J206" s="233"/>
      <c r="K206" s="458" t="s">
        <v>713</v>
      </c>
      <c r="L206" s="704" t="s">
        <v>35</v>
      </c>
      <c r="M206" s="226">
        <v>100</v>
      </c>
      <c r="N206" s="226"/>
      <c r="O206" s="643"/>
      <c r="P206" s="453"/>
      <c r="Q206" s="453"/>
    </row>
    <row r="207" spans="1:17" s="12" customFormat="1" ht="44.25" x14ac:dyDescent="0.25">
      <c r="A207" s="110"/>
      <c r="B207" s="924" t="s">
        <v>508</v>
      </c>
      <c r="C207" s="924"/>
      <c r="D207" s="924"/>
      <c r="E207" s="644" t="s">
        <v>923</v>
      </c>
      <c r="F207" s="711">
        <f>SUM(F208:F215)</f>
        <v>912982.5</v>
      </c>
      <c r="G207" s="711">
        <f t="shared" ref="G207:J207" si="21">SUM(G208:G215)</f>
        <v>0</v>
      </c>
      <c r="H207" s="711">
        <f t="shared" si="21"/>
        <v>0</v>
      </c>
      <c r="I207" s="711">
        <f t="shared" si="21"/>
        <v>0</v>
      </c>
      <c r="J207" s="711">
        <f t="shared" si="21"/>
        <v>0</v>
      </c>
      <c r="K207" s="644" t="s">
        <v>1107</v>
      </c>
      <c r="L207" s="704" t="s">
        <v>35</v>
      </c>
      <c r="M207" s="226">
        <v>100</v>
      </c>
      <c r="N207" s="226"/>
      <c r="O207" s="641"/>
      <c r="P207" s="642"/>
      <c r="Q207" s="642"/>
    </row>
    <row r="208" spans="1:17" s="12" customFormat="1" ht="45" x14ac:dyDescent="0.25">
      <c r="A208" s="110"/>
      <c r="B208" s="717"/>
      <c r="C208" s="717" t="s">
        <v>5</v>
      </c>
      <c r="D208" s="717"/>
      <c r="E208" s="458" t="s">
        <v>686</v>
      </c>
      <c r="F208" s="706">
        <v>451301.4</v>
      </c>
      <c r="G208" s="706"/>
      <c r="H208" s="233"/>
      <c r="I208" s="233"/>
      <c r="J208" s="233"/>
      <c r="K208" s="458" t="s">
        <v>1108</v>
      </c>
      <c r="L208" s="704" t="s">
        <v>35</v>
      </c>
      <c r="M208" s="704">
        <v>15</v>
      </c>
      <c r="N208" s="704"/>
      <c r="O208" s="643"/>
      <c r="P208" s="453"/>
      <c r="Q208" s="453"/>
    </row>
    <row r="209" spans="1:20" s="12" customFormat="1" ht="45" x14ac:dyDescent="0.25">
      <c r="A209" s="110"/>
      <c r="B209" s="717"/>
      <c r="C209" s="717" t="s">
        <v>7</v>
      </c>
      <c r="D209" s="717"/>
      <c r="E209" s="458" t="s">
        <v>687</v>
      </c>
      <c r="F209" s="706">
        <v>4913.1000000000004</v>
      </c>
      <c r="G209" s="706"/>
      <c r="H209" s="233"/>
      <c r="I209" s="233"/>
      <c r="J209" s="233"/>
      <c r="K209" s="458" t="s">
        <v>714</v>
      </c>
      <c r="L209" s="704"/>
      <c r="M209" s="705" t="s">
        <v>715</v>
      </c>
      <c r="N209" s="705"/>
      <c r="O209" s="643"/>
      <c r="P209" s="453"/>
      <c r="Q209" s="453"/>
    </row>
    <row r="210" spans="1:20" s="12" customFormat="1" ht="60" x14ac:dyDescent="0.25">
      <c r="A210" s="110"/>
      <c r="B210" s="717"/>
      <c r="C210" s="717" t="s">
        <v>9</v>
      </c>
      <c r="D210" s="717"/>
      <c r="E210" s="458" t="s">
        <v>716</v>
      </c>
      <c r="F210" s="706">
        <v>19511.8</v>
      </c>
      <c r="G210" s="706"/>
      <c r="H210" s="233"/>
      <c r="I210" s="233"/>
      <c r="J210" s="233"/>
      <c r="K210" s="765" t="s">
        <v>717</v>
      </c>
      <c r="L210" s="704" t="s">
        <v>35</v>
      </c>
      <c r="M210" s="226">
        <v>50</v>
      </c>
      <c r="N210" s="226"/>
      <c r="O210" s="643"/>
      <c r="P210" s="453"/>
      <c r="Q210" s="453"/>
    </row>
    <row r="211" spans="1:20" s="12" customFormat="1" ht="30" x14ac:dyDescent="0.25">
      <c r="A211" s="110"/>
      <c r="B211" s="717"/>
      <c r="C211" s="717" t="s">
        <v>11</v>
      </c>
      <c r="D211" s="717"/>
      <c r="E211" s="458" t="s">
        <v>693</v>
      </c>
      <c r="F211" s="706">
        <v>69362.899999999994</v>
      </c>
      <c r="G211" s="706"/>
      <c r="H211" s="233"/>
      <c r="I211" s="233"/>
      <c r="J211" s="233"/>
      <c r="K211" s="458" t="s">
        <v>1109</v>
      </c>
      <c r="L211" s="704" t="s">
        <v>35</v>
      </c>
      <c r="M211" s="226">
        <v>0</v>
      </c>
      <c r="N211" s="226"/>
      <c r="O211" s="643"/>
      <c r="P211" s="453"/>
      <c r="Q211" s="453"/>
    </row>
    <row r="212" spans="1:20" s="12" customFormat="1" ht="30" x14ac:dyDescent="0.25">
      <c r="A212" s="110"/>
      <c r="B212" s="717"/>
      <c r="C212" s="717" t="s">
        <v>127</v>
      </c>
      <c r="D212" s="717"/>
      <c r="E212" s="458" t="s">
        <v>694</v>
      </c>
      <c r="F212" s="706">
        <v>238284.3</v>
      </c>
      <c r="G212" s="706"/>
      <c r="H212" s="233"/>
      <c r="I212" s="233"/>
      <c r="J212" s="233"/>
      <c r="K212" s="458" t="s">
        <v>718</v>
      </c>
      <c r="L212" s="704" t="s">
        <v>313</v>
      </c>
      <c r="M212" s="645">
        <v>5</v>
      </c>
      <c r="N212" s="645"/>
      <c r="O212" s="643"/>
      <c r="P212" s="453"/>
      <c r="Q212" s="453"/>
    </row>
    <row r="213" spans="1:20" s="12" customFormat="1" ht="30" x14ac:dyDescent="0.25">
      <c r="A213" s="110"/>
      <c r="B213" s="717"/>
      <c r="C213" s="717" t="s">
        <v>129</v>
      </c>
      <c r="D213" s="717"/>
      <c r="E213" s="458" t="s">
        <v>696</v>
      </c>
      <c r="F213" s="706">
        <v>100609</v>
      </c>
      <c r="G213" s="706"/>
      <c r="H213" s="233"/>
      <c r="I213" s="233"/>
      <c r="J213" s="233"/>
      <c r="K213" s="2688" t="s">
        <v>719</v>
      </c>
      <c r="L213" s="2685" t="s">
        <v>313</v>
      </c>
      <c r="M213" s="2685">
        <v>200988</v>
      </c>
      <c r="N213" s="2685"/>
      <c r="O213" s="643"/>
      <c r="P213" s="453"/>
      <c r="Q213" s="453"/>
    </row>
    <row r="214" spans="1:20" s="12" customFormat="1" ht="45" x14ac:dyDescent="0.25">
      <c r="A214" s="110"/>
      <c r="B214" s="717"/>
      <c r="C214" s="717" t="s">
        <v>131</v>
      </c>
      <c r="D214" s="717"/>
      <c r="E214" s="765" t="s">
        <v>720</v>
      </c>
      <c r="F214" s="706">
        <v>12000</v>
      </c>
      <c r="G214" s="706"/>
      <c r="H214" s="233"/>
      <c r="I214" s="233"/>
      <c r="J214" s="233"/>
      <c r="K214" s="2689"/>
      <c r="L214" s="2686"/>
      <c r="M214" s="2686"/>
      <c r="N214" s="2686"/>
      <c r="O214" s="643"/>
      <c r="P214" s="453"/>
      <c r="Q214" s="453"/>
    </row>
    <row r="215" spans="1:20" s="12" customFormat="1" ht="60" x14ac:dyDescent="0.25">
      <c r="A215" s="110"/>
      <c r="B215" s="717"/>
      <c r="C215" s="717" t="s">
        <v>134</v>
      </c>
      <c r="D215" s="717"/>
      <c r="E215" s="765" t="s">
        <v>721</v>
      </c>
      <c r="F215" s="706">
        <v>17000</v>
      </c>
      <c r="G215" s="706"/>
      <c r="H215" s="233"/>
      <c r="I215" s="233"/>
      <c r="J215" s="233"/>
      <c r="K215" s="458" t="s">
        <v>1110</v>
      </c>
      <c r="L215" s="704" t="s">
        <v>35</v>
      </c>
      <c r="M215" s="226">
        <v>30</v>
      </c>
      <c r="N215" s="226"/>
      <c r="O215" s="643"/>
      <c r="P215" s="453"/>
      <c r="Q215" s="453"/>
    </row>
    <row r="216" spans="1:20" s="12" customFormat="1" ht="44.25" x14ac:dyDescent="0.25">
      <c r="A216" s="110"/>
      <c r="B216" s="924" t="s">
        <v>601</v>
      </c>
      <c r="C216" s="924"/>
      <c r="D216" s="924"/>
      <c r="E216" s="257" t="s">
        <v>924</v>
      </c>
      <c r="F216" s="711">
        <f>F217</f>
        <v>0</v>
      </c>
      <c r="G216" s="711">
        <f t="shared" ref="G216:J216" si="22">G217</f>
        <v>0</v>
      </c>
      <c r="H216" s="711">
        <f t="shared" si="22"/>
        <v>0</v>
      </c>
      <c r="I216" s="711">
        <f t="shared" si="22"/>
        <v>0</v>
      </c>
      <c r="J216" s="711">
        <f t="shared" si="22"/>
        <v>0</v>
      </c>
      <c r="K216" s="644" t="s">
        <v>1111</v>
      </c>
      <c r="L216" s="704">
        <v>0</v>
      </c>
      <c r="M216" s="226">
        <v>0</v>
      </c>
      <c r="N216" s="226"/>
      <c r="O216" s="641"/>
      <c r="P216" s="642"/>
      <c r="Q216" s="642"/>
    </row>
    <row r="217" spans="1:20" s="12" customFormat="1" ht="45" x14ac:dyDescent="0.25">
      <c r="A217" s="110"/>
      <c r="B217" s="717"/>
      <c r="C217" s="717" t="s">
        <v>5</v>
      </c>
      <c r="D217" s="717"/>
      <c r="E217" s="765" t="s">
        <v>701</v>
      </c>
      <c r="F217" s="789">
        <v>0</v>
      </c>
      <c r="G217" s="789"/>
      <c r="H217" s="733"/>
      <c r="I217" s="733"/>
      <c r="J217" s="733"/>
      <c r="K217" s="927" t="s">
        <v>1111</v>
      </c>
      <c r="L217" s="787" t="s">
        <v>35</v>
      </c>
      <c r="M217" s="453">
        <v>0</v>
      </c>
      <c r="N217" s="453"/>
      <c r="O217" s="646"/>
      <c r="P217" s="453"/>
      <c r="Q217" s="453"/>
    </row>
    <row r="218" spans="1:20" ht="16.5" customHeight="1" x14ac:dyDescent="0.25">
      <c r="A218" s="2480" t="s">
        <v>85</v>
      </c>
      <c r="B218" s="2480"/>
      <c r="C218" s="2480"/>
      <c r="D218" s="2480"/>
      <c r="E218" s="2481"/>
      <c r="F218" s="268">
        <f>F171+F180+F197+F203+F216+F207</f>
        <v>1296400.6000000001</v>
      </c>
      <c r="G218" s="268">
        <f>G171+G180+G197+G203+G216+G207</f>
        <v>1923629.3999999997</v>
      </c>
      <c r="H218" s="268">
        <f>H171+H180+H197+H203+H216+H207</f>
        <v>1959329.4</v>
      </c>
      <c r="I218" s="268">
        <f>I171+I180+I197+I203+I216+I207</f>
        <v>2929371.5000000005</v>
      </c>
      <c r="J218" s="268">
        <f>J171+J180+J197+J203+J216+J207</f>
        <v>2805155.1000000006</v>
      </c>
      <c r="K218" s="707"/>
      <c r="L218" s="657"/>
      <c r="M218" s="657"/>
      <c r="N218" s="657"/>
      <c r="O218" s="657"/>
      <c r="P218" s="657"/>
      <c r="Q218" s="657"/>
    </row>
    <row r="219" spans="1:20" x14ac:dyDescent="0.25">
      <c r="A219" s="123" t="s">
        <v>89</v>
      </c>
      <c r="B219" s="605" t="s">
        <v>89</v>
      </c>
      <c r="C219" s="606"/>
      <c r="D219" s="606"/>
      <c r="E219" s="606"/>
      <c r="F219" s="734"/>
      <c r="G219" s="734"/>
      <c r="H219" s="734"/>
      <c r="I219" s="734"/>
      <c r="J219" s="734"/>
      <c r="K219" s="606"/>
      <c r="L219" s="606"/>
      <c r="M219" s="606"/>
      <c r="N219" s="606"/>
      <c r="O219" s="606"/>
      <c r="P219" s="606"/>
      <c r="Q219" s="607"/>
    </row>
    <row r="220" spans="1:20" ht="73.5" x14ac:dyDescent="0.25">
      <c r="B220" s="866">
        <v>1</v>
      </c>
      <c r="C220" s="698"/>
      <c r="D220" s="874"/>
      <c r="E220" s="124" t="s">
        <v>71</v>
      </c>
      <c r="F220" s="917">
        <f>F221+F222+F223+F225+F228</f>
        <v>43606.7</v>
      </c>
      <c r="G220" s="917">
        <f>G221+G222+G223+G225+G228</f>
        <v>43606.7</v>
      </c>
      <c r="H220" s="917">
        <f>H221+H222+H223+H225+H228</f>
        <v>48486.9</v>
      </c>
      <c r="I220" s="917">
        <f>I221+I222+I223+I225+I228</f>
        <v>48529.177667586002</v>
      </c>
      <c r="J220" s="917">
        <f>J221+J222+J223+J225+J228</f>
        <v>48624.925718753992</v>
      </c>
      <c r="K220" s="798"/>
      <c r="L220" s="775"/>
      <c r="M220" s="775"/>
      <c r="N220" s="775"/>
      <c r="O220" s="775"/>
      <c r="P220" s="775"/>
      <c r="Q220" s="775"/>
      <c r="R220" s="907"/>
      <c r="S220" s="907"/>
      <c r="T220" s="907"/>
    </row>
    <row r="221" spans="1:20" x14ac:dyDescent="0.25">
      <c r="B221" s="865"/>
      <c r="C221" s="871">
        <v>1</v>
      </c>
      <c r="D221" s="46"/>
      <c r="E221" s="692" t="s">
        <v>15</v>
      </c>
      <c r="F221" s="760">
        <v>18519.2</v>
      </c>
      <c r="G221" s="760">
        <v>18519.2</v>
      </c>
      <c r="H221" s="760">
        <v>19238.400000000001</v>
      </c>
      <c r="I221" s="760">
        <f>H221*100.087194/100</f>
        <v>19255.174730496001</v>
      </c>
      <c r="J221" s="760">
        <f>H221*1.00284666</f>
        <v>19293.165183744</v>
      </c>
      <c r="K221" s="774" t="s">
        <v>83</v>
      </c>
      <c r="L221" s="915" t="s">
        <v>42</v>
      </c>
      <c r="M221" s="915">
        <v>1</v>
      </c>
      <c r="N221" s="915">
        <v>1</v>
      </c>
      <c r="O221" s="915">
        <v>1</v>
      </c>
      <c r="P221" s="915">
        <v>1</v>
      </c>
      <c r="Q221" s="915">
        <v>1</v>
      </c>
    </row>
    <row r="222" spans="1:20" x14ac:dyDescent="0.25">
      <c r="B222" s="865"/>
      <c r="C222" s="125">
        <v>2</v>
      </c>
      <c r="D222" s="698"/>
      <c r="E222" s="126" t="s">
        <v>8</v>
      </c>
      <c r="F222" s="761">
        <v>3251.1</v>
      </c>
      <c r="G222" s="761">
        <v>3251.1</v>
      </c>
      <c r="H222" s="761">
        <v>3753.6</v>
      </c>
      <c r="I222" s="760">
        <f>H222*100.087194/100</f>
        <v>3756.8729139839998</v>
      </c>
      <c r="J222" s="760">
        <f>H222*1.00284666</f>
        <v>3764.2852229759997</v>
      </c>
      <c r="K222" s="774" t="s">
        <v>43</v>
      </c>
      <c r="L222" s="915" t="s">
        <v>35</v>
      </c>
      <c r="M222" s="915">
        <v>100</v>
      </c>
      <c r="N222" s="915">
        <v>100</v>
      </c>
      <c r="O222" s="915">
        <v>100</v>
      </c>
      <c r="P222" s="915">
        <v>100</v>
      </c>
      <c r="Q222" s="915">
        <v>100</v>
      </c>
    </row>
    <row r="223" spans="1:20" ht="45" x14ac:dyDescent="0.25">
      <c r="B223" s="2482"/>
      <c r="C223" s="2464">
        <v>3</v>
      </c>
      <c r="D223" s="2471"/>
      <c r="E223" s="2466" t="s">
        <v>10</v>
      </c>
      <c r="F223" s="2473">
        <v>3844.6</v>
      </c>
      <c r="G223" s="2473">
        <v>3844.6</v>
      </c>
      <c r="H223" s="2473">
        <v>4379.3999999999996</v>
      </c>
      <c r="I223" s="2473">
        <f t="shared" ref="I223" si="23">H223*100.087194/100</f>
        <v>4383.2185740359992</v>
      </c>
      <c r="J223" s="2473">
        <f>H223*1.00284666</f>
        <v>4391.8666628039991</v>
      </c>
      <c r="K223" s="10" t="s">
        <v>1112</v>
      </c>
      <c r="L223" s="915" t="s">
        <v>35</v>
      </c>
      <c r="M223" s="915">
        <v>90</v>
      </c>
      <c r="N223" s="915">
        <v>90</v>
      </c>
      <c r="O223" s="915">
        <v>90</v>
      </c>
      <c r="P223" s="915">
        <v>90</v>
      </c>
      <c r="Q223" s="915">
        <v>90</v>
      </c>
    </row>
    <row r="224" spans="1:20" ht="45" x14ac:dyDescent="0.25">
      <c r="B224" s="2299"/>
      <c r="C224" s="2299"/>
      <c r="D224" s="2299"/>
      <c r="E224" s="1901"/>
      <c r="F224" s="1894"/>
      <c r="G224" s="1894"/>
      <c r="H224" s="1894"/>
      <c r="I224" s="2105"/>
      <c r="J224" s="1894"/>
      <c r="K224" s="774" t="s">
        <v>1113</v>
      </c>
      <c r="L224" s="915" t="s">
        <v>35</v>
      </c>
      <c r="M224" s="915">
        <v>50</v>
      </c>
      <c r="N224" s="915">
        <v>50</v>
      </c>
      <c r="O224" s="915">
        <v>50</v>
      </c>
      <c r="P224" s="915">
        <v>50</v>
      </c>
      <c r="Q224" s="915">
        <v>50</v>
      </c>
    </row>
    <row r="225" spans="1:20" ht="45" x14ac:dyDescent="0.25">
      <c r="B225" s="2482"/>
      <c r="C225" s="2464">
        <v>4</v>
      </c>
      <c r="D225" s="2471"/>
      <c r="E225" s="2466" t="s">
        <v>12</v>
      </c>
      <c r="F225" s="2473">
        <v>3332.2</v>
      </c>
      <c r="G225" s="2473">
        <v>3332.2</v>
      </c>
      <c r="H225" s="2473">
        <v>3910.4</v>
      </c>
      <c r="I225" s="2473">
        <f>H225*100.087194/100</f>
        <v>3913.8096341759997</v>
      </c>
      <c r="J225" s="2473">
        <f>H225*1.00284666</f>
        <v>3921.5315792639994</v>
      </c>
      <c r="K225" s="774" t="s">
        <v>1114</v>
      </c>
      <c r="L225" s="915" t="s">
        <v>40</v>
      </c>
      <c r="M225" s="915">
        <v>8</v>
      </c>
      <c r="N225" s="915">
        <v>8</v>
      </c>
      <c r="O225" s="915">
        <v>8</v>
      </c>
      <c r="P225" s="915">
        <v>8</v>
      </c>
      <c r="Q225" s="915">
        <v>8</v>
      </c>
    </row>
    <row r="226" spans="1:20" ht="30" x14ac:dyDescent="0.25">
      <c r="B226" s="2483"/>
      <c r="C226" s="2465"/>
      <c r="D226" s="2472"/>
      <c r="E226" s="2017"/>
      <c r="F226" s="2103"/>
      <c r="G226" s="2103"/>
      <c r="H226" s="2103"/>
      <c r="I226" s="2103"/>
      <c r="J226" s="2103"/>
      <c r="K226" s="774" t="s">
        <v>1115</v>
      </c>
      <c r="L226" s="915" t="s">
        <v>40</v>
      </c>
      <c r="M226" s="915">
        <v>125</v>
      </c>
      <c r="N226" s="915">
        <v>125</v>
      </c>
      <c r="O226" s="915">
        <v>125</v>
      </c>
      <c r="P226" s="915">
        <v>125</v>
      </c>
      <c r="Q226" s="915">
        <v>125</v>
      </c>
    </row>
    <row r="227" spans="1:20" ht="45" x14ac:dyDescent="0.25">
      <c r="B227" s="2299"/>
      <c r="C227" s="2299"/>
      <c r="D227" s="2299"/>
      <c r="E227" s="1901"/>
      <c r="F227" s="2105"/>
      <c r="G227" s="2105"/>
      <c r="H227" s="2105"/>
      <c r="I227" s="2105"/>
      <c r="J227" s="2105"/>
      <c r="K227" s="774" t="s">
        <v>1116</v>
      </c>
      <c r="L227" s="915" t="s">
        <v>40</v>
      </c>
      <c r="M227" s="915">
        <v>20</v>
      </c>
      <c r="N227" s="915">
        <v>85</v>
      </c>
      <c r="O227" s="915">
        <v>85</v>
      </c>
      <c r="P227" s="915">
        <v>85</v>
      </c>
      <c r="Q227" s="915">
        <v>85</v>
      </c>
    </row>
    <row r="228" spans="1:20" ht="30" x14ac:dyDescent="0.25">
      <c r="B228" s="865"/>
      <c r="C228" s="828">
        <v>6</v>
      </c>
      <c r="D228" s="698"/>
      <c r="E228" s="918" t="s">
        <v>14</v>
      </c>
      <c r="F228" s="761">
        <v>14659.6</v>
      </c>
      <c r="G228" s="761">
        <v>14659.6</v>
      </c>
      <c r="H228" s="761">
        <v>17205.099999999999</v>
      </c>
      <c r="I228" s="761">
        <f>H228*100.087194/100</f>
        <v>17220.101814893998</v>
      </c>
      <c r="J228" s="761">
        <f>H228*1.00284666</f>
        <v>17254.077069965995</v>
      </c>
      <c r="K228" s="774" t="s">
        <v>84</v>
      </c>
      <c r="L228" s="915" t="s">
        <v>35</v>
      </c>
      <c r="M228" s="915">
        <v>100</v>
      </c>
      <c r="N228" s="915">
        <v>100</v>
      </c>
      <c r="O228" s="915">
        <v>100</v>
      </c>
      <c r="P228" s="915">
        <v>100</v>
      </c>
      <c r="Q228" s="915">
        <v>100</v>
      </c>
    </row>
    <row r="229" spans="1:20" x14ac:dyDescent="0.25">
      <c r="B229" s="865">
        <v>2</v>
      </c>
      <c r="C229" s="828"/>
      <c r="D229" s="698"/>
      <c r="E229" s="725" t="s">
        <v>1093</v>
      </c>
      <c r="F229" s="672">
        <f>F230</f>
        <v>211112.9</v>
      </c>
      <c r="G229" s="672">
        <f t="shared" ref="G229:I229" si="24">G230</f>
        <v>211112.9</v>
      </c>
      <c r="H229" s="672">
        <f t="shared" si="24"/>
        <v>206232.7</v>
      </c>
      <c r="I229" s="672">
        <f t="shared" si="24"/>
        <v>206412.52254043799</v>
      </c>
      <c r="J229" s="672">
        <f>J230</f>
        <v>206813.77437778199</v>
      </c>
      <c r="K229" s="918"/>
      <c r="L229" s="915"/>
      <c r="M229" s="500"/>
      <c r="N229" s="500"/>
      <c r="O229" s="500"/>
      <c r="P229" s="500"/>
      <c r="Q229" s="500"/>
    </row>
    <row r="230" spans="1:20" ht="36.75" customHeight="1" x14ac:dyDescent="0.25">
      <c r="B230" s="2482"/>
      <c r="C230" s="2464">
        <v>1</v>
      </c>
      <c r="D230" s="2471"/>
      <c r="E230" s="2491" t="s">
        <v>1071</v>
      </c>
      <c r="F230" s="2473">
        <v>211112.9</v>
      </c>
      <c r="G230" s="2473">
        <v>211112.9</v>
      </c>
      <c r="H230" s="2473">
        <v>206232.7</v>
      </c>
      <c r="I230" s="2473">
        <f>H230*100.087194/100</f>
        <v>206412.52254043799</v>
      </c>
      <c r="J230" s="2473">
        <f>H230*1.00284666-6</f>
        <v>206813.77437778199</v>
      </c>
      <c r="K230" s="918" t="s">
        <v>1117</v>
      </c>
      <c r="L230" s="915" t="s">
        <v>40</v>
      </c>
      <c r="M230" s="915">
        <v>287</v>
      </c>
      <c r="N230" s="915">
        <v>287</v>
      </c>
      <c r="O230" s="915">
        <v>287</v>
      </c>
      <c r="P230" s="915">
        <v>287</v>
      </c>
      <c r="Q230" s="915">
        <v>287</v>
      </c>
    </row>
    <row r="231" spans="1:20" ht="75" customHeight="1" x14ac:dyDescent="0.25">
      <c r="B231" s="2483"/>
      <c r="C231" s="2509"/>
      <c r="D231" s="2472"/>
      <c r="E231" s="2271"/>
      <c r="F231" s="2114"/>
      <c r="G231" s="2114"/>
      <c r="H231" s="2114"/>
      <c r="I231" s="2114"/>
      <c r="J231" s="2114"/>
      <c r="K231" s="918" t="s">
        <v>1118</v>
      </c>
      <c r="L231" s="915" t="s">
        <v>35</v>
      </c>
      <c r="M231" s="915">
        <v>100</v>
      </c>
      <c r="N231" s="915">
        <v>100</v>
      </c>
      <c r="O231" s="915">
        <v>100</v>
      </c>
      <c r="P231" s="915">
        <v>100</v>
      </c>
      <c r="Q231" s="915">
        <v>100</v>
      </c>
    </row>
    <row r="232" spans="1:20" ht="15.75" thickBot="1" x14ac:dyDescent="0.3">
      <c r="A232" s="2517" t="s">
        <v>85</v>
      </c>
      <c r="B232" s="2517"/>
      <c r="C232" s="2517"/>
      <c r="D232" s="2517"/>
      <c r="E232" s="2517"/>
      <c r="F232" s="8">
        <f>F220+F229</f>
        <v>254719.59999999998</v>
      </c>
      <c r="G232" s="8">
        <f>G220+G229</f>
        <v>254719.59999999998</v>
      </c>
      <c r="H232" s="8">
        <f>H220+H229</f>
        <v>254719.6</v>
      </c>
      <c r="I232" s="8">
        <f>I220+I229</f>
        <v>254941.70020802401</v>
      </c>
      <c r="J232" s="8">
        <f>J220+J229</f>
        <v>255438.70009653596</v>
      </c>
      <c r="K232" s="127"/>
      <c r="L232" s="2666"/>
      <c r="M232" s="2667"/>
      <c r="N232" s="2667"/>
      <c r="O232" s="2667"/>
      <c r="P232" s="2667"/>
      <c r="Q232" s="2668"/>
    </row>
    <row r="233" spans="1:20" x14ac:dyDescent="0.25">
      <c r="A233" s="539" t="s">
        <v>88</v>
      </c>
      <c r="B233" s="2490" t="s">
        <v>1119</v>
      </c>
      <c r="C233" s="2490"/>
      <c r="D233" s="2490"/>
      <c r="E233" s="2490"/>
      <c r="F233" s="2490"/>
      <c r="G233" s="2490"/>
      <c r="H233" s="2490"/>
      <c r="I233" s="2490"/>
      <c r="J233" s="2490"/>
      <c r="K233" s="2490"/>
      <c r="L233" s="2490"/>
      <c r="M233" s="2490"/>
      <c r="N233" s="2490"/>
      <c r="O233" s="2490"/>
      <c r="P233" s="2490"/>
      <c r="Q233" s="2490"/>
    </row>
    <row r="234" spans="1:20" ht="28.5" x14ac:dyDescent="0.25">
      <c r="B234" s="2386" t="s">
        <v>516</v>
      </c>
      <c r="C234" s="2665"/>
      <c r="D234" s="2684"/>
      <c r="E234" s="540" t="s">
        <v>86</v>
      </c>
      <c r="F234" s="2675">
        <f>F236</f>
        <v>97871.4</v>
      </c>
      <c r="G234" s="2671">
        <f t="shared" ref="G234:J234" si="25">G236</f>
        <v>99713.600000000006</v>
      </c>
      <c r="H234" s="2671">
        <f t="shared" si="25"/>
        <v>297947.5</v>
      </c>
      <c r="I234" s="2671">
        <f t="shared" si="25"/>
        <v>99720</v>
      </c>
      <c r="J234" s="2671">
        <f t="shared" si="25"/>
        <v>99620</v>
      </c>
      <c r="K234" s="2673" t="s">
        <v>34</v>
      </c>
      <c r="L234" s="2665" t="s">
        <v>35</v>
      </c>
      <c r="M234" s="664"/>
      <c r="N234" s="2515"/>
      <c r="O234" s="2665"/>
      <c r="P234" s="2665"/>
      <c r="Q234" s="2665"/>
      <c r="R234" s="907"/>
      <c r="S234" s="907"/>
      <c r="T234" s="907"/>
    </row>
    <row r="235" spans="1:20" ht="45" x14ac:dyDescent="0.25">
      <c r="B235" s="2386"/>
      <c r="C235" s="2665"/>
      <c r="D235" s="2684"/>
      <c r="E235" s="541" t="s">
        <v>87</v>
      </c>
      <c r="F235" s="2676"/>
      <c r="G235" s="2672"/>
      <c r="H235" s="2672"/>
      <c r="I235" s="2672"/>
      <c r="J235" s="2672"/>
      <c r="K235" s="2673"/>
      <c r="L235" s="2665"/>
      <c r="M235" s="770"/>
      <c r="N235" s="1976"/>
      <c r="O235" s="2665"/>
      <c r="P235" s="2665"/>
      <c r="Q235" s="2665"/>
    </row>
    <row r="236" spans="1:20" ht="45" x14ac:dyDescent="0.25">
      <c r="B236" s="773"/>
      <c r="C236" s="543" t="s">
        <v>1072</v>
      </c>
      <c r="D236" s="915"/>
      <c r="E236" s="130" t="s">
        <v>1120</v>
      </c>
      <c r="F236" s="761">
        <v>97871.4</v>
      </c>
      <c r="G236" s="761">
        <v>99713.600000000006</v>
      </c>
      <c r="H236" s="761">
        <f>100000+197947.5</f>
        <v>297947.5</v>
      </c>
      <c r="I236" s="761">
        <v>99720</v>
      </c>
      <c r="J236" s="761">
        <v>99620</v>
      </c>
      <c r="K236" s="918" t="s">
        <v>36</v>
      </c>
      <c r="L236" s="664" t="s">
        <v>35</v>
      </c>
      <c r="M236" s="915"/>
      <c r="N236" s="664">
        <v>100</v>
      </c>
      <c r="O236" s="664">
        <v>100</v>
      </c>
      <c r="P236" s="664">
        <v>100</v>
      </c>
      <c r="Q236" s="664">
        <v>100</v>
      </c>
    </row>
    <row r="237" spans="1:20" ht="72.75" x14ac:dyDescent="0.25">
      <c r="B237" s="2487" t="s">
        <v>467</v>
      </c>
      <c r="C237" s="2489"/>
      <c r="D237" s="2487"/>
      <c r="E237" s="128" t="s">
        <v>925</v>
      </c>
      <c r="F237" s="916">
        <f>F239</f>
        <v>28662.1</v>
      </c>
      <c r="G237" s="916">
        <f>G239</f>
        <v>22924</v>
      </c>
      <c r="H237" s="916">
        <f t="shared" ref="H237:J237" si="26">H239</f>
        <v>630296.69999999995</v>
      </c>
      <c r="I237" s="916">
        <f t="shared" si="26"/>
        <v>23005.1</v>
      </c>
      <c r="J237" s="916">
        <f t="shared" si="26"/>
        <v>23344.300000000003</v>
      </c>
      <c r="K237" s="129"/>
      <c r="L237" s="129" t="s">
        <v>35</v>
      </c>
      <c r="M237" s="129"/>
      <c r="N237" s="129"/>
      <c r="O237" s="129"/>
      <c r="P237" s="129"/>
      <c r="Q237" s="129"/>
    </row>
    <row r="238" spans="1:20" hidden="1" x14ac:dyDescent="0.25">
      <c r="B238" s="2488"/>
      <c r="C238" s="2411"/>
      <c r="D238" s="2488"/>
      <c r="E238" s="124"/>
      <c r="F238" s="917"/>
      <c r="G238" s="917"/>
      <c r="H238" s="917"/>
      <c r="I238" s="917"/>
      <c r="J238" s="917"/>
      <c r="K238" s="130"/>
      <c r="L238" s="130"/>
      <c r="M238" s="130"/>
      <c r="N238" s="130"/>
      <c r="O238" s="130"/>
      <c r="P238" s="130"/>
      <c r="Q238" s="130"/>
    </row>
    <row r="239" spans="1:20" ht="90" x14ac:dyDescent="0.25">
      <c r="B239" s="542"/>
      <c r="C239" s="543" t="s">
        <v>5</v>
      </c>
      <c r="D239" s="918"/>
      <c r="E239" s="131" t="s">
        <v>1121</v>
      </c>
      <c r="F239" s="759">
        <f>24132.6+4529.5</f>
        <v>28662.1</v>
      </c>
      <c r="G239" s="759">
        <f>45737.6-18905.3-3908.3</f>
        <v>22924</v>
      </c>
      <c r="H239" s="316">
        <f>1016348.9-386052.2</f>
        <v>630296.69999999995</v>
      </c>
      <c r="I239" s="761">
        <f>69600-46594.9</f>
        <v>23005.1</v>
      </c>
      <c r="J239" s="761">
        <f>57400-34055.7</f>
        <v>23344.300000000003</v>
      </c>
      <c r="K239" s="664" t="s">
        <v>1122</v>
      </c>
      <c r="L239" s="664" t="s">
        <v>35</v>
      </c>
      <c r="M239" s="664"/>
      <c r="N239" s="664">
        <v>100</v>
      </c>
      <c r="O239" s="664">
        <v>100</v>
      </c>
      <c r="P239" s="664">
        <v>100</v>
      </c>
      <c r="Q239" s="915">
        <v>100</v>
      </c>
    </row>
    <row r="240" spans="1:20" x14ac:dyDescent="0.25">
      <c r="A240" s="30"/>
      <c r="B240" s="2674" t="s">
        <v>85</v>
      </c>
      <c r="C240" s="2674"/>
      <c r="D240" s="2674"/>
      <c r="E240" s="2674"/>
      <c r="F240" s="317">
        <f>F234+F237</f>
        <v>126533.5</v>
      </c>
      <c r="G240" s="317">
        <f>G234+G237</f>
        <v>122637.6</v>
      </c>
      <c r="H240" s="317">
        <f>H234+H237</f>
        <v>928244.2</v>
      </c>
      <c r="I240" s="317">
        <f>I234+I237</f>
        <v>122725.1</v>
      </c>
      <c r="J240" s="317">
        <f>J234+J237</f>
        <v>122964.3</v>
      </c>
      <c r="K240" s="132"/>
      <c r="L240" s="2674"/>
      <c r="M240" s="2674"/>
      <c r="N240" s="2674"/>
      <c r="O240" s="2674"/>
      <c r="P240" s="2674"/>
      <c r="Q240" s="31"/>
    </row>
    <row r="241" spans="1:17" x14ac:dyDescent="0.25">
      <c r="A241" s="1696" t="s">
        <v>16</v>
      </c>
      <c r="B241" s="1697"/>
      <c r="C241" s="1697"/>
      <c r="D241" s="1697"/>
      <c r="E241" s="1697"/>
      <c r="F241" s="1697"/>
      <c r="G241" s="1697"/>
      <c r="H241" s="1697"/>
      <c r="I241" s="1697"/>
      <c r="J241" s="1697"/>
      <c r="K241" s="1697"/>
      <c r="L241" s="1697"/>
      <c r="M241" s="1697"/>
      <c r="N241" s="1697"/>
      <c r="O241" s="1697"/>
      <c r="P241" s="1697"/>
      <c r="Q241" s="2302"/>
    </row>
    <row r="242" spans="1:17" ht="73.5" x14ac:dyDescent="0.25">
      <c r="B242" s="914">
        <v>1</v>
      </c>
      <c r="C242" s="887"/>
      <c r="D242" s="382"/>
      <c r="E242" s="124" t="s">
        <v>71</v>
      </c>
      <c r="F242" s="917">
        <f>F243+F244+F245+F246+F247+F248</f>
        <v>157260.79999999999</v>
      </c>
      <c r="G242" s="917">
        <f t="shared" ref="G242" si="27">G243+G244+G245+G246+G247+G248</f>
        <v>256354.09999999998</v>
      </c>
      <c r="H242" s="917">
        <f>H243+H244+H245+H246+H247+H248</f>
        <v>255219.3</v>
      </c>
      <c r="I242" s="917">
        <f t="shared" ref="I242:J242" si="28">I243+I244+I245+I246+I247+I248</f>
        <v>254722.59999999998</v>
      </c>
      <c r="J242" s="917">
        <f t="shared" si="28"/>
        <v>255914.19999999995</v>
      </c>
      <c r="K242" s="798" t="s">
        <v>34</v>
      </c>
      <c r="L242" s="775" t="s">
        <v>35</v>
      </c>
      <c r="M242" s="775">
        <v>26</v>
      </c>
      <c r="N242" s="741">
        <v>26</v>
      </c>
      <c r="O242" s="383"/>
      <c r="P242" s="383"/>
      <c r="Q242" s="383"/>
    </row>
    <row r="243" spans="1:17" x14ac:dyDescent="0.25">
      <c r="B243" s="913"/>
      <c r="C243" s="888">
        <v>1</v>
      </c>
      <c r="D243" s="384"/>
      <c r="E243" s="261" t="s">
        <v>6</v>
      </c>
      <c r="F243" s="761">
        <v>39619.4</v>
      </c>
      <c r="G243" s="761">
        <v>32332.7</v>
      </c>
      <c r="H243" s="761">
        <v>23984.5</v>
      </c>
      <c r="I243" s="761">
        <v>23984.5</v>
      </c>
      <c r="J243" s="761">
        <v>23984.5</v>
      </c>
      <c r="K243" s="659" t="s">
        <v>36</v>
      </c>
      <c r="L243" s="660" t="s">
        <v>37</v>
      </c>
      <c r="M243" s="386"/>
      <c r="N243" s="386"/>
      <c r="O243" s="386"/>
      <c r="P243" s="386"/>
      <c r="Q243" s="386"/>
    </row>
    <row r="244" spans="1:17" ht="30" x14ac:dyDescent="0.25">
      <c r="B244" s="913"/>
      <c r="C244" s="27">
        <v>2</v>
      </c>
      <c r="D244" s="384"/>
      <c r="E244" s="126" t="s">
        <v>8</v>
      </c>
      <c r="F244" s="761">
        <v>61928.6</v>
      </c>
      <c r="G244" s="761">
        <v>19726.3</v>
      </c>
      <c r="H244" s="761">
        <v>12618.3</v>
      </c>
      <c r="I244" s="761">
        <v>12618.3</v>
      </c>
      <c r="J244" s="761">
        <v>12618.3</v>
      </c>
      <c r="K244" s="774" t="s">
        <v>38</v>
      </c>
      <c r="L244" s="915" t="s">
        <v>35</v>
      </c>
      <c r="M244" s="915" t="s">
        <v>46</v>
      </c>
      <c r="N244" s="915" t="s">
        <v>46</v>
      </c>
      <c r="O244" s="386"/>
      <c r="P244" s="386"/>
      <c r="Q244" s="386"/>
    </row>
    <row r="245" spans="1:17" ht="30" x14ac:dyDescent="0.25">
      <c r="B245" s="913"/>
      <c r="C245" s="27">
        <v>3</v>
      </c>
      <c r="D245" s="384"/>
      <c r="E245" s="126" t="s">
        <v>10</v>
      </c>
      <c r="F245" s="761">
        <v>10666.7</v>
      </c>
      <c r="G245" s="761">
        <v>8280.4</v>
      </c>
      <c r="H245" s="761">
        <v>10899.4</v>
      </c>
      <c r="I245" s="761">
        <v>10899.4</v>
      </c>
      <c r="J245" s="761">
        <v>10899.4</v>
      </c>
      <c r="K245" s="10" t="s">
        <v>1123</v>
      </c>
      <c r="L245" s="915" t="s">
        <v>35</v>
      </c>
      <c r="M245" s="915">
        <v>9</v>
      </c>
      <c r="N245" s="915">
        <v>0</v>
      </c>
      <c r="O245" s="386"/>
      <c r="P245" s="386"/>
      <c r="Q245" s="386"/>
    </row>
    <row r="246" spans="1:17" ht="30" x14ac:dyDescent="0.25">
      <c r="B246" s="913"/>
      <c r="C246" s="27">
        <v>5</v>
      </c>
      <c r="D246" s="384"/>
      <c r="E246" s="126" t="s">
        <v>13</v>
      </c>
      <c r="F246" s="761">
        <v>39619.300000000003</v>
      </c>
      <c r="G246" s="761">
        <v>39022.5</v>
      </c>
      <c r="H246" s="761">
        <v>9602.6</v>
      </c>
      <c r="I246" s="761">
        <v>9602.6</v>
      </c>
      <c r="J246" s="761">
        <v>9602.6</v>
      </c>
      <c r="K246" s="774" t="s">
        <v>45</v>
      </c>
      <c r="L246" s="915" t="s">
        <v>40</v>
      </c>
      <c r="M246" s="915">
        <v>1482</v>
      </c>
      <c r="N246" s="915">
        <v>741</v>
      </c>
      <c r="O246" s="386"/>
      <c r="P246" s="386"/>
      <c r="Q246" s="386"/>
    </row>
    <row r="247" spans="1:17" ht="45" x14ac:dyDescent="0.25">
      <c r="B247" s="913"/>
      <c r="C247" s="28">
        <v>6</v>
      </c>
      <c r="D247" s="384"/>
      <c r="E247" s="918" t="s">
        <v>14</v>
      </c>
      <c r="F247" s="761">
        <v>3903</v>
      </c>
      <c r="G247" s="761">
        <v>154278.79999999999</v>
      </c>
      <c r="H247" s="761">
        <f>191032.1+4400.1</f>
        <v>195432.2</v>
      </c>
      <c r="I247" s="761">
        <f>190002.8+532.7+4400</f>
        <v>194935.5</v>
      </c>
      <c r="J247" s="761">
        <f>190002.8+1724.3+4400</f>
        <v>196127.09999999998</v>
      </c>
      <c r="K247" s="774" t="s">
        <v>41</v>
      </c>
      <c r="L247" s="915" t="s">
        <v>35</v>
      </c>
      <c r="M247" s="500">
        <v>16.100000000000001</v>
      </c>
      <c r="N247" s="500">
        <v>16.100000000000001</v>
      </c>
      <c r="O247" s="386"/>
      <c r="P247" s="386"/>
      <c r="Q247" s="386"/>
    </row>
    <row r="248" spans="1:17" ht="45" x14ac:dyDescent="0.25">
      <c r="B248" s="913"/>
      <c r="C248" s="719">
        <v>12</v>
      </c>
      <c r="D248" s="387"/>
      <c r="E248" s="388" t="s">
        <v>17</v>
      </c>
      <c r="F248" s="759">
        <v>1523.8</v>
      </c>
      <c r="G248" s="761">
        <v>2713.4</v>
      </c>
      <c r="H248" s="761">
        <v>2682.3</v>
      </c>
      <c r="I248" s="761">
        <v>2682.3</v>
      </c>
      <c r="J248" s="761">
        <v>2682.3</v>
      </c>
      <c r="K248" s="774" t="s">
        <v>47</v>
      </c>
      <c r="L248" s="915" t="s">
        <v>40</v>
      </c>
      <c r="M248" s="915" t="s">
        <v>48</v>
      </c>
      <c r="N248" s="915" t="s">
        <v>49</v>
      </c>
      <c r="O248" s="386"/>
      <c r="P248" s="386"/>
      <c r="Q248" s="386"/>
    </row>
    <row r="249" spans="1:17" ht="99.75" x14ac:dyDescent="0.25">
      <c r="B249" s="389" t="s">
        <v>467</v>
      </c>
      <c r="C249" s="390"/>
      <c r="D249" s="387"/>
      <c r="E249" s="391" t="s">
        <v>1126</v>
      </c>
      <c r="F249" s="672">
        <f>F250+F251+F252</f>
        <v>131038.6</v>
      </c>
      <c r="G249" s="672">
        <f t="shared" ref="G249" si="29">G250+G251+G252</f>
        <v>106189.3</v>
      </c>
      <c r="H249" s="672">
        <f>H250+H251+H252</f>
        <v>230002.5</v>
      </c>
      <c r="I249" s="672">
        <f t="shared" ref="I249:J249" si="30">I250+I251+I252</f>
        <v>230002.5</v>
      </c>
      <c r="J249" s="672">
        <f t="shared" si="30"/>
        <v>230002.5</v>
      </c>
      <c r="K249" s="682" t="s">
        <v>896</v>
      </c>
      <c r="L249" s="385"/>
      <c r="M249" s="500" t="s">
        <v>50</v>
      </c>
      <c r="N249" s="500" t="s">
        <v>51</v>
      </c>
      <c r="O249" s="386"/>
      <c r="P249" s="386"/>
      <c r="Q249" s="386"/>
    </row>
    <row r="250" spans="1:17" ht="105" x14ac:dyDescent="0.25">
      <c r="B250" s="719"/>
      <c r="C250" s="719" t="s">
        <v>5</v>
      </c>
      <c r="D250" s="387"/>
      <c r="E250" s="392" t="s">
        <v>851</v>
      </c>
      <c r="F250" s="759">
        <v>52415.4</v>
      </c>
      <c r="G250" s="761">
        <v>52138.9</v>
      </c>
      <c r="H250" s="761">
        <v>221118.9</v>
      </c>
      <c r="I250" s="761">
        <v>221118.9</v>
      </c>
      <c r="J250" s="761">
        <v>221118.9</v>
      </c>
      <c r="K250" s="693" t="s">
        <v>897</v>
      </c>
      <c r="L250" s="385"/>
      <c r="M250" s="915" t="s">
        <v>52</v>
      </c>
      <c r="N250" s="915" t="s">
        <v>53</v>
      </c>
      <c r="O250" s="386"/>
      <c r="P250" s="386"/>
      <c r="Q250" s="386"/>
    </row>
    <row r="251" spans="1:17" ht="105" x14ac:dyDescent="0.25">
      <c r="B251" s="719"/>
      <c r="C251" s="719" t="s">
        <v>7</v>
      </c>
      <c r="D251" s="387"/>
      <c r="E251" s="392" t="s">
        <v>852</v>
      </c>
      <c r="F251" s="759">
        <v>55036.3</v>
      </c>
      <c r="G251" s="761">
        <v>34830.1</v>
      </c>
      <c r="H251" s="761">
        <v>5874.1</v>
      </c>
      <c r="I251" s="761">
        <v>5874.1</v>
      </c>
      <c r="J251" s="761">
        <v>5874.1</v>
      </c>
      <c r="K251" s="693" t="s">
        <v>898</v>
      </c>
      <c r="L251" s="385"/>
      <c r="M251" s="915" t="s">
        <v>54</v>
      </c>
      <c r="N251" s="915" t="s">
        <v>55</v>
      </c>
      <c r="O251" s="386"/>
      <c r="P251" s="386"/>
      <c r="Q251" s="386"/>
    </row>
    <row r="252" spans="1:17" ht="90" x14ac:dyDescent="0.25">
      <c r="B252" s="719"/>
      <c r="C252" s="719" t="s">
        <v>9</v>
      </c>
      <c r="D252" s="387"/>
      <c r="E252" s="392" t="s">
        <v>853</v>
      </c>
      <c r="F252" s="759">
        <v>23586.9</v>
      </c>
      <c r="G252" s="761">
        <v>19220.3</v>
      </c>
      <c r="H252" s="761">
        <v>3009.5</v>
      </c>
      <c r="I252" s="761">
        <v>3009.5</v>
      </c>
      <c r="J252" s="761">
        <v>3009.5</v>
      </c>
      <c r="K252" s="693" t="s">
        <v>899</v>
      </c>
      <c r="L252" s="385"/>
      <c r="M252" s="915" t="s">
        <v>56</v>
      </c>
      <c r="N252" s="915" t="s">
        <v>57</v>
      </c>
      <c r="O252" s="386"/>
      <c r="P252" s="386"/>
      <c r="Q252" s="386"/>
    </row>
    <row r="253" spans="1:17" ht="199.5" x14ac:dyDescent="0.25">
      <c r="B253" s="393" t="s">
        <v>500</v>
      </c>
      <c r="C253" s="394"/>
      <c r="D253" s="681"/>
      <c r="E253" s="395" t="s">
        <v>74</v>
      </c>
      <c r="F253" s="672">
        <f>F254+F255+F256</f>
        <v>224812.1</v>
      </c>
      <c r="G253" s="672">
        <f t="shared" ref="G253" si="31">G254+G255+G256</f>
        <v>147771.29999999999</v>
      </c>
      <c r="H253" s="672">
        <f>H254+H255+H256</f>
        <v>51040</v>
      </c>
      <c r="I253" s="672">
        <f t="shared" ref="I253:J253" si="32">I254+I255+I256</f>
        <v>51040</v>
      </c>
      <c r="J253" s="672">
        <f t="shared" si="32"/>
        <v>51040</v>
      </c>
      <c r="K253" s="682" t="s">
        <v>1124</v>
      </c>
      <c r="L253" s="693"/>
      <c r="M253" s="500" t="s">
        <v>58</v>
      </c>
      <c r="N253" s="262" t="s">
        <v>59</v>
      </c>
      <c r="O253" s="396"/>
      <c r="P253" s="396"/>
      <c r="Q253" s="396"/>
    </row>
    <row r="254" spans="1:17" ht="180" x14ac:dyDescent="0.25">
      <c r="B254" s="393"/>
      <c r="C254" s="394" t="s">
        <v>5</v>
      </c>
      <c r="D254" s="397"/>
      <c r="E254" s="388" t="s">
        <v>60</v>
      </c>
      <c r="F254" s="761">
        <v>62947.4</v>
      </c>
      <c r="G254" s="786">
        <v>71078</v>
      </c>
      <c r="H254" s="761">
        <v>43673.9</v>
      </c>
      <c r="I254" s="761">
        <v>43673.9</v>
      </c>
      <c r="J254" s="761">
        <v>43673.9</v>
      </c>
      <c r="K254" s="693" t="s">
        <v>1125</v>
      </c>
      <c r="L254" s="693"/>
      <c r="M254" s="915" t="s">
        <v>61</v>
      </c>
      <c r="N254" s="786" t="s">
        <v>62</v>
      </c>
      <c r="O254" s="398"/>
      <c r="P254" s="398"/>
      <c r="Q254" s="398"/>
    </row>
    <row r="255" spans="1:17" ht="180" x14ac:dyDescent="0.25">
      <c r="B255" s="393"/>
      <c r="C255" s="394" t="s">
        <v>7</v>
      </c>
      <c r="D255" s="399"/>
      <c r="E255" s="388" t="s">
        <v>75</v>
      </c>
      <c r="F255" s="761">
        <v>62947.4</v>
      </c>
      <c r="G255" s="786">
        <v>28963.200000000001</v>
      </c>
      <c r="H255" s="761">
        <v>4226.7</v>
      </c>
      <c r="I255" s="761">
        <v>4226.7</v>
      </c>
      <c r="J255" s="761">
        <v>4226.7</v>
      </c>
      <c r="K255" s="693" t="s">
        <v>1125</v>
      </c>
      <c r="L255" s="693"/>
      <c r="M255" s="915" t="s">
        <v>63</v>
      </c>
      <c r="N255" s="786" t="s">
        <v>64</v>
      </c>
      <c r="O255" s="398"/>
      <c r="P255" s="398"/>
      <c r="Q255" s="398"/>
    </row>
    <row r="256" spans="1:17" ht="180" x14ac:dyDescent="0.25">
      <c r="B256" s="400"/>
      <c r="C256" s="401" t="s">
        <v>9</v>
      </c>
      <c r="D256" s="399"/>
      <c r="E256" s="392" t="s">
        <v>76</v>
      </c>
      <c r="F256" s="759">
        <f>35969.9+62947.4</f>
        <v>98917.3</v>
      </c>
      <c r="G256" s="759">
        <v>47730.1</v>
      </c>
      <c r="H256" s="759">
        <v>3139.4</v>
      </c>
      <c r="I256" s="759">
        <v>3139.4</v>
      </c>
      <c r="J256" s="759">
        <v>3139.4</v>
      </c>
      <c r="K256" s="693" t="s">
        <v>1125</v>
      </c>
      <c r="L256" s="693"/>
      <c r="M256" s="915" t="s">
        <v>65</v>
      </c>
      <c r="N256" s="786" t="s">
        <v>66</v>
      </c>
      <c r="O256" s="398"/>
      <c r="P256" s="398"/>
      <c r="Q256" s="398"/>
    </row>
    <row r="257" spans="1:17" ht="99.75" x14ac:dyDescent="0.25">
      <c r="B257" s="393" t="s">
        <v>508</v>
      </c>
      <c r="C257" s="394"/>
      <c r="D257" s="399"/>
      <c r="E257" s="402" t="s">
        <v>77</v>
      </c>
      <c r="F257" s="672">
        <f>F258+F259</f>
        <v>82051.8</v>
      </c>
      <c r="G257" s="672">
        <f t="shared" ref="G257" si="33">G258+G259</f>
        <v>90654.6</v>
      </c>
      <c r="H257" s="469">
        <f>H258+H259</f>
        <v>41604.400000000001</v>
      </c>
      <c r="I257" s="469">
        <f t="shared" ref="I257:J257" si="34">I258+I259</f>
        <v>41604.400000000001</v>
      </c>
      <c r="J257" s="469">
        <f t="shared" si="34"/>
        <v>41604.400000000001</v>
      </c>
      <c r="K257" s="684" t="s">
        <v>1127</v>
      </c>
      <c r="L257" s="693"/>
      <c r="M257" s="500" t="s">
        <v>67</v>
      </c>
      <c r="N257" s="683" t="s">
        <v>68</v>
      </c>
      <c r="O257" s="398"/>
      <c r="P257" s="398"/>
      <c r="Q257" s="398"/>
    </row>
    <row r="258" spans="1:17" ht="75" x14ac:dyDescent="0.25">
      <c r="B258" s="677"/>
      <c r="C258" s="394" t="s">
        <v>5</v>
      </c>
      <c r="D258" s="399"/>
      <c r="E258" s="403" t="s">
        <v>78</v>
      </c>
      <c r="F258" s="470">
        <v>42666.9</v>
      </c>
      <c r="G258" s="786">
        <v>36624.5</v>
      </c>
      <c r="H258" s="759">
        <v>38620.5</v>
      </c>
      <c r="I258" s="759">
        <v>38620.5</v>
      </c>
      <c r="J258" s="759">
        <v>38620.5</v>
      </c>
      <c r="K258" s="659" t="s">
        <v>1128</v>
      </c>
      <c r="L258" s="693"/>
      <c r="M258" s="915" t="s">
        <v>69</v>
      </c>
      <c r="N258" s="786" t="s">
        <v>70</v>
      </c>
      <c r="O258" s="398"/>
      <c r="P258" s="398"/>
      <c r="Q258" s="398"/>
    </row>
    <row r="259" spans="1:17" ht="75" x14ac:dyDescent="0.25">
      <c r="B259" s="677"/>
      <c r="C259" s="394" t="s">
        <v>7</v>
      </c>
      <c r="D259" s="399"/>
      <c r="E259" s="403" t="s">
        <v>79</v>
      </c>
      <c r="F259" s="470">
        <v>39384.9</v>
      </c>
      <c r="G259" s="786">
        <v>54030.1</v>
      </c>
      <c r="H259" s="759">
        <v>2983.9</v>
      </c>
      <c r="I259" s="759">
        <v>2983.9</v>
      </c>
      <c r="J259" s="759">
        <v>2983.9</v>
      </c>
      <c r="K259" s="762" t="s">
        <v>1129</v>
      </c>
      <c r="L259" s="678"/>
      <c r="M259" s="664" t="s">
        <v>854</v>
      </c>
      <c r="N259" s="753" t="s">
        <v>855</v>
      </c>
      <c r="O259" s="404"/>
      <c r="P259" s="404"/>
      <c r="Q259" s="404"/>
    </row>
    <row r="260" spans="1:17" ht="99.75" x14ac:dyDescent="0.25">
      <c r="B260" s="393" t="s">
        <v>601</v>
      </c>
      <c r="C260" s="394"/>
      <c r="D260" s="397"/>
      <c r="E260" s="402" t="s">
        <v>80</v>
      </c>
      <c r="F260" s="672">
        <f t="shared" ref="F260:G260" si="35">F261+F262</f>
        <v>0</v>
      </c>
      <c r="G260" s="672">
        <f t="shared" si="35"/>
        <v>0</v>
      </c>
      <c r="H260" s="672">
        <f>H261+H262</f>
        <v>38342.400000000001</v>
      </c>
      <c r="I260" s="672">
        <f t="shared" ref="I260:J260" si="36">I261+I262</f>
        <v>38342.400000000001</v>
      </c>
      <c r="J260" s="672">
        <f t="shared" si="36"/>
        <v>38342.400000000001</v>
      </c>
      <c r="K260" s="684" t="s">
        <v>1127</v>
      </c>
      <c r="L260" s="693"/>
      <c r="M260" s="500" t="s">
        <v>67</v>
      </c>
      <c r="N260" s="683" t="s">
        <v>68</v>
      </c>
      <c r="O260" s="398"/>
      <c r="P260" s="398"/>
      <c r="Q260" s="398"/>
    </row>
    <row r="261" spans="1:17" ht="75" x14ac:dyDescent="0.25">
      <c r="B261" s="405"/>
      <c r="C261" s="394" t="s">
        <v>5</v>
      </c>
      <c r="D261" s="397"/>
      <c r="E261" s="403" t="s">
        <v>81</v>
      </c>
      <c r="F261" s="761"/>
      <c r="G261" s="761"/>
      <c r="H261" s="761">
        <v>33454.400000000001</v>
      </c>
      <c r="I261" s="761">
        <v>33454.400000000001</v>
      </c>
      <c r="J261" s="761">
        <v>33454.400000000001</v>
      </c>
      <c r="K261" s="659"/>
      <c r="L261" s="693"/>
      <c r="M261" s="915"/>
      <c r="N261" s="786"/>
      <c r="O261" s="398"/>
      <c r="P261" s="398"/>
      <c r="Q261" s="398"/>
    </row>
    <row r="262" spans="1:17" ht="75" x14ac:dyDescent="0.25">
      <c r="B262" s="405"/>
      <c r="C262" s="394" t="s">
        <v>7</v>
      </c>
      <c r="D262" s="397"/>
      <c r="E262" s="403" t="s">
        <v>82</v>
      </c>
      <c r="F262" s="761"/>
      <c r="G262" s="761"/>
      <c r="H262" s="761">
        <v>4888</v>
      </c>
      <c r="I262" s="761">
        <v>4888</v>
      </c>
      <c r="J262" s="761">
        <v>4888</v>
      </c>
      <c r="K262" s="659"/>
      <c r="L262" s="693"/>
      <c r="M262" s="915"/>
      <c r="N262" s="786"/>
      <c r="O262" s="398"/>
      <c r="P262" s="398"/>
      <c r="Q262" s="398"/>
    </row>
    <row r="263" spans="1:17" s="12" customFormat="1" x14ac:dyDescent="0.25">
      <c r="A263" s="2451" t="s">
        <v>85</v>
      </c>
      <c r="B263" s="2417"/>
      <c r="C263" s="2417"/>
      <c r="D263" s="2417"/>
      <c r="E263" s="2418"/>
      <c r="F263" s="8">
        <f>F242+F249+F253+F257+F260</f>
        <v>595163.30000000005</v>
      </c>
      <c r="G263" s="8">
        <f>G242+G249+G253+G257+G260</f>
        <v>600969.29999999993</v>
      </c>
      <c r="H263" s="544">
        <f>H242+H249+H253+H257+H260</f>
        <v>616208.60000000009</v>
      </c>
      <c r="I263" s="8">
        <f>I242+I249+I253+I257+I260</f>
        <v>615711.9</v>
      </c>
      <c r="J263" s="8">
        <f>J242+J249+J253+J257+J260</f>
        <v>616903.5</v>
      </c>
      <c r="K263" s="7"/>
      <c r="L263" s="8"/>
      <c r="M263" s="8"/>
      <c r="N263" s="8"/>
      <c r="O263" s="8"/>
      <c r="P263" s="8"/>
      <c r="Q263" s="8"/>
    </row>
    <row r="264" spans="1:17" ht="15.75" customHeight="1" x14ac:dyDescent="0.25">
      <c r="A264" s="1696" t="s">
        <v>515</v>
      </c>
      <c r="B264" s="1697"/>
      <c r="C264" s="1697"/>
      <c r="D264" s="1697"/>
      <c r="E264" s="1697"/>
      <c r="F264" s="1697"/>
      <c r="G264" s="1697"/>
      <c r="H264" s="1697"/>
      <c r="I264" s="1697"/>
      <c r="J264" s="1697"/>
      <c r="K264" s="1697"/>
      <c r="L264" s="1697"/>
      <c r="M264" s="1697"/>
      <c r="N264" s="1697"/>
      <c r="O264" s="1697"/>
      <c r="P264" s="1697"/>
      <c r="Q264" s="2302"/>
    </row>
    <row r="265" spans="1:17" ht="65.25" customHeight="1" x14ac:dyDescent="0.25">
      <c r="A265" s="109"/>
      <c r="B265" s="866">
        <v>1</v>
      </c>
      <c r="C265" s="550"/>
      <c r="D265" s="134"/>
      <c r="E265" s="523" t="s">
        <v>481</v>
      </c>
      <c r="F265" s="366">
        <f>F266+F267+F268+F269</f>
        <v>20151.7</v>
      </c>
      <c r="G265" s="366">
        <f>G266+G267+G268+G269</f>
        <v>15537.7</v>
      </c>
      <c r="H265" s="366">
        <f>H266+H267+H268+H269</f>
        <v>17024.099999999999</v>
      </c>
      <c r="I265" s="366">
        <f>I266+I267+I268+I269</f>
        <v>15260.4</v>
      </c>
      <c r="J265" s="366">
        <f>J266+J267+J268+J269</f>
        <v>15321</v>
      </c>
      <c r="K265" s="523" t="s">
        <v>482</v>
      </c>
      <c r="L265" s="340" t="s">
        <v>35</v>
      </c>
      <c r="M265" s="545"/>
      <c r="N265" s="545"/>
      <c r="O265" s="545"/>
      <c r="P265" s="545"/>
      <c r="Q265" s="545"/>
    </row>
    <row r="266" spans="1:17" x14ac:dyDescent="0.25">
      <c r="B266" s="865"/>
      <c r="C266" s="871">
        <v>1</v>
      </c>
      <c r="D266" s="133"/>
      <c r="E266" s="546" t="s">
        <v>6</v>
      </c>
      <c r="F266" s="364">
        <v>11690</v>
      </c>
      <c r="G266" s="364">
        <v>8964.2000000000007</v>
      </c>
      <c r="H266" s="364">
        <f>9036.8+633.1</f>
        <v>9669.9</v>
      </c>
      <c r="I266" s="364">
        <v>8479.4</v>
      </c>
      <c r="J266" s="364">
        <v>8479.4</v>
      </c>
      <c r="K266" s="522" t="s">
        <v>483</v>
      </c>
      <c r="L266" s="329" t="s">
        <v>35</v>
      </c>
      <c r="M266" s="721">
        <v>100</v>
      </c>
      <c r="N266" s="721">
        <v>100</v>
      </c>
      <c r="O266" s="721">
        <v>100</v>
      </c>
      <c r="P266" s="721">
        <v>100</v>
      </c>
      <c r="Q266" s="721">
        <v>100</v>
      </c>
    </row>
    <row r="267" spans="1:17" ht="30" x14ac:dyDescent="0.25">
      <c r="B267" s="865"/>
      <c r="C267" s="125">
        <v>2</v>
      </c>
      <c r="D267" s="133"/>
      <c r="E267" s="524" t="s">
        <v>484</v>
      </c>
      <c r="F267" s="364">
        <v>2821.2</v>
      </c>
      <c r="G267" s="364">
        <v>2283</v>
      </c>
      <c r="H267" s="364">
        <f>2262.2+295.4</f>
        <v>2557.6</v>
      </c>
      <c r="I267" s="364">
        <v>2383</v>
      </c>
      <c r="J267" s="364">
        <v>2383</v>
      </c>
      <c r="K267" s="522" t="s">
        <v>38</v>
      </c>
      <c r="L267" s="329" t="s">
        <v>35</v>
      </c>
      <c r="M267" s="721">
        <v>100</v>
      </c>
      <c r="N267" s="721">
        <v>100</v>
      </c>
      <c r="O267" s="721">
        <v>100</v>
      </c>
      <c r="P267" s="721">
        <v>100</v>
      </c>
      <c r="Q267" s="721">
        <v>100</v>
      </c>
    </row>
    <row r="268" spans="1:17" ht="30" x14ac:dyDescent="0.25">
      <c r="B268" s="865"/>
      <c r="C268" s="125">
        <v>3</v>
      </c>
      <c r="D268" s="133"/>
      <c r="E268" s="524" t="s">
        <v>10</v>
      </c>
      <c r="F268" s="364">
        <v>4433.3</v>
      </c>
      <c r="G268" s="364">
        <v>3494.5</v>
      </c>
      <c r="H268" s="364">
        <f>3454.8+551.6</f>
        <v>4006.4</v>
      </c>
      <c r="I268" s="364">
        <v>3602</v>
      </c>
      <c r="J268" s="364">
        <v>3602</v>
      </c>
      <c r="K268" s="522" t="s">
        <v>1130</v>
      </c>
      <c r="L268" s="329" t="s">
        <v>485</v>
      </c>
      <c r="M268" s="329" t="s">
        <v>486</v>
      </c>
      <c r="N268" s="329" t="s">
        <v>487</v>
      </c>
      <c r="O268" s="329" t="s">
        <v>842</v>
      </c>
      <c r="P268" s="329" t="s">
        <v>843</v>
      </c>
      <c r="Q268" s="329" t="s">
        <v>844</v>
      </c>
    </row>
    <row r="269" spans="1:17" ht="60" x14ac:dyDescent="0.25">
      <c r="B269" s="865"/>
      <c r="C269" s="125">
        <v>5</v>
      </c>
      <c r="D269" s="133"/>
      <c r="E269" s="524" t="s">
        <v>488</v>
      </c>
      <c r="F269" s="364">
        <v>1207.2</v>
      </c>
      <c r="G269" s="364">
        <v>796</v>
      </c>
      <c r="H269" s="364">
        <v>790.2</v>
      </c>
      <c r="I269" s="364">
        <v>796</v>
      </c>
      <c r="J269" s="364">
        <v>856.6</v>
      </c>
      <c r="K269" s="522" t="s">
        <v>489</v>
      </c>
      <c r="L269" s="329" t="s">
        <v>490</v>
      </c>
      <c r="M269" s="329">
        <v>62</v>
      </c>
      <c r="N269" s="329">
        <v>32</v>
      </c>
      <c r="O269" s="329">
        <v>60</v>
      </c>
      <c r="P269" s="329">
        <v>70</v>
      </c>
      <c r="Q269" s="329">
        <v>80</v>
      </c>
    </row>
    <row r="270" spans="1:17" ht="28.5" x14ac:dyDescent="0.25">
      <c r="B270" s="865">
        <v>2</v>
      </c>
      <c r="C270" s="828"/>
      <c r="D270" s="133"/>
      <c r="E270" s="526" t="s">
        <v>491</v>
      </c>
      <c r="F270" s="359">
        <f>F271+F272+F273</f>
        <v>8692.9000000000015</v>
      </c>
      <c r="G270" s="359">
        <f>G271+G272+G273</f>
        <v>6143.8</v>
      </c>
      <c r="H270" s="359">
        <f>H271+H272+H273</f>
        <v>6686.2000000000007</v>
      </c>
      <c r="I270" s="359">
        <f>I271+I272+I273</f>
        <v>6245.1</v>
      </c>
      <c r="J270" s="359">
        <f>J271+J272+J273</f>
        <v>6245.1</v>
      </c>
      <c r="K270" s="547" t="s">
        <v>492</v>
      </c>
      <c r="L270" s="329"/>
      <c r="M270" s="329"/>
      <c r="N270" s="329"/>
      <c r="O270" s="329"/>
      <c r="P270" s="329"/>
      <c r="Q270" s="329"/>
    </row>
    <row r="271" spans="1:17" ht="45" x14ac:dyDescent="0.25">
      <c r="B271" s="865"/>
      <c r="C271" s="828">
        <v>1</v>
      </c>
      <c r="D271" s="133"/>
      <c r="E271" s="522" t="s">
        <v>493</v>
      </c>
      <c r="F271" s="364">
        <v>3651</v>
      </c>
      <c r="G271" s="364">
        <v>2645.6</v>
      </c>
      <c r="H271" s="364">
        <f>2639.3+216.3</f>
        <v>2855.6000000000004</v>
      </c>
      <c r="I271" s="364">
        <v>2650</v>
      </c>
      <c r="J271" s="364">
        <v>2650</v>
      </c>
      <c r="K271" s="522" t="s">
        <v>1131</v>
      </c>
      <c r="L271" s="329" t="s">
        <v>490</v>
      </c>
      <c r="M271" s="329" t="s">
        <v>494</v>
      </c>
      <c r="N271" s="329" t="s">
        <v>495</v>
      </c>
      <c r="O271" s="329" t="s">
        <v>845</v>
      </c>
      <c r="P271" s="329" t="s">
        <v>846</v>
      </c>
      <c r="Q271" s="329" t="s">
        <v>847</v>
      </c>
    </row>
    <row r="272" spans="1:17" ht="45" x14ac:dyDescent="0.25">
      <c r="B272" s="865"/>
      <c r="C272" s="828">
        <v>2</v>
      </c>
      <c r="D272" s="133"/>
      <c r="E272" s="522" t="s">
        <v>496</v>
      </c>
      <c r="F272" s="364">
        <v>2868.6</v>
      </c>
      <c r="G272" s="364">
        <v>2067</v>
      </c>
      <c r="H272" s="364">
        <f>2067+166.2</f>
        <v>2233.1999999999998</v>
      </c>
      <c r="I272" s="364">
        <v>2067</v>
      </c>
      <c r="J272" s="364">
        <v>2067</v>
      </c>
      <c r="K272" s="548" t="s">
        <v>497</v>
      </c>
      <c r="L272" s="329" t="s">
        <v>498</v>
      </c>
      <c r="M272" s="329">
        <v>188</v>
      </c>
      <c r="N272" s="329">
        <v>74</v>
      </c>
      <c r="O272" s="329">
        <v>150</v>
      </c>
      <c r="P272" s="329">
        <v>160</v>
      </c>
      <c r="Q272" s="329">
        <v>170</v>
      </c>
    </row>
    <row r="273" spans="1:17" ht="45" x14ac:dyDescent="0.25">
      <c r="B273" s="865"/>
      <c r="C273" s="551" t="s">
        <v>9</v>
      </c>
      <c r="D273" s="133"/>
      <c r="E273" s="522" t="s">
        <v>1134</v>
      </c>
      <c r="F273" s="364">
        <v>2173.3000000000002</v>
      </c>
      <c r="G273" s="364">
        <v>1431.2</v>
      </c>
      <c r="H273" s="364">
        <f>1431.2+166.2</f>
        <v>1597.4</v>
      </c>
      <c r="I273" s="364">
        <v>1528.1</v>
      </c>
      <c r="J273" s="364">
        <v>1528.1</v>
      </c>
      <c r="K273" s="548" t="s">
        <v>499</v>
      </c>
      <c r="L273" s="329" t="s">
        <v>490</v>
      </c>
      <c r="M273" s="328">
        <v>10</v>
      </c>
      <c r="N273" s="328">
        <v>8</v>
      </c>
      <c r="O273" s="328">
        <v>10</v>
      </c>
      <c r="P273" s="328">
        <v>12</v>
      </c>
      <c r="Q273" s="328">
        <v>14</v>
      </c>
    </row>
    <row r="274" spans="1:17" ht="28.5" x14ac:dyDescent="0.25">
      <c r="B274" s="552" t="s">
        <v>500</v>
      </c>
      <c r="C274" s="551"/>
      <c r="D274" s="133"/>
      <c r="E274" s="547" t="s">
        <v>1135</v>
      </c>
      <c r="F274" s="367">
        <f>F275+F276</f>
        <v>6322</v>
      </c>
      <c r="G274" s="367">
        <f>G275+G276</f>
        <v>5226.6000000000004</v>
      </c>
      <c r="H274" s="367">
        <f>H275+H276</f>
        <v>5775.6</v>
      </c>
      <c r="I274" s="367">
        <f>I275+I276</f>
        <v>5327.9</v>
      </c>
      <c r="J274" s="367">
        <f>J275+J276</f>
        <v>5327.9</v>
      </c>
      <c r="K274" s="547" t="s">
        <v>501</v>
      </c>
      <c r="L274" s="329"/>
      <c r="M274" s="328"/>
      <c r="N274" s="331"/>
      <c r="O274" s="331"/>
      <c r="P274" s="331"/>
      <c r="Q274" s="331"/>
    </row>
    <row r="275" spans="1:17" ht="30" x14ac:dyDescent="0.25">
      <c r="B275" s="552"/>
      <c r="C275" s="551" t="s">
        <v>5</v>
      </c>
      <c r="D275" s="133"/>
      <c r="E275" s="522" t="s">
        <v>502</v>
      </c>
      <c r="F275" s="608">
        <v>4299</v>
      </c>
      <c r="G275" s="608">
        <v>3522.6</v>
      </c>
      <c r="H275" s="364">
        <f>3522.6+419.5</f>
        <v>3942.1</v>
      </c>
      <c r="I275" s="364">
        <v>3536</v>
      </c>
      <c r="J275" s="364">
        <v>3536</v>
      </c>
      <c r="K275" s="548" t="s">
        <v>1132</v>
      </c>
      <c r="L275" s="329" t="s">
        <v>503</v>
      </c>
      <c r="M275" s="328" t="s">
        <v>504</v>
      </c>
      <c r="N275" s="328" t="s">
        <v>505</v>
      </c>
      <c r="O275" s="328" t="s">
        <v>848</v>
      </c>
      <c r="P275" s="328" t="s">
        <v>849</v>
      </c>
      <c r="Q275" s="328" t="s">
        <v>850</v>
      </c>
    </row>
    <row r="276" spans="1:17" ht="45" x14ac:dyDescent="0.25">
      <c r="B276" s="552"/>
      <c r="C276" s="551" t="s">
        <v>7</v>
      </c>
      <c r="D276" s="133"/>
      <c r="E276" s="522" t="s">
        <v>506</v>
      </c>
      <c r="F276" s="608">
        <v>2023</v>
      </c>
      <c r="G276" s="608">
        <v>1704</v>
      </c>
      <c r="H276" s="364">
        <f>1704+129.5</f>
        <v>1833.5</v>
      </c>
      <c r="I276" s="364">
        <v>1791.9</v>
      </c>
      <c r="J276" s="364">
        <v>1791.9</v>
      </c>
      <c r="K276" s="548" t="s">
        <v>507</v>
      </c>
      <c r="L276" s="328" t="s">
        <v>35</v>
      </c>
      <c r="M276" s="328">
        <v>100</v>
      </c>
      <c r="N276" s="328">
        <v>100</v>
      </c>
      <c r="O276" s="328">
        <v>100</v>
      </c>
      <c r="P276" s="328">
        <v>100</v>
      </c>
      <c r="Q276" s="328">
        <v>100</v>
      </c>
    </row>
    <row r="277" spans="1:17" ht="42.75" x14ac:dyDescent="0.25">
      <c r="B277" s="552" t="s">
        <v>508</v>
      </c>
      <c r="C277" s="551"/>
      <c r="D277" s="133"/>
      <c r="E277" s="547" t="s">
        <v>509</v>
      </c>
      <c r="F277" s="367">
        <f>F278+F279</f>
        <v>4346.6000000000004</v>
      </c>
      <c r="G277" s="367">
        <f>G278+G279</f>
        <v>3808.4</v>
      </c>
      <c r="H277" s="367">
        <f>H278+H279</f>
        <v>4230.6000000000004</v>
      </c>
      <c r="I277" s="367">
        <f>I278+I279</f>
        <v>3909.9</v>
      </c>
      <c r="J277" s="367">
        <f>J278+J279</f>
        <v>3909.9</v>
      </c>
      <c r="K277" s="547" t="s">
        <v>510</v>
      </c>
      <c r="L277" s="328"/>
      <c r="M277" s="328"/>
      <c r="N277" s="331"/>
      <c r="O277" s="331"/>
      <c r="P277" s="331"/>
      <c r="Q277" s="331"/>
    </row>
    <row r="278" spans="1:17" ht="30" x14ac:dyDescent="0.25">
      <c r="B278" s="552"/>
      <c r="C278" s="551" t="s">
        <v>5</v>
      </c>
      <c r="D278" s="133"/>
      <c r="E278" s="548" t="s">
        <v>511</v>
      </c>
      <c r="F278" s="608">
        <v>2173.3000000000002</v>
      </c>
      <c r="G278" s="608">
        <v>1904.7</v>
      </c>
      <c r="H278" s="364">
        <f>1905.1+211.1</f>
        <v>2116.1999999999998</v>
      </c>
      <c r="I278" s="364">
        <v>1976.2</v>
      </c>
      <c r="J278" s="364">
        <v>1976.2</v>
      </c>
      <c r="K278" s="548" t="s">
        <v>512</v>
      </c>
      <c r="L278" s="329" t="s">
        <v>503</v>
      </c>
      <c r="M278" s="328" t="s">
        <v>486</v>
      </c>
      <c r="N278" s="328" t="s">
        <v>487</v>
      </c>
      <c r="O278" s="328" t="s">
        <v>842</v>
      </c>
      <c r="P278" s="328" t="s">
        <v>843</v>
      </c>
      <c r="Q278" s="328" t="s">
        <v>844</v>
      </c>
    </row>
    <row r="279" spans="1:17" ht="30" x14ac:dyDescent="0.25">
      <c r="B279" s="525"/>
      <c r="C279" s="527" t="s">
        <v>7</v>
      </c>
      <c r="D279" s="204"/>
      <c r="E279" s="549" t="s">
        <v>513</v>
      </c>
      <c r="F279" s="368">
        <v>2173.3000000000002</v>
      </c>
      <c r="G279" s="368">
        <v>1903.7</v>
      </c>
      <c r="H279" s="368">
        <f>1903.3+211.1</f>
        <v>2114.4</v>
      </c>
      <c r="I279" s="368">
        <v>1933.7</v>
      </c>
      <c r="J279" s="368">
        <v>1933.7</v>
      </c>
      <c r="K279" s="726" t="s">
        <v>1133</v>
      </c>
      <c r="L279" s="330" t="s">
        <v>514</v>
      </c>
      <c r="M279" s="356">
        <v>149</v>
      </c>
      <c r="N279" s="356">
        <v>68</v>
      </c>
      <c r="O279" s="356">
        <v>200</v>
      </c>
      <c r="P279" s="356">
        <v>250</v>
      </c>
      <c r="Q279" s="356">
        <v>300</v>
      </c>
    </row>
    <row r="280" spans="1:17" x14ac:dyDescent="0.25">
      <c r="A280" s="2517" t="s">
        <v>85</v>
      </c>
      <c r="B280" s="2517"/>
      <c r="C280" s="2517"/>
      <c r="D280" s="2517"/>
      <c r="E280" s="2517"/>
      <c r="F280" s="8">
        <f>F265+F270+F274+F277</f>
        <v>39513.200000000004</v>
      </c>
      <c r="G280" s="8">
        <f>G265+G270+G274+G277</f>
        <v>30716.5</v>
      </c>
      <c r="H280" s="8">
        <f>H265+H270+H274+H277</f>
        <v>33716.5</v>
      </c>
      <c r="I280" s="8">
        <f>I265+I270+I274+I277</f>
        <v>30743.300000000003</v>
      </c>
      <c r="J280" s="8">
        <f>J265+J270+J274+J277</f>
        <v>30803.9</v>
      </c>
      <c r="K280" s="553"/>
      <c r="L280" s="2092"/>
      <c r="M280" s="2092"/>
      <c r="N280" s="2092"/>
      <c r="O280" s="2092"/>
      <c r="P280" s="2092"/>
      <c r="Q280" s="2092"/>
    </row>
    <row r="281" spans="1:17" x14ac:dyDescent="0.25">
      <c r="A281" s="1696" t="s">
        <v>478</v>
      </c>
      <c r="B281" s="1697"/>
      <c r="C281" s="1697"/>
      <c r="D281" s="1697"/>
      <c r="E281" s="1697"/>
      <c r="F281" s="1697"/>
      <c r="G281" s="1697"/>
      <c r="H281" s="1697"/>
      <c r="I281" s="1697"/>
      <c r="J281" s="1697"/>
      <c r="K281" s="1697"/>
      <c r="L281" s="1697"/>
      <c r="M281" s="1697"/>
      <c r="N281" s="1697"/>
      <c r="O281" s="1697"/>
      <c r="P281" s="1697"/>
      <c r="Q281" s="2302"/>
    </row>
    <row r="282" spans="1:17" ht="73.5" x14ac:dyDescent="0.25">
      <c r="B282" s="925">
        <v>1</v>
      </c>
      <c r="C282" s="46"/>
      <c r="D282" s="135"/>
      <c r="E282" s="124" t="s">
        <v>71</v>
      </c>
      <c r="F282" s="554">
        <f>SUM(F283:F290)</f>
        <v>21740</v>
      </c>
      <c r="G282" s="554">
        <f t="shared" ref="G282" si="37">SUM(G283:G290)</f>
        <v>24341.699999999997</v>
      </c>
      <c r="H282" s="554">
        <f t="shared" ref="H282" si="38">SUM(H283:H290)</f>
        <v>41737.64</v>
      </c>
      <c r="I282" s="554">
        <f t="shared" ref="I282" si="39">SUM(I283:I290)</f>
        <v>41651.46</v>
      </c>
      <c r="J282" s="554">
        <f t="shared" ref="J282" si="40">SUM(J283:J290)</f>
        <v>41756.26</v>
      </c>
      <c r="K282" s="798" t="s">
        <v>34</v>
      </c>
      <c r="L282" s="775" t="s">
        <v>35</v>
      </c>
      <c r="M282" s="775"/>
      <c r="N282" s="775"/>
      <c r="O282" s="775"/>
      <c r="P282" s="775"/>
      <c r="Q282" s="775"/>
    </row>
    <row r="283" spans="1:17" x14ac:dyDescent="0.25">
      <c r="B283" s="925"/>
      <c r="C283" s="821">
        <v>1</v>
      </c>
      <c r="D283" s="887"/>
      <c r="E283" s="136" t="s">
        <v>6</v>
      </c>
      <c r="F283" s="720">
        <v>4066.2</v>
      </c>
      <c r="G283" s="79">
        <v>4656.1000000000004</v>
      </c>
      <c r="H283" s="137">
        <v>7377.32</v>
      </c>
      <c r="I283" s="761">
        <v>7291.14</v>
      </c>
      <c r="J283" s="761">
        <v>7291.14</v>
      </c>
      <c r="K283" s="774" t="s">
        <v>36</v>
      </c>
      <c r="L283" s="915" t="s">
        <v>37</v>
      </c>
      <c r="M283" s="915"/>
      <c r="N283" s="915"/>
      <c r="O283" s="915"/>
      <c r="P283" s="915"/>
      <c r="Q283" s="915"/>
    </row>
    <row r="284" spans="1:17" ht="30" x14ac:dyDescent="0.25">
      <c r="B284" s="925"/>
      <c r="C284" s="828">
        <v>2</v>
      </c>
      <c r="D284" s="887"/>
      <c r="E284" s="126" t="s">
        <v>8</v>
      </c>
      <c r="F284" s="720">
        <v>1350</v>
      </c>
      <c r="G284" s="79">
        <v>1510.3</v>
      </c>
      <c r="H284" s="761">
        <v>2539.7800000000002</v>
      </c>
      <c r="I284" s="761">
        <v>2539.7800000000002</v>
      </c>
      <c r="J284" s="761">
        <v>2539.7800000000002</v>
      </c>
      <c r="K284" s="774" t="s">
        <v>38</v>
      </c>
      <c r="L284" s="915" t="s">
        <v>35</v>
      </c>
      <c r="M284" s="915">
        <v>100</v>
      </c>
      <c r="N284" s="915">
        <v>100</v>
      </c>
      <c r="O284" s="915">
        <v>100</v>
      </c>
      <c r="P284" s="915">
        <v>100</v>
      </c>
      <c r="Q284" s="915">
        <v>100</v>
      </c>
    </row>
    <row r="285" spans="1:17" ht="30" x14ac:dyDescent="0.25">
      <c r="B285" s="925"/>
      <c r="C285" s="828">
        <v>3</v>
      </c>
      <c r="D285" s="887"/>
      <c r="E285" s="126" t="s">
        <v>10</v>
      </c>
      <c r="F285" s="720">
        <v>615</v>
      </c>
      <c r="G285" s="79">
        <v>815.7</v>
      </c>
      <c r="H285" s="761">
        <v>1221.74</v>
      </c>
      <c r="I285" s="761">
        <v>1221.74</v>
      </c>
      <c r="J285" s="761">
        <v>1221.74</v>
      </c>
      <c r="K285" s="10" t="s">
        <v>39</v>
      </c>
      <c r="L285" s="915" t="s">
        <v>35</v>
      </c>
      <c r="M285" s="915">
        <v>91.2</v>
      </c>
      <c r="N285" s="915">
        <v>92.2</v>
      </c>
      <c r="O285" s="915">
        <v>92.3</v>
      </c>
      <c r="P285" s="915">
        <v>93.1</v>
      </c>
      <c r="Q285" s="915">
        <v>93.2</v>
      </c>
    </row>
    <row r="286" spans="1:17" ht="30" x14ac:dyDescent="0.25">
      <c r="B286" s="925"/>
      <c r="C286" s="828">
        <v>4</v>
      </c>
      <c r="D286" s="887"/>
      <c r="E286" s="126" t="s">
        <v>12</v>
      </c>
      <c r="F286" s="720">
        <v>1149</v>
      </c>
      <c r="G286" s="838">
        <v>1349</v>
      </c>
      <c r="H286" s="761">
        <v>2270.63</v>
      </c>
      <c r="I286" s="761">
        <v>2270.63</v>
      </c>
      <c r="J286" s="761">
        <v>2270.63</v>
      </c>
      <c r="K286" s="774" t="s">
        <v>191</v>
      </c>
      <c r="L286" s="915" t="s">
        <v>192</v>
      </c>
      <c r="M286" s="915">
        <v>78.3</v>
      </c>
      <c r="N286" s="915">
        <v>78.400000000000006</v>
      </c>
      <c r="O286" s="915">
        <v>78.5</v>
      </c>
      <c r="P286" s="915">
        <v>78.599999999999994</v>
      </c>
      <c r="Q286" s="915">
        <v>79.099999999999994</v>
      </c>
    </row>
    <row r="287" spans="1:17" ht="30" x14ac:dyDescent="0.25">
      <c r="B287" s="925"/>
      <c r="C287" s="828">
        <v>5</v>
      </c>
      <c r="D287" s="887"/>
      <c r="E287" s="126" t="s">
        <v>13</v>
      </c>
      <c r="F287" s="720">
        <v>1187</v>
      </c>
      <c r="G287" s="79">
        <v>1337.3</v>
      </c>
      <c r="H287" s="761">
        <v>2242.39</v>
      </c>
      <c r="I287" s="761">
        <v>2242.39</v>
      </c>
      <c r="J287" s="761">
        <v>2242.39</v>
      </c>
      <c r="K287" s="774" t="s">
        <v>45</v>
      </c>
      <c r="L287" s="915" t="s">
        <v>40</v>
      </c>
      <c r="M287" s="915">
        <v>100</v>
      </c>
      <c r="N287" s="915">
        <v>100</v>
      </c>
      <c r="O287" s="915">
        <v>100</v>
      </c>
      <c r="P287" s="915">
        <v>100</v>
      </c>
      <c r="Q287" s="915">
        <v>100</v>
      </c>
    </row>
    <row r="288" spans="1:17" ht="45" x14ac:dyDescent="0.25">
      <c r="B288" s="925"/>
      <c r="C288" s="828">
        <v>6</v>
      </c>
      <c r="D288" s="887"/>
      <c r="E288" s="918" t="s">
        <v>14</v>
      </c>
      <c r="F288" s="720">
        <v>3020</v>
      </c>
      <c r="G288" s="79">
        <v>3719.7</v>
      </c>
      <c r="H288" s="137">
        <v>6539</v>
      </c>
      <c r="I288" s="761">
        <v>6539</v>
      </c>
      <c r="J288" s="761">
        <v>6539</v>
      </c>
      <c r="K288" s="774" t="s">
        <v>463</v>
      </c>
      <c r="L288" s="915" t="s">
        <v>35</v>
      </c>
      <c r="M288" s="915">
        <v>7.5</v>
      </c>
      <c r="N288" s="915">
        <v>8.5</v>
      </c>
      <c r="O288" s="915">
        <v>8.9</v>
      </c>
      <c r="P288" s="915">
        <v>9.5</v>
      </c>
      <c r="Q288" s="915">
        <v>9.9</v>
      </c>
    </row>
    <row r="289" spans="1:17" ht="45" x14ac:dyDescent="0.25">
      <c r="B289" s="925"/>
      <c r="C289" s="828">
        <v>7</v>
      </c>
      <c r="D289" s="887"/>
      <c r="E289" s="918" t="s">
        <v>464</v>
      </c>
      <c r="F289" s="720">
        <v>3131</v>
      </c>
      <c r="G289" s="79">
        <v>3731.8</v>
      </c>
      <c r="H289" s="137">
        <v>6707.4</v>
      </c>
      <c r="I289" s="761">
        <v>6707.4</v>
      </c>
      <c r="J289" s="761">
        <v>6707.4</v>
      </c>
      <c r="K289" s="138" t="s">
        <v>465</v>
      </c>
      <c r="L289" s="915">
        <v>98.9</v>
      </c>
      <c r="M289" s="915">
        <v>99.9</v>
      </c>
      <c r="N289" s="915">
        <v>100</v>
      </c>
      <c r="O289" s="915">
        <v>100</v>
      </c>
      <c r="P289" s="915">
        <v>100</v>
      </c>
      <c r="Q289" s="915">
        <v>100</v>
      </c>
    </row>
    <row r="290" spans="1:17" ht="30" x14ac:dyDescent="0.25">
      <c r="B290" s="925"/>
      <c r="C290" s="828">
        <v>8</v>
      </c>
      <c r="D290" s="887"/>
      <c r="E290" s="918" t="s">
        <v>333</v>
      </c>
      <c r="F290" s="720">
        <v>7221.8</v>
      </c>
      <c r="G290" s="79">
        <v>7221.8</v>
      </c>
      <c r="H290" s="137">
        <v>12839.38</v>
      </c>
      <c r="I290" s="761">
        <v>12839.38</v>
      </c>
      <c r="J290" s="761">
        <v>12944.18</v>
      </c>
      <c r="K290" s="774" t="s">
        <v>466</v>
      </c>
      <c r="L290" s="915">
        <v>89.2</v>
      </c>
      <c r="M290" s="915">
        <v>89.9</v>
      </c>
      <c r="N290" s="915">
        <v>90</v>
      </c>
      <c r="O290" s="915">
        <v>90.1</v>
      </c>
      <c r="P290" s="915">
        <v>90.6</v>
      </c>
      <c r="Q290" s="915">
        <v>90.7</v>
      </c>
    </row>
    <row r="291" spans="1:17" ht="87" x14ac:dyDescent="0.25">
      <c r="B291" s="555" t="s">
        <v>467</v>
      </c>
      <c r="C291" s="702"/>
      <c r="D291" s="139"/>
      <c r="E291" s="797" t="s">
        <v>926</v>
      </c>
      <c r="F291" s="314">
        <f>SUM(F292:F297)</f>
        <v>5762</v>
      </c>
      <c r="G291" s="314">
        <f t="shared" ref="G291" si="41">SUM(G292:G297)</f>
        <v>7262</v>
      </c>
      <c r="H291" s="314">
        <f t="shared" ref="H291" si="42">SUM(H292:H297)</f>
        <v>12104.460000000001</v>
      </c>
      <c r="I291" s="314">
        <f t="shared" ref="I291" si="43">SUM(I292:I297)</f>
        <v>12104.460000000001</v>
      </c>
      <c r="J291" s="314">
        <f t="shared" ref="J291" si="44">SUM(J292:J297)</f>
        <v>12104.460000000001</v>
      </c>
      <c r="K291" s="918" t="s">
        <v>1136</v>
      </c>
      <c r="L291" s="918">
        <v>88.5</v>
      </c>
      <c r="M291" s="918">
        <v>88.6</v>
      </c>
      <c r="N291" s="121">
        <v>90.1</v>
      </c>
      <c r="O291" s="121">
        <v>90.5</v>
      </c>
      <c r="P291" s="121">
        <v>90.9</v>
      </c>
      <c r="Q291" s="121">
        <v>100</v>
      </c>
    </row>
    <row r="292" spans="1:17" ht="30" x14ac:dyDescent="0.25">
      <c r="B292" s="555"/>
      <c r="C292" s="821">
        <v>1</v>
      </c>
      <c r="D292" s="139"/>
      <c r="E292" s="918" t="s">
        <v>468</v>
      </c>
      <c r="F292" s="720">
        <v>947</v>
      </c>
      <c r="G292" s="931">
        <v>1269</v>
      </c>
      <c r="H292" s="140">
        <v>2122.88</v>
      </c>
      <c r="I292" s="877">
        <v>2122.88</v>
      </c>
      <c r="J292" s="877">
        <v>2122.88</v>
      </c>
      <c r="K292" s="918" t="s">
        <v>469</v>
      </c>
      <c r="L292" s="918">
        <v>90</v>
      </c>
      <c r="M292" s="918">
        <v>91.2</v>
      </c>
      <c r="N292" s="141">
        <v>92</v>
      </c>
      <c r="O292" s="141">
        <v>93</v>
      </c>
      <c r="P292" s="141">
        <v>95</v>
      </c>
      <c r="Q292" s="141">
        <v>96</v>
      </c>
    </row>
    <row r="293" spans="1:17" ht="45" x14ac:dyDescent="0.25">
      <c r="B293" s="555"/>
      <c r="C293" s="828">
        <v>2</v>
      </c>
      <c r="D293" s="139"/>
      <c r="E293" s="918" t="s">
        <v>470</v>
      </c>
      <c r="F293" s="720">
        <v>1260.2</v>
      </c>
      <c r="G293" s="931">
        <v>1498.4</v>
      </c>
      <c r="H293" s="140">
        <v>2449.66</v>
      </c>
      <c r="I293" s="877">
        <v>2449.66</v>
      </c>
      <c r="J293" s="877">
        <v>2449.66</v>
      </c>
      <c r="K293" s="918" t="s">
        <v>471</v>
      </c>
      <c r="L293" s="918">
        <v>50.6</v>
      </c>
      <c r="M293" s="918">
        <v>50.7</v>
      </c>
      <c r="N293" s="141">
        <v>50.8</v>
      </c>
      <c r="O293" s="141">
        <v>50.9</v>
      </c>
      <c r="P293" s="141">
        <v>61.2</v>
      </c>
      <c r="Q293" s="141">
        <v>61.3</v>
      </c>
    </row>
    <row r="294" spans="1:17" ht="45" x14ac:dyDescent="0.25">
      <c r="B294" s="555"/>
      <c r="C294" s="828">
        <v>3</v>
      </c>
      <c r="D294" s="139"/>
      <c r="E294" s="918" t="s">
        <v>472</v>
      </c>
      <c r="F294" s="720">
        <v>1208.8</v>
      </c>
      <c r="G294" s="931">
        <v>2373.8000000000002</v>
      </c>
      <c r="H294" s="140">
        <v>2493.16</v>
      </c>
      <c r="I294" s="877">
        <v>2493.16</v>
      </c>
      <c r="J294" s="877">
        <v>2493.16</v>
      </c>
      <c r="K294" s="918" t="s">
        <v>1137</v>
      </c>
      <c r="L294" s="918">
        <v>62.3</v>
      </c>
      <c r="M294" s="918">
        <v>64.7</v>
      </c>
      <c r="N294" s="141">
        <v>64.900000000000006</v>
      </c>
      <c r="O294" s="141">
        <v>65</v>
      </c>
      <c r="P294" s="141">
        <v>65.599999999999994</v>
      </c>
      <c r="Q294" s="141">
        <v>65.900000000000006</v>
      </c>
    </row>
    <row r="295" spans="1:17" ht="60" x14ac:dyDescent="0.25">
      <c r="B295" s="555"/>
      <c r="C295" s="828">
        <v>4</v>
      </c>
      <c r="D295" s="139"/>
      <c r="E295" s="774" t="s">
        <v>473</v>
      </c>
      <c r="F295" s="720">
        <v>823.4</v>
      </c>
      <c r="G295" s="79">
        <v>1061.9000000000001</v>
      </c>
      <c r="H295" s="137">
        <v>1636.14</v>
      </c>
      <c r="I295" s="761">
        <v>1636.14</v>
      </c>
      <c r="J295" s="761">
        <v>1636.14</v>
      </c>
      <c r="K295" s="918" t="s">
        <v>474</v>
      </c>
      <c r="L295" s="918">
        <v>48.6</v>
      </c>
      <c r="M295" s="918">
        <v>50.8</v>
      </c>
      <c r="N295" s="122">
        <v>52</v>
      </c>
      <c r="O295" s="122">
        <v>54.8</v>
      </c>
      <c r="P295" s="122">
        <v>55.2</v>
      </c>
      <c r="Q295" s="122">
        <v>59.5</v>
      </c>
    </row>
    <row r="296" spans="1:17" ht="30" x14ac:dyDescent="0.25">
      <c r="B296" s="555"/>
      <c r="C296" s="828">
        <v>5</v>
      </c>
      <c r="D296" s="139"/>
      <c r="E296" s="918" t="s">
        <v>475</v>
      </c>
      <c r="F296" s="720">
        <v>964</v>
      </c>
      <c r="G296" s="877">
        <f>1139.2-80.3</f>
        <v>1058.9000000000001</v>
      </c>
      <c r="H296" s="140">
        <v>2137.88</v>
      </c>
      <c r="I296" s="877">
        <v>2137.88</v>
      </c>
      <c r="J296" s="877">
        <v>2137.88</v>
      </c>
      <c r="K296" s="918" t="s">
        <v>476</v>
      </c>
      <c r="L296" s="918">
        <v>50.8</v>
      </c>
      <c r="M296" s="918">
        <v>51.2</v>
      </c>
      <c r="N296" s="141">
        <v>52.4</v>
      </c>
      <c r="O296" s="141">
        <v>53.7</v>
      </c>
      <c r="P296" s="141">
        <v>54.8</v>
      </c>
      <c r="Q296" s="141">
        <v>54.9</v>
      </c>
    </row>
    <row r="297" spans="1:17" ht="30.75" thickBot="1" x14ac:dyDescent="0.3">
      <c r="B297" s="555"/>
      <c r="C297" s="828">
        <v>6</v>
      </c>
      <c r="D297" s="139"/>
      <c r="E297" s="918" t="s">
        <v>477</v>
      </c>
      <c r="F297" s="720">
        <v>558.6</v>
      </c>
      <c r="G297" s="877">
        <v>0</v>
      </c>
      <c r="H297" s="140">
        <v>1264.74</v>
      </c>
      <c r="I297" s="877">
        <v>1264.74</v>
      </c>
      <c r="J297" s="877">
        <v>1264.74</v>
      </c>
      <c r="K297" s="918" t="s">
        <v>38</v>
      </c>
      <c r="L297" s="918">
        <v>100</v>
      </c>
      <c r="M297" s="918">
        <v>100</v>
      </c>
      <c r="N297" s="142">
        <v>100</v>
      </c>
      <c r="O297" s="142">
        <v>100</v>
      </c>
      <c r="P297" s="142">
        <v>100</v>
      </c>
      <c r="Q297" s="142">
        <v>100</v>
      </c>
    </row>
    <row r="298" spans="1:17" ht="15.75" hidden="1" thickBot="1" x14ac:dyDescent="0.3">
      <c r="B298" s="699"/>
      <c r="C298" s="793"/>
      <c r="D298" s="139"/>
      <c r="E298" s="918"/>
      <c r="F298" s="314"/>
      <c r="G298" s="920"/>
      <c r="H298" s="920"/>
      <c r="I298" s="916"/>
      <c r="J298" s="916"/>
      <c r="K298" s="918"/>
      <c r="L298" s="918"/>
      <c r="M298" s="918"/>
      <c r="N298" s="141"/>
      <c r="O298" s="141"/>
      <c r="P298" s="141"/>
      <c r="Q298" s="141"/>
    </row>
    <row r="299" spans="1:17" x14ac:dyDescent="0.25">
      <c r="A299" s="854" t="s">
        <v>479</v>
      </c>
      <c r="B299" s="696" t="s">
        <v>85</v>
      </c>
      <c r="C299" s="696"/>
      <c r="D299" s="696"/>
      <c r="E299" s="696"/>
      <c r="F299" s="310">
        <f t="shared" ref="F299:J299" si="45">F282+F291</f>
        <v>27502</v>
      </c>
      <c r="G299" s="310">
        <f t="shared" si="45"/>
        <v>31603.699999999997</v>
      </c>
      <c r="H299" s="310">
        <f t="shared" si="45"/>
        <v>53842.1</v>
      </c>
      <c r="I299" s="310">
        <f t="shared" si="45"/>
        <v>53755.92</v>
      </c>
      <c r="J299" s="310">
        <f t="shared" si="45"/>
        <v>53860.72</v>
      </c>
      <c r="K299" s="143"/>
      <c r="L299" s="2519"/>
      <c r="M299" s="2519"/>
      <c r="N299" s="2519"/>
      <c r="O299" s="2519"/>
      <c r="P299" s="2519"/>
      <c r="Q299" s="2520"/>
    </row>
    <row r="300" spans="1:17" x14ac:dyDescent="0.25">
      <c r="A300" s="2508" t="s">
        <v>1138</v>
      </c>
      <c r="B300" s="2508"/>
      <c r="C300" s="2508"/>
      <c r="D300" s="2508"/>
      <c r="E300" s="2508"/>
      <c r="F300" s="2508"/>
      <c r="G300" s="2508"/>
      <c r="H300" s="2508"/>
      <c r="I300" s="2508"/>
      <c r="J300" s="2508"/>
      <c r="K300" s="2508"/>
      <c r="L300" s="2508"/>
      <c r="M300" s="2508"/>
      <c r="N300" s="2508"/>
      <c r="O300" s="2508"/>
      <c r="P300" s="2508"/>
      <c r="Q300" s="2508"/>
    </row>
    <row r="301" spans="1:17" s="459" customFormat="1" ht="81" customHeight="1" x14ac:dyDescent="0.25">
      <c r="B301" s="742">
        <v>1</v>
      </c>
      <c r="C301" s="708"/>
      <c r="D301" s="709"/>
      <c r="E301" s="484" t="s">
        <v>902</v>
      </c>
      <c r="F301" s="208">
        <f>SUM(F302:F311)</f>
        <v>41492.9</v>
      </c>
      <c r="G301" s="208">
        <f>SUM(G302:G311)</f>
        <v>55348.100000000006</v>
      </c>
      <c r="H301" s="208">
        <f>H312</f>
        <v>91201.9</v>
      </c>
      <c r="I301" s="208">
        <f>I312</f>
        <v>75673.899999999994</v>
      </c>
      <c r="J301" s="208">
        <f>J312</f>
        <v>75746.100000000006</v>
      </c>
      <c r="K301" s="712" t="s">
        <v>34</v>
      </c>
      <c r="L301" s="922" t="s">
        <v>35</v>
      </c>
      <c r="M301" s="922"/>
      <c r="N301" s="922"/>
      <c r="O301" s="922"/>
      <c r="P301" s="922"/>
      <c r="Q301" s="922"/>
    </row>
    <row r="302" spans="1:17" s="459" customFormat="1" x14ac:dyDescent="0.25">
      <c r="B302" s="743"/>
      <c r="C302" s="862">
        <v>1</v>
      </c>
      <c r="D302" s="744"/>
      <c r="E302" s="492" t="s">
        <v>6</v>
      </c>
      <c r="F302" s="706">
        <v>26615.8</v>
      </c>
      <c r="G302" s="481">
        <v>9951.2000000000007</v>
      </c>
      <c r="H302" s="706"/>
      <c r="I302" s="706"/>
      <c r="J302" s="706"/>
      <c r="K302" s="659" t="s">
        <v>604</v>
      </c>
      <c r="L302" s="660" t="s">
        <v>37</v>
      </c>
      <c r="M302" s="660">
        <v>100</v>
      </c>
      <c r="N302" s="660">
        <v>100</v>
      </c>
      <c r="O302" s="660">
        <v>100</v>
      </c>
      <c r="P302" s="660">
        <v>100</v>
      </c>
      <c r="Q302" s="660">
        <v>100</v>
      </c>
    </row>
    <row r="303" spans="1:17" s="459" customFormat="1" ht="33.75" customHeight="1" x14ac:dyDescent="0.25">
      <c r="B303" s="743"/>
      <c r="C303" s="675">
        <v>2</v>
      </c>
      <c r="D303" s="695"/>
      <c r="E303" s="493" t="s">
        <v>8</v>
      </c>
      <c r="F303" s="706">
        <v>2750.8</v>
      </c>
      <c r="G303" s="481">
        <v>6586.6</v>
      </c>
      <c r="H303" s="706"/>
      <c r="I303" s="706"/>
      <c r="J303" s="706"/>
      <c r="K303" s="659" t="s">
        <v>38</v>
      </c>
      <c r="L303" s="660" t="s">
        <v>35</v>
      </c>
      <c r="M303" s="660">
        <v>100</v>
      </c>
      <c r="N303" s="660">
        <v>100</v>
      </c>
      <c r="O303" s="660">
        <v>100</v>
      </c>
      <c r="P303" s="660">
        <v>100</v>
      </c>
      <c r="Q303" s="660">
        <v>100</v>
      </c>
    </row>
    <row r="304" spans="1:17" s="459" customFormat="1" ht="30" x14ac:dyDescent="0.25">
      <c r="B304" s="2507"/>
      <c r="C304" s="2479">
        <v>3</v>
      </c>
      <c r="D304" s="2518"/>
      <c r="E304" s="2316" t="s">
        <v>10</v>
      </c>
      <c r="F304" s="2467">
        <v>3921.3</v>
      </c>
      <c r="G304" s="2494">
        <v>3856.9</v>
      </c>
      <c r="H304" s="2467"/>
      <c r="I304" s="2467"/>
      <c r="J304" s="2467"/>
      <c r="K304" s="423" t="s">
        <v>1139</v>
      </c>
      <c r="L304" s="660" t="s">
        <v>35</v>
      </c>
      <c r="M304" s="660">
        <v>55</v>
      </c>
      <c r="N304" s="660">
        <v>79</v>
      </c>
      <c r="O304" s="660">
        <v>77</v>
      </c>
      <c r="P304" s="660">
        <v>75</v>
      </c>
      <c r="Q304" s="660">
        <v>75</v>
      </c>
    </row>
    <row r="305" spans="2:17" s="459" customFormat="1" ht="30" x14ac:dyDescent="0.25">
      <c r="B305" s="1828"/>
      <c r="C305" s="1830"/>
      <c r="D305" s="1832"/>
      <c r="E305" s="1836"/>
      <c r="F305" s="1934"/>
      <c r="G305" s="2379"/>
      <c r="H305" s="1934"/>
      <c r="I305" s="1934"/>
      <c r="J305" s="1934"/>
      <c r="K305" s="659" t="s">
        <v>605</v>
      </c>
      <c r="L305" s="660" t="s">
        <v>35</v>
      </c>
      <c r="M305" s="660" t="s">
        <v>169</v>
      </c>
      <c r="N305" s="660">
        <v>10</v>
      </c>
      <c r="O305" s="660">
        <v>15</v>
      </c>
      <c r="P305" s="660">
        <v>20</v>
      </c>
      <c r="Q305" s="660">
        <v>22</v>
      </c>
    </row>
    <row r="306" spans="2:17" s="459" customFormat="1" ht="51" customHeight="1" x14ac:dyDescent="0.25">
      <c r="B306" s="2507"/>
      <c r="C306" s="2479">
        <v>4</v>
      </c>
      <c r="D306" s="2518"/>
      <c r="E306" s="2316" t="s">
        <v>13</v>
      </c>
      <c r="F306" s="2431">
        <v>1801.9</v>
      </c>
      <c r="G306" s="2494">
        <v>7352.8</v>
      </c>
      <c r="H306" s="2467"/>
      <c r="I306" s="2467"/>
      <c r="J306" s="2467"/>
      <c r="K306" s="659" t="s">
        <v>45</v>
      </c>
      <c r="L306" s="660" t="s">
        <v>40</v>
      </c>
      <c r="M306" s="660">
        <v>480</v>
      </c>
      <c r="N306" s="660">
        <v>490</v>
      </c>
      <c r="O306" s="660">
        <v>490</v>
      </c>
      <c r="P306" s="660">
        <v>490</v>
      </c>
      <c r="Q306" s="660">
        <v>490</v>
      </c>
    </row>
    <row r="307" spans="2:17" s="459" customFormat="1" ht="75" x14ac:dyDescent="0.25">
      <c r="B307" s="1945"/>
      <c r="C307" s="2137"/>
      <c r="D307" s="2138"/>
      <c r="E307" s="2139"/>
      <c r="F307" s="1847"/>
      <c r="G307" s="2495"/>
      <c r="H307" s="1951"/>
      <c r="I307" s="1951"/>
      <c r="J307" s="1951"/>
      <c r="K307" s="659" t="s">
        <v>606</v>
      </c>
      <c r="L307" s="660" t="s">
        <v>313</v>
      </c>
      <c r="M307" s="660">
        <v>6</v>
      </c>
      <c r="N307" s="660">
        <v>6</v>
      </c>
      <c r="O307" s="660">
        <v>6</v>
      </c>
      <c r="P307" s="660">
        <v>6</v>
      </c>
      <c r="Q307" s="660">
        <v>6</v>
      </c>
    </row>
    <row r="308" spans="2:17" s="459" customFormat="1" ht="75" x14ac:dyDescent="0.25">
      <c r="B308" s="1945"/>
      <c r="C308" s="2137"/>
      <c r="D308" s="2138"/>
      <c r="E308" s="2139"/>
      <c r="F308" s="1847"/>
      <c r="G308" s="2495"/>
      <c r="H308" s="1951"/>
      <c r="I308" s="1951"/>
      <c r="J308" s="1951"/>
      <c r="K308" s="659" t="s">
        <v>1140</v>
      </c>
      <c r="L308" s="660" t="s">
        <v>313</v>
      </c>
      <c r="M308" s="660" t="s">
        <v>169</v>
      </c>
      <c r="N308" s="660">
        <v>1</v>
      </c>
      <c r="O308" s="660" t="s">
        <v>169</v>
      </c>
      <c r="P308" s="660">
        <v>1</v>
      </c>
      <c r="Q308" s="660" t="s">
        <v>169</v>
      </c>
    </row>
    <row r="309" spans="2:17" s="459" customFormat="1" ht="45" x14ac:dyDescent="0.25">
      <c r="B309" s="1828"/>
      <c r="C309" s="1830"/>
      <c r="D309" s="1832"/>
      <c r="E309" s="1836"/>
      <c r="F309" s="1824"/>
      <c r="G309" s="2379"/>
      <c r="H309" s="1934"/>
      <c r="I309" s="1934"/>
      <c r="J309" s="1934"/>
      <c r="K309" s="659" t="s">
        <v>607</v>
      </c>
      <c r="L309" s="660" t="s">
        <v>313</v>
      </c>
      <c r="M309" s="660">
        <v>1854</v>
      </c>
      <c r="N309" s="660">
        <v>1500</v>
      </c>
      <c r="O309" s="660">
        <f>AVERAGE(M309:N309)</f>
        <v>1677</v>
      </c>
      <c r="P309" s="660">
        <v>1677</v>
      </c>
      <c r="Q309" s="660">
        <v>1677</v>
      </c>
    </row>
    <row r="310" spans="2:17" s="459" customFormat="1" ht="68.25" customHeight="1" x14ac:dyDescent="0.25">
      <c r="B310" s="743"/>
      <c r="C310" s="676">
        <v>5</v>
      </c>
      <c r="D310" s="674"/>
      <c r="E310" s="693" t="s">
        <v>14</v>
      </c>
      <c r="F310" s="706">
        <v>6403.1</v>
      </c>
      <c r="G310" s="481">
        <v>4836.8</v>
      </c>
      <c r="H310" s="706"/>
      <c r="I310" s="706"/>
      <c r="J310" s="706"/>
      <c r="K310" s="659" t="s">
        <v>41</v>
      </c>
      <c r="L310" s="660" t="s">
        <v>35</v>
      </c>
      <c r="M310" s="660">
        <v>21</v>
      </c>
      <c r="N310" s="660">
        <v>21</v>
      </c>
      <c r="O310" s="660">
        <v>21</v>
      </c>
      <c r="P310" s="660">
        <v>21</v>
      </c>
      <c r="Q310" s="660">
        <v>21</v>
      </c>
    </row>
    <row r="311" spans="2:17" s="746" customFormat="1" x14ac:dyDescent="0.25">
      <c r="B311" s="745"/>
      <c r="C311" s="863">
        <v>6</v>
      </c>
      <c r="D311" s="708"/>
      <c r="E311" s="714" t="s">
        <v>333</v>
      </c>
      <c r="F311" s="706"/>
      <c r="G311" s="311">
        <v>22763.8</v>
      </c>
      <c r="H311" s="706"/>
      <c r="I311" s="706"/>
      <c r="J311" s="706"/>
      <c r="K311" s="765" t="s">
        <v>608</v>
      </c>
      <c r="L311" s="704" t="s">
        <v>35</v>
      </c>
      <c r="M311" s="704">
        <v>100</v>
      </c>
      <c r="N311" s="704">
        <v>100</v>
      </c>
      <c r="O311" s="704">
        <v>100</v>
      </c>
      <c r="P311" s="704">
        <v>100</v>
      </c>
      <c r="Q311" s="704">
        <v>100</v>
      </c>
    </row>
    <row r="312" spans="2:17" s="746" customFormat="1" ht="83.25" customHeight="1" x14ac:dyDescent="0.25">
      <c r="B312" s="745"/>
      <c r="C312" s="863">
        <v>165</v>
      </c>
      <c r="D312" s="708"/>
      <c r="E312" s="792" t="s">
        <v>1141</v>
      </c>
      <c r="F312" s="706"/>
      <c r="G312" s="706"/>
      <c r="H312" s="706">
        <f>69701.9+21500</f>
        <v>91201.9</v>
      </c>
      <c r="I312" s="706">
        <v>75673.899999999994</v>
      </c>
      <c r="J312" s="706">
        <v>75746.100000000006</v>
      </c>
      <c r="K312" s="659" t="s">
        <v>609</v>
      </c>
      <c r="L312" s="704" t="s">
        <v>313</v>
      </c>
      <c r="M312" s="704">
        <v>150</v>
      </c>
      <c r="N312" s="704">
        <v>165</v>
      </c>
      <c r="O312" s="704">
        <v>140</v>
      </c>
      <c r="P312" s="704">
        <v>150</v>
      </c>
      <c r="Q312" s="704">
        <v>120</v>
      </c>
    </row>
    <row r="313" spans="2:17" s="459" customFormat="1" ht="114.75" customHeight="1" x14ac:dyDescent="0.25">
      <c r="B313" s="745">
        <v>2</v>
      </c>
      <c r="C313" s="747"/>
      <c r="D313" s="708"/>
      <c r="E313" s="484" t="s">
        <v>1145</v>
      </c>
      <c r="F313" s="711"/>
      <c r="G313" s="711"/>
      <c r="H313" s="711">
        <f>H314</f>
        <v>79362.399999999994</v>
      </c>
      <c r="I313" s="711">
        <f>I314</f>
        <v>68430.7</v>
      </c>
      <c r="J313" s="711">
        <f>J314</f>
        <v>68499.100000000006</v>
      </c>
      <c r="K313" s="712"/>
      <c r="L313" s="704"/>
      <c r="M313" s="210"/>
      <c r="N313" s="210"/>
      <c r="O313" s="210"/>
      <c r="P313" s="210"/>
      <c r="Q313" s="210"/>
    </row>
    <row r="314" spans="2:17" s="459" customFormat="1" ht="107.25" customHeight="1" x14ac:dyDescent="0.25">
      <c r="B314" s="745"/>
      <c r="C314" s="863">
        <v>1</v>
      </c>
      <c r="D314" s="708"/>
      <c r="E314" s="792" t="s">
        <v>1142</v>
      </c>
      <c r="F314" s="790"/>
      <c r="G314" s="790"/>
      <c r="H314" s="790">
        <f>68362.4+11000</f>
        <v>79362.399999999994</v>
      </c>
      <c r="I314" s="790">
        <v>68430.7</v>
      </c>
      <c r="J314" s="790">
        <v>68499.100000000006</v>
      </c>
      <c r="K314" s="765" t="s">
        <v>1143</v>
      </c>
      <c r="L314" s="704" t="s">
        <v>313</v>
      </c>
      <c r="M314" s="704">
        <v>5300</v>
      </c>
      <c r="N314" s="704">
        <v>5100</v>
      </c>
      <c r="O314" s="704">
        <v>5500</v>
      </c>
      <c r="P314" s="704">
        <v>5600</v>
      </c>
      <c r="Q314" s="704">
        <v>5800</v>
      </c>
    </row>
    <row r="315" spans="2:17" s="459" customFormat="1" ht="117" x14ac:dyDescent="0.25">
      <c r="B315" s="745">
        <v>3</v>
      </c>
      <c r="C315" s="747"/>
      <c r="D315" s="708"/>
      <c r="E315" s="484" t="s">
        <v>903</v>
      </c>
      <c r="F315" s="711">
        <f>SUM(F316:F318)</f>
        <v>21734</v>
      </c>
      <c r="G315" s="711">
        <f>SUM(G316:G318)</f>
        <v>40158.9</v>
      </c>
      <c r="H315" s="711"/>
      <c r="I315" s="711"/>
      <c r="J315" s="711"/>
      <c r="K315" s="712" t="s">
        <v>610</v>
      </c>
      <c r="L315" s="704"/>
      <c r="M315" s="210"/>
      <c r="N315" s="210"/>
      <c r="O315" s="210"/>
      <c r="P315" s="210"/>
      <c r="Q315" s="210"/>
    </row>
    <row r="316" spans="2:17" s="459" customFormat="1" ht="45" x14ac:dyDescent="0.25">
      <c r="B316" s="745"/>
      <c r="C316" s="863">
        <v>1</v>
      </c>
      <c r="D316" s="708"/>
      <c r="E316" s="714" t="s">
        <v>1146</v>
      </c>
      <c r="F316" s="706">
        <v>10537.1</v>
      </c>
      <c r="G316" s="481">
        <v>15899.1</v>
      </c>
      <c r="H316" s="706"/>
      <c r="I316" s="706"/>
      <c r="J316" s="706"/>
      <c r="K316" s="765" t="s">
        <v>611</v>
      </c>
      <c r="L316" s="704" t="s">
        <v>313</v>
      </c>
      <c r="M316" s="704"/>
      <c r="N316" s="704"/>
      <c r="O316" s="704"/>
      <c r="P316" s="704"/>
      <c r="Q316" s="704"/>
    </row>
    <row r="317" spans="2:17" s="459" customFormat="1" ht="45" x14ac:dyDescent="0.25">
      <c r="B317" s="745"/>
      <c r="C317" s="863">
        <v>2</v>
      </c>
      <c r="D317" s="708"/>
      <c r="E317" s="714" t="s">
        <v>612</v>
      </c>
      <c r="F317" s="706">
        <v>9101.1</v>
      </c>
      <c r="G317" s="838">
        <v>14873.4</v>
      </c>
      <c r="H317" s="706"/>
      <c r="I317" s="706"/>
      <c r="J317" s="706"/>
      <c r="K317" s="765" t="s">
        <v>611</v>
      </c>
      <c r="L317" s="704" t="s">
        <v>313</v>
      </c>
      <c r="M317" s="704"/>
      <c r="N317" s="704"/>
      <c r="O317" s="704"/>
      <c r="P317" s="704"/>
      <c r="Q317" s="704"/>
    </row>
    <row r="318" spans="2:17" s="459" customFormat="1" ht="63" customHeight="1" x14ac:dyDescent="0.25">
      <c r="B318" s="745"/>
      <c r="C318" s="863">
        <v>3</v>
      </c>
      <c r="D318" s="708"/>
      <c r="E318" s="714" t="s">
        <v>613</v>
      </c>
      <c r="F318" s="2467">
        <v>2095.8000000000002</v>
      </c>
      <c r="G318" s="2494">
        <v>9386.4</v>
      </c>
      <c r="H318" s="2467"/>
      <c r="I318" s="1933"/>
      <c r="J318" s="2467"/>
      <c r="K318" s="765" t="s">
        <v>614</v>
      </c>
      <c r="L318" s="704" t="s">
        <v>313</v>
      </c>
      <c r="M318" s="704">
        <v>8395</v>
      </c>
      <c r="N318" s="704">
        <v>10670</v>
      </c>
      <c r="O318" s="704">
        <v>10670</v>
      </c>
      <c r="P318" s="704">
        <v>10670</v>
      </c>
      <c r="Q318" s="704">
        <v>10670</v>
      </c>
    </row>
    <row r="319" spans="2:17" s="459" customFormat="1" ht="45" x14ac:dyDescent="0.25">
      <c r="B319" s="745"/>
      <c r="C319" s="863">
        <v>4</v>
      </c>
      <c r="D319" s="708"/>
      <c r="E319" s="792" t="s">
        <v>615</v>
      </c>
      <c r="F319" s="1934"/>
      <c r="G319" s="2379"/>
      <c r="H319" s="1934"/>
      <c r="I319" s="1934"/>
      <c r="J319" s="1934"/>
      <c r="K319" s="765" t="s">
        <v>616</v>
      </c>
      <c r="L319" s="704" t="s">
        <v>313</v>
      </c>
      <c r="M319" s="704">
        <v>8643</v>
      </c>
      <c r="N319" s="704">
        <v>12643</v>
      </c>
      <c r="O319" s="704">
        <v>12643</v>
      </c>
      <c r="P319" s="704">
        <v>12643</v>
      </c>
      <c r="Q319" s="704">
        <v>12643</v>
      </c>
    </row>
    <row r="320" spans="2:17" s="459" customFormat="1" ht="87.75" x14ac:dyDescent="0.25">
      <c r="B320" s="745"/>
      <c r="C320" s="747"/>
      <c r="D320" s="747"/>
      <c r="E320" s="484" t="s">
        <v>904</v>
      </c>
      <c r="F320" s="711">
        <f>SUM(F321:F323)</f>
        <v>77636.5</v>
      </c>
      <c r="G320" s="711">
        <f>SUM(G321:G323)</f>
        <v>55290.6</v>
      </c>
      <c r="H320" s="711"/>
      <c r="I320" s="711"/>
      <c r="J320" s="711"/>
      <c r="K320" s="765" t="s">
        <v>617</v>
      </c>
      <c r="L320" s="704"/>
      <c r="M320" s="704"/>
      <c r="N320" s="210"/>
      <c r="O320" s="210"/>
      <c r="P320" s="210"/>
      <c r="Q320" s="210"/>
    </row>
    <row r="321" spans="2:17" s="459" customFormat="1" ht="31.5" customHeight="1" x14ac:dyDescent="0.25">
      <c r="B321" s="2344"/>
      <c r="C321" s="2484">
        <v>1</v>
      </c>
      <c r="D321" s="2462"/>
      <c r="E321" s="2485" t="s">
        <v>618</v>
      </c>
      <c r="F321" s="1933">
        <v>77636.5</v>
      </c>
      <c r="G321" s="2494">
        <v>7190.7</v>
      </c>
      <c r="H321" s="2467"/>
      <c r="I321" s="1933"/>
      <c r="J321" s="2467"/>
      <c r="K321" s="758" t="s">
        <v>619</v>
      </c>
      <c r="L321" s="704" t="s">
        <v>313</v>
      </c>
      <c r="M321" s="704">
        <v>6300</v>
      </c>
      <c r="N321" s="704">
        <v>6300</v>
      </c>
      <c r="O321" s="704">
        <v>6300</v>
      </c>
      <c r="P321" s="704">
        <v>6300</v>
      </c>
      <c r="Q321" s="704">
        <v>6300</v>
      </c>
    </row>
    <row r="322" spans="2:17" s="459" customFormat="1" ht="40.5" customHeight="1" x14ac:dyDescent="0.25">
      <c r="B322" s="2345"/>
      <c r="C322" s="2463"/>
      <c r="D322" s="2463"/>
      <c r="E322" s="2486"/>
      <c r="F322" s="1934"/>
      <c r="G322" s="2379"/>
      <c r="H322" s="1934"/>
      <c r="I322" s="1934"/>
      <c r="J322" s="1934"/>
      <c r="K322" s="758" t="s">
        <v>620</v>
      </c>
      <c r="L322" s="704" t="s">
        <v>313</v>
      </c>
      <c r="M322" s="704">
        <v>6000</v>
      </c>
      <c r="N322" s="704">
        <v>6000</v>
      </c>
      <c r="O322" s="704">
        <v>6000</v>
      </c>
      <c r="P322" s="704">
        <v>6000</v>
      </c>
      <c r="Q322" s="704">
        <v>6000</v>
      </c>
    </row>
    <row r="323" spans="2:17" s="746" customFormat="1" x14ac:dyDescent="0.25">
      <c r="B323" s="745"/>
      <c r="C323" s="863">
        <v>2</v>
      </c>
      <c r="D323" s="747"/>
      <c r="E323" s="714" t="s">
        <v>621</v>
      </c>
      <c r="F323" s="790"/>
      <c r="G323" s="838">
        <v>48099.9</v>
      </c>
      <c r="H323" s="706"/>
      <c r="I323" s="706"/>
      <c r="J323" s="706"/>
      <c r="K323" s="765" t="s">
        <v>622</v>
      </c>
      <c r="L323" s="704" t="s">
        <v>313</v>
      </c>
      <c r="M323" s="704">
        <v>441000</v>
      </c>
      <c r="N323" s="704">
        <v>441100</v>
      </c>
      <c r="O323" s="704">
        <v>441200</v>
      </c>
      <c r="P323" s="704">
        <v>441200</v>
      </c>
      <c r="Q323" s="704">
        <v>441200</v>
      </c>
    </row>
    <row r="324" spans="2:17" s="459" customFormat="1" ht="155.25" customHeight="1" x14ac:dyDescent="0.25">
      <c r="B324" s="745">
        <v>4</v>
      </c>
      <c r="C324" s="747"/>
      <c r="D324" s="747"/>
      <c r="E324" s="484" t="s">
        <v>625</v>
      </c>
      <c r="F324" s="220"/>
      <c r="G324" s="220"/>
      <c r="H324" s="220">
        <f>H325</f>
        <v>29872.400000000001</v>
      </c>
      <c r="I324" s="220">
        <f>I325</f>
        <v>29872.400000000001</v>
      </c>
      <c r="J324" s="220">
        <f>J325</f>
        <v>29872.400000000001</v>
      </c>
      <c r="K324" s="712"/>
      <c r="L324" s="704"/>
      <c r="M324" s="704"/>
      <c r="N324" s="210"/>
      <c r="O324" s="210"/>
      <c r="P324" s="210"/>
      <c r="Q324" s="210"/>
    </row>
    <row r="325" spans="2:17" s="459" customFormat="1" ht="75" x14ac:dyDescent="0.25">
      <c r="B325" s="745"/>
      <c r="C325" s="747">
        <v>6</v>
      </c>
      <c r="D325" s="747"/>
      <c r="E325" s="792" t="s">
        <v>639</v>
      </c>
      <c r="F325" s="706"/>
      <c r="G325" s="706"/>
      <c r="H325" s="706">
        <v>29872.400000000001</v>
      </c>
      <c r="I325" s="706">
        <v>29872.400000000001</v>
      </c>
      <c r="J325" s="706">
        <v>29872.400000000001</v>
      </c>
      <c r="K325" s="758" t="s">
        <v>1144</v>
      </c>
      <c r="L325" s="494" t="s">
        <v>313</v>
      </c>
      <c r="M325" s="494"/>
      <c r="N325" s="494">
        <v>1000</v>
      </c>
      <c r="O325" s="704">
        <v>1200</v>
      </c>
      <c r="P325" s="704">
        <v>1400</v>
      </c>
      <c r="Q325" s="704">
        <v>1800</v>
      </c>
    </row>
    <row r="326" spans="2:17" s="459" customFormat="1" ht="87.75" x14ac:dyDescent="0.25">
      <c r="B326" s="745">
        <v>5</v>
      </c>
      <c r="C326" s="747"/>
      <c r="D326" s="747"/>
      <c r="E326" s="484" t="s">
        <v>905</v>
      </c>
      <c r="F326" s="711">
        <f>SUM(F327:F336)</f>
        <v>17383.900000000001</v>
      </c>
      <c r="G326" s="711">
        <f>G327+G336</f>
        <v>10325.200000000001</v>
      </c>
      <c r="H326" s="711"/>
      <c r="I326" s="711"/>
      <c r="J326" s="711"/>
      <c r="K326" s="712" t="s">
        <v>624</v>
      </c>
      <c r="L326" s="704"/>
      <c r="M326" s="704"/>
      <c r="N326" s="210"/>
      <c r="O326" s="210"/>
      <c r="P326" s="210"/>
      <c r="Q326" s="210"/>
    </row>
    <row r="327" spans="2:17" s="746" customFormat="1" ht="45.75" customHeight="1" x14ac:dyDescent="0.25">
      <c r="B327" s="745"/>
      <c r="C327" s="747">
        <v>1</v>
      </c>
      <c r="D327" s="747"/>
      <c r="E327" s="714" t="s">
        <v>626</v>
      </c>
      <c r="F327" s="2467">
        <v>5367</v>
      </c>
      <c r="G327" s="2494">
        <v>6409.6</v>
      </c>
      <c r="H327" s="2467"/>
      <c r="I327" s="2467"/>
      <c r="J327" s="2467"/>
      <c r="K327" s="765" t="s">
        <v>1147</v>
      </c>
      <c r="L327" s="704" t="s">
        <v>313</v>
      </c>
      <c r="M327" s="704">
        <v>5300</v>
      </c>
      <c r="N327" s="704">
        <v>5400</v>
      </c>
      <c r="O327" s="704">
        <v>5400</v>
      </c>
      <c r="P327" s="704">
        <v>5400</v>
      </c>
      <c r="Q327" s="704">
        <v>5400</v>
      </c>
    </row>
    <row r="328" spans="2:17" s="746" customFormat="1" ht="30" x14ac:dyDescent="0.25">
      <c r="B328" s="2344"/>
      <c r="C328" s="2484">
        <v>2</v>
      </c>
      <c r="D328" s="2462"/>
      <c r="E328" s="2485" t="s">
        <v>627</v>
      </c>
      <c r="F328" s="1951"/>
      <c r="G328" s="2495"/>
      <c r="H328" s="1951"/>
      <c r="I328" s="1951"/>
      <c r="J328" s="1951"/>
      <c r="K328" s="217" t="s">
        <v>628</v>
      </c>
      <c r="L328" s="704" t="s">
        <v>35</v>
      </c>
      <c r="M328" s="704" t="s">
        <v>169</v>
      </c>
      <c r="N328" s="704">
        <v>80</v>
      </c>
      <c r="O328" s="704">
        <v>100</v>
      </c>
      <c r="P328" s="704">
        <v>100</v>
      </c>
      <c r="Q328" s="704">
        <v>100</v>
      </c>
    </row>
    <row r="329" spans="2:17" s="746" customFormat="1" ht="92.25" customHeight="1" x14ac:dyDescent="0.25">
      <c r="B329" s="2345"/>
      <c r="C329" s="2463"/>
      <c r="D329" s="2463"/>
      <c r="E329" s="2486"/>
      <c r="F329" s="1951"/>
      <c r="G329" s="2495"/>
      <c r="H329" s="1951"/>
      <c r="I329" s="1951"/>
      <c r="J329" s="1951"/>
      <c r="K329" s="495" t="s">
        <v>629</v>
      </c>
      <c r="L329" s="704" t="s">
        <v>35</v>
      </c>
      <c r="M329" s="704" t="s">
        <v>169</v>
      </c>
      <c r="N329" s="704">
        <v>50</v>
      </c>
      <c r="O329" s="704">
        <v>100</v>
      </c>
      <c r="P329" s="704">
        <v>100</v>
      </c>
      <c r="Q329" s="704">
        <v>100</v>
      </c>
    </row>
    <row r="330" spans="2:17" s="746" customFormat="1" ht="60" x14ac:dyDescent="0.25">
      <c r="B330" s="2344"/>
      <c r="C330" s="2484">
        <v>3</v>
      </c>
      <c r="D330" s="2462"/>
      <c r="E330" s="2485" t="s">
        <v>630</v>
      </c>
      <c r="F330" s="1951"/>
      <c r="G330" s="2495"/>
      <c r="H330" s="1951"/>
      <c r="I330" s="1951"/>
      <c r="J330" s="1951"/>
      <c r="K330" s="217" t="s">
        <v>1148</v>
      </c>
      <c r="L330" s="704" t="s">
        <v>313</v>
      </c>
      <c r="M330" s="704" t="s">
        <v>169</v>
      </c>
      <c r="N330" s="704">
        <v>1</v>
      </c>
      <c r="O330" s="704">
        <v>1</v>
      </c>
      <c r="P330" s="704">
        <v>1</v>
      </c>
      <c r="Q330" s="704">
        <v>1</v>
      </c>
    </row>
    <row r="331" spans="2:17" s="746" customFormat="1" ht="45" x14ac:dyDescent="0.25">
      <c r="B331" s="2477"/>
      <c r="C331" s="2478"/>
      <c r="D331" s="2478"/>
      <c r="E331" s="1926"/>
      <c r="F331" s="1951"/>
      <c r="G331" s="2495"/>
      <c r="H331" s="1951"/>
      <c r="I331" s="1951"/>
      <c r="J331" s="1951"/>
      <c r="K331" s="217" t="s">
        <v>631</v>
      </c>
      <c r="L331" s="704" t="s">
        <v>35</v>
      </c>
      <c r="M331" s="704" t="s">
        <v>169</v>
      </c>
      <c r="N331" s="704">
        <v>100</v>
      </c>
      <c r="O331" s="704">
        <v>100</v>
      </c>
      <c r="P331" s="704">
        <v>100</v>
      </c>
      <c r="Q331" s="704">
        <v>100</v>
      </c>
    </row>
    <row r="332" spans="2:17" s="746" customFormat="1" ht="75" x14ac:dyDescent="0.25">
      <c r="B332" s="2477"/>
      <c r="C332" s="2478"/>
      <c r="D332" s="2478"/>
      <c r="E332" s="1926"/>
      <c r="F332" s="1951"/>
      <c r="G332" s="2495"/>
      <c r="H332" s="1951"/>
      <c r="I332" s="1951"/>
      <c r="J332" s="1951"/>
      <c r="K332" s="496" t="s">
        <v>632</v>
      </c>
      <c r="L332" s="704" t="s">
        <v>313</v>
      </c>
      <c r="M332" s="704" t="s">
        <v>169</v>
      </c>
      <c r="N332" s="704">
        <v>15</v>
      </c>
      <c r="O332" s="704">
        <v>15</v>
      </c>
      <c r="P332" s="704">
        <v>15</v>
      </c>
      <c r="Q332" s="704">
        <v>15</v>
      </c>
    </row>
    <row r="333" spans="2:17" s="746" customFormat="1" ht="75" x14ac:dyDescent="0.25">
      <c r="B333" s="2477"/>
      <c r="C333" s="2478"/>
      <c r="D333" s="2478"/>
      <c r="E333" s="1926"/>
      <c r="F333" s="1951"/>
      <c r="G333" s="2495"/>
      <c r="H333" s="1951"/>
      <c r="I333" s="1951"/>
      <c r="J333" s="1951"/>
      <c r="K333" s="217" t="s">
        <v>633</v>
      </c>
      <c r="L333" s="704" t="s">
        <v>313</v>
      </c>
      <c r="M333" s="704" t="s">
        <v>169</v>
      </c>
      <c r="N333" s="704">
        <v>8</v>
      </c>
      <c r="O333" s="704">
        <v>8</v>
      </c>
      <c r="P333" s="704">
        <v>8</v>
      </c>
      <c r="Q333" s="704">
        <v>8</v>
      </c>
    </row>
    <row r="334" spans="2:17" s="746" customFormat="1" ht="45" x14ac:dyDescent="0.25">
      <c r="B334" s="2345"/>
      <c r="C334" s="2463"/>
      <c r="D334" s="2463"/>
      <c r="E334" s="2486"/>
      <c r="F334" s="1951"/>
      <c r="G334" s="2495"/>
      <c r="H334" s="1951"/>
      <c r="I334" s="1951"/>
      <c r="J334" s="1951"/>
      <c r="K334" s="217" t="s">
        <v>634</v>
      </c>
      <c r="L334" s="704" t="s">
        <v>35</v>
      </c>
      <c r="M334" s="704" t="s">
        <v>169</v>
      </c>
      <c r="N334" s="704">
        <v>100</v>
      </c>
      <c r="O334" s="704">
        <v>100</v>
      </c>
      <c r="P334" s="704">
        <v>100</v>
      </c>
      <c r="Q334" s="704">
        <v>100</v>
      </c>
    </row>
    <row r="335" spans="2:17" s="746" customFormat="1" ht="45" x14ac:dyDescent="0.25">
      <c r="B335" s="745"/>
      <c r="C335" s="747">
        <v>4</v>
      </c>
      <c r="D335" s="747"/>
      <c r="E335" s="758" t="s">
        <v>635</v>
      </c>
      <c r="F335" s="1934"/>
      <c r="G335" s="2495"/>
      <c r="H335" s="1934"/>
      <c r="I335" s="1934"/>
      <c r="J335" s="1934"/>
      <c r="K335" s="217" t="s">
        <v>636</v>
      </c>
      <c r="L335" s="704" t="s">
        <v>35</v>
      </c>
      <c r="M335" s="704" t="s">
        <v>169</v>
      </c>
      <c r="N335" s="704">
        <v>100</v>
      </c>
      <c r="O335" s="704">
        <v>100</v>
      </c>
      <c r="P335" s="704">
        <v>100</v>
      </c>
      <c r="Q335" s="704">
        <v>100</v>
      </c>
    </row>
    <row r="336" spans="2:17" s="459" customFormat="1" ht="30" x14ac:dyDescent="0.25">
      <c r="B336" s="743"/>
      <c r="C336" s="748">
        <v>5</v>
      </c>
      <c r="D336" s="748"/>
      <c r="E336" s="693" t="s">
        <v>637</v>
      </c>
      <c r="F336" s="706">
        <v>12016.9</v>
      </c>
      <c r="G336" s="838">
        <v>3915.6</v>
      </c>
      <c r="H336" s="706"/>
      <c r="I336" s="706"/>
      <c r="J336" s="706"/>
      <c r="K336" s="659" t="s">
        <v>638</v>
      </c>
      <c r="L336" s="660" t="s">
        <v>313</v>
      </c>
      <c r="M336" s="660">
        <v>61550</v>
      </c>
      <c r="N336" s="660">
        <v>61600</v>
      </c>
      <c r="O336" s="660">
        <v>61650</v>
      </c>
      <c r="P336" s="660">
        <v>61650</v>
      </c>
      <c r="Q336" s="660">
        <v>61650</v>
      </c>
    </row>
    <row r="337" spans="1:17" s="459" customFormat="1" ht="72" customHeight="1" x14ac:dyDescent="0.25">
      <c r="B337" s="745">
        <v>2</v>
      </c>
      <c r="C337" s="747"/>
      <c r="D337" s="747"/>
      <c r="E337" s="484" t="s">
        <v>906</v>
      </c>
      <c r="F337" s="711">
        <f t="shared" ref="F337:J337" si="46">SUM(F338)</f>
        <v>29319.5</v>
      </c>
      <c r="G337" s="711">
        <f t="shared" si="46"/>
        <v>2561.6</v>
      </c>
      <c r="H337" s="711">
        <f t="shared" si="46"/>
        <v>87514.2</v>
      </c>
      <c r="I337" s="711">
        <f t="shared" si="46"/>
        <v>85196.7</v>
      </c>
      <c r="J337" s="711">
        <f t="shared" si="46"/>
        <v>85554.4</v>
      </c>
      <c r="K337" s="712" t="s">
        <v>640</v>
      </c>
      <c r="L337" s="497"/>
      <c r="M337" s="497"/>
      <c r="N337" s="497"/>
      <c r="O337" s="210"/>
      <c r="P337" s="210"/>
      <c r="Q337" s="210"/>
    </row>
    <row r="338" spans="1:17" s="746" customFormat="1" ht="30" x14ac:dyDescent="0.25">
      <c r="B338" s="745"/>
      <c r="C338" s="749">
        <v>1</v>
      </c>
      <c r="D338" s="749"/>
      <c r="E338" s="875" t="s">
        <v>1149</v>
      </c>
      <c r="F338" s="706">
        <v>29319.5</v>
      </c>
      <c r="G338" s="482">
        <v>2561.6</v>
      </c>
      <c r="H338" s="706">
        <v>87514.2</v>
      </c>
      <c r="I338" s="706">
        <v>85196.7</v>
      </c>
      <c r="J338" s="706">
        <v>85554.4</v>
      </c>
      <c r="K338" s="869" t="s">
        <v>623</v>
      </c>
      <c r="L338" s="704" t="s">
        <v>313</v>
      </c>
      <c r="M338" s="704">
        <v>6800</v>
      </c>
      <c r="N338" s="704">
        <v>6850</v>
      </c>
      <c r="O338" s="704">
        <v>6900</v>
      </c>
      <c r="P338" s="704">
        <v>6900</v>
      </c>
      <c r="Q338" s="704">
        <v>6900</v>
      </c>
    </row>
    <row r="339" spans="1:17" s="746" customFormat="1" ht="75" x14ac:dyDescent="0.25">
      <c r="B339" s="745"/>
      <c r="C339" s="749">
        <v>1</v>
      </c>
      <c r="D339" s="749"/>
      <c r="E339" s="869" t="s">
        <v>907</v>
      </c>
      <c r="F339" s="711">
        <f>SUM(F340)</f>
        <v>0</v>
      </c>
      <c r="G339" s="711">
        <f>SUM(G340)</f>
        <v>27279.9</v>
      </c>
      <c r="H339" s="711">
        <f>SUM(H340)</f>
        <v>0</v>
      </c>
      <c r="I339" s="711"/>
      <c r="J339" s="711">
        <f>SUM(J340)</f>
        <v>0</v>
      </c>
      <c r="K339" s="483" t="s">
        <v>641</v>
      </c>
      <c r="L339" s="704"/>
      <c r="M339" s="704"/>
      <c r="N339" s="704"/>
      <c r="O339" s="704"/>
      <c r="P339" s="704"/>
      <c r="Q339" s="704"/>
    </row>
    <row r="340" spans="1:17" s="746" customFormat="1" ht="30" x14ac:dyDescent="0.25">
      <c r="B340" s="745"/>
      <c r="C340" s="749">
        <v>1</v>
      </c>
      <c r="D340" s="749"/>
      <c r="E340" s="875" t="s">
        <v>642</v>
      </c>
      <c r="F340" s="706"/>
      <c r="G340" s="311">
        <v>27279.9</v>
      </c>
      <c r="H340" s="706"/>
      <c r="I340" s="706"/>
      <c r="J340" s="706"/>
      <c r="K340" s="869" t="s">
        <v>643</v>
      </c>
      <c r="L340" s="704" t="s">
        <v>35</v>
      </c>
      <c r="M340" s="704">
        <v>100</v>
      </c>
      <c r="N340" s="704">
        <v>100</v>
      </c>
      <c r="O340" s="704">
        <v>100</v>
      </c>
      <c r="P340" s="704">
        <v>100</v>
      </c>
      <c r="Q340" s="704">
        <v>100</v>
      </c>
    </row>
    <row r="341" spans="1:17" x14ac:dyDescent="0.25">
      <c r="A341" s="2517" t="s">
        <v>85</v>
      </c>
      <c r="B341" s="2517"/>
      <c r="C341" s="2517"/>
      <c r="D341" s="2517"/>
      <c r="E341" s="2517"/>
      <c r="F341" s="322">
        <f>SUM(F301,F315,F320,F326,F337,F339)</f>
        <v>187566.8</v>
      </c>
      <c r="G341" s="322">
        <f>SUM(G301,G315,G320,G326,G337,G339)</f>
        <v>190964.30000000002</v>
      </c>
      <c r="H341" s="322">
        <f>H301+H313+H337+H324</f>
        <v>287950.90000000002</v>
      </c>
      <c r="I341" s="322">
        <f>I301+I313+I337+I324</f>
        <v>259173.69999999998</v>
      </c>
      <c r="J341" s="322">
        <f>J301+J313+J337+J324</f>
        <v>259672</v>
      </c>
      <c r="K341" s="88"/>
      <c r="L341" s="2092"/>
      <c r="M341" s="2092"/>
      <c r="N341" s="2092"/>
      <c r="O341" s="2092"/>
      <c r="P341" s="2092"/>
      <c r="Q341" s="2092"/>
    </row>
    <row r="342" spans="1:17" x14ac:dyDescent="0.25">
      <c r="A342" s="2530" t="s">
        <v>187</v>
      </c>
      <c r="B342" s="2531"/>
      <c r="C342" s="2531"/>
      <c r="D342" s="2531"/>
      <c r="E342" s="2531"/>
      <c r="F342" s="2531"/>
      <c r="G342" s="2531"/>
      <c r="H342" s="2531"/>
      <c r="I342" s="2531"/>
      <c r="J342" s="2531"/>
      <c r="K342" s="2531"/>
      <c r="L342" s="2531"/>
      <c r="M342" s="2531"/>
      <c r="N342" s="2531"/>
      <c r="O342" s="2531"/>
      <c r="P342" s="2531"/>
      <c r="Q342" s="2532"/>
    </row>
    <row r="343" spans="1:17" ht="42.75" x14ac:dyDescent="0.25">
      <c r="B343" s="866">
        <v>1</v>
      </c>
      <c r="C343" s="887"/>
      <c r="D343" s="887"/>
      <c r="E343" s="144" t="s">
        <v>90</v>
      </c>
      <c r="F343" s="318">
        <f>F344+F345+F346</f>
        <v>237554.9</v>
      </c>
      <c r="G343" s="318">
        <f t="shared" ref="G343:J343" si="47">G344+G345+G346</f>
        <v>360225</v>
      </c>
      <c r="H343" s="318">
        <f t="shared" si="47"/>
        <v>452018.2</v>
      </c>
      <c r="I343" s="318">
        <f t="shared" si="47"/>
        <v>452018.19999999995</v>
      </c>
      <c r="J343" s="318">
        <f t="shared" si="47"/>
        <v>452018.19999999995</v>
      </c>
      <c r="K343" s="144" t="s">
        <v>90</v>
      </c>
      <c r="L343" s="656"/>
      <c r="M343" s="770"/>
      <c r="N343" s="770"/>
      <c r="O343" s="770"/>
      <c r="P343" s="269"/>
      <c r="Q343" s="770"/>
    </row>
    <row r="344" spans="1:17" ht="45" x14ac:dyDescent="0.25">
      <c r="A344" s="11"/>
      <c r="B344" s="556"/>
      <c r="C344" s="619" t="s">
        <v>1073</v>
      </c>
      <c r="D344" s="887"/>
      <c r="E344" s="113" t="s">
        <v>91</v>
      </c>
      <c r="F344" s="114">
        <v>79185</v>
      </c>
      <c r="G344" s="114">
        <v>120075</v>
      </c>
      <c r="H344" s="79">
        <f>100000.2+50672.8</f>
        <v>150673</v>
      </c>
      <c r="I344" s="79">
        <v>150673</v>
      </c>
      <c r="J344" s="79">
        <v>150673</v>
      </c>
      <c r="K344" s="113" t="s">
        <v>92</v>
      </c>
      <c r="L344" s="113" t="s">
        <v>35</v>
      </c>
      <c r="M344" s="23">
        <v>100</v>
      </c>
      <c r="N344" s="23">
        <v>100</v>
      </c>
      <c r="O344" s="23">
        <v>100</v>
      </c>
      <c r="P344" s="23">
        <v>100</v>
      </c>
      <c r="Q344" s="23">
        <v>100</v>
      </c>
    </row>
    <row r="345" spans="1:17" ht="75" x14ac:dyDescent="0.25">
      <c r="A345" s="11"/>
      <c r="B345" s="556"/>
      <c r="C345" s="125">
        <v>61</v>
      </c>
      <c r="D345" s="887"/>
      <c r="E345" s="126" t="s">
        <v>93</v>
      </c>
      <c r="F345" s="114">
        <v>79185</v>
      </c>
      <c r="G345" s="79">
        <v>120075</v>
      </c>
      <c r="H345" s="79">
        <f>99999.9+50672.8</f>
        <v>150672.70000000001</v>
      </c>
      <c r="I345" s="79">
        <v>150672.69999999998</v>
      </c>
      <c r="J345" s="79">
        <v>150672.69999999998</v>
      </c>
      <c r="K345" s="145" t="s">
        <v>93</v>
      </c>
      <c r="L345" s="113" t="s">
        <v>35</v>
      </c>
      <c r="M345" s="23">
        <v>100</v>
      </c>
      <c r="N345" s="23">
        <v>100</v>
      </c>
      <c r="O345" s="23">
        <v>100</v>
      </c>
      <c r="P345" s="23">
        <v>100</v>
      </c>
      <c r="Q345" s="23">
        <v>100</v>
      </c>
    </row>
    <row r="346" spans="1:17" ht="75" x14ac:dyDescent="0.25">
      <c r="A346" s="11"/>
      <c r="B346" s="556"/>
      <c r="C346" s="125">
        <v>62</v>
      </c>
      <c r="D346" s="887"/>
      <c r="E346" s="113" t="s">
        <v>94</v>
      </c>
      <c r="F346" s="114">
        <v>79184.899999999994</v>
      </c>
      <c r="G346" s="114">
        <v>120075</v>
      </c>
      <c r="H346" s="79">
        <f>50672.6+99999.9</f>
        <v>150672.5</v>
      </c>
      <c r="I346" s="79">
        <v>150672.5</v>
      </c>
      <c r="J346" s="79">
        <v>150672.5</v>
      </c>
      <c r="K346" s="113" t="s">
        <v>95</v>
      </c>
      <c r="L346" s="113" t="s">
        <v>35</v>
      </c>
      <c r="M346" s="23">
        <v>100</v>
      </c>
      <c r="N346" s="23">
        <v>100</v>
      </c>
      <c r="O346" s="23">
        <v>100</v>
      </c>
      <c r="P346" s="23">
        <v>100</v>
      </c>
      <c r="Q346" s="23">
        <v>100</v>
      </c>
    </row>
    <row r="347" spans="1:17" ht="71.25" x14ac:dyDescent="0.25">
      <c r="A347" s="11"/>
      <c r="B347" s="865">
        <v>2</v>
      </c>
      <c r="C347" s="27"/>
      <c r="D347" s="887"/>
      <c r="E347" s="119" t="s">
        <v>96</v>
      </c>
      <c r="F347" s="315">
        <f>F348</f>
        <v>11527.4</v>
      </c>
      <c r="G347" s="315">
        <f t="shared" ref="G347:J347" si="48">G348</f>
        <v>28441.599999999999</v>
      </c>
      <c r="H347" s="315">
        <f t="shared" si="48"/>
        <v>57680.2</v>
      </c>
      <c r="I347" s="315">
        <f t="shared" si="48"/>
        <v>57680.2</v>
      </c>
      <c r="J347" s="315">
        <f t="shared" si="48"/>
        <v>57680.2</v>
      </c>
      <c r="K347" s="119" t="s">
        <v>96</v>
      </c>
      <c r="L347" s="146"/>
      <c r="M347" s="23"/>
      <c r="N347" s="23"/>
      <c r="O347" s="23"/>
      <c r="P347" s="23"/>
      <c r="Q347" s="23"/>
    </row>
    <row r="348" spans="1:17" ht="105" x14ac:dyDescent="0.25">
      <c r="A348" s="11"/>
      <c r="B348" s="147"/>
      <c r="C348" s="125">
        <v>1</v>
      </c>
      <c r="D348" s="887"/>
      <c r="E348" s="113" t="s">
        <v>97</v>
      </c>
      <c r="F348" s="114">
        <v>11527.4</v>
      </c>
      <c r="G348" s="114">
        <v>28441.599999999999</v>
      </c>
      <c r="H348" s="79">
        <v>57680.2</v>
      </c>
      <c r="I348" s="79">
        <v>57680.2</v>
      </c>
      <c r="J348" s="79">
        <v>57680.2</v>
      </c>
      <c r="K348" s="113" t="s">
        <v>97</v>
      </c>
      <c r="L348" s="146" t="s">
        <v>35</v>
      </c>
      <c r="M348" s="23">
        <v>100</v>
      </c>
      <c r="N348" s="23">
        <v>100</v>
      </c>
      <c r="O348" s="23">
        <v>100</v>
      </c>
      <c r="P348" s="23">
        <v>100</v>
      </c>
      <c r="Q348" s="23">
        <v>100</v>
      </c>
    </row>
    <row r="349" spans="1:17" ht="28.5" x14ac:dyDescent="0.25">
      <c r="A349" s="11"/>
      <c r="B349" s="925">
        <v>3</v>
      </c>
      <c r="C349" s="828"/>
      <c r="D349" s="887"/>
      <c r="E349" s="118" t="s">
        <v>98</v>
      </c>
      <c r="F349" s="315">
        <f>F350+F351</f>
        <v>1354692.1</v>
      </c>
      <c r="G349" s="315">
        <f t="shared" ref="G349:J349" si="49">G350+G351</f>
        <v>1354444.5</v>
      </c>
      <c r="H349" s="315">
        <f t="shared" si="49"/>
        <v>1316909.1000000001</v>
      </c>
      <c r="I349" s="315">
        <f t="shared" si="49"/>
        <v>1322405.8000000003</v>
      </c>
      <c r="J349" s="315">
        <f t="shared" si="49"/>
        <v>1327589.2</v>
      </c>
      <c r="K349" s="119" t="s">
        <v>98</v>
      </c>
      <c r="L349" s="146"/>
      <c r="M349" s="23"/>
      <c r="N349" s="23"/>
      <c r="O349" s="23"/>
      <c r="P349" s="23"/>
      <c r="Q349" s="23"/>
    </row>
    <row r="350" spans="1:17" ht="105" x14ac:dyDescent="0.25">
      <c r="A350" s="11"/>
      <c r="B350" s="557"/>
      <c r="C350" s="828">
        <v>1</v>
      </c>
      <c r="D350" s="887"/>
      <c r="E350" s="113" t="s">
        <v>99</v>
      </c>
      <c r="F350" s="114">
        <v>677346.1</v>
      </c>
      <c r="G350" s="114">
        <v>677222.3</v>
      </c>
      <c r="H350" s="79">
        <f>580343.4+78111.3</f>
        <v>658454.70000000007</v>
      </c>
      <c r="I350" s="79">
        <v>661203.10000000009</v>
      </c>
      <c r="J350" s="79">
        <v>663794.69999999995</v>
      </c>
      <c r="K350" s="113" t="s">
        <v>100</v>
      </c>
      <c r="L350" s="146" t="s">
        <v>35</v>
      </c>
      <c r="M350" s="23">
        <v>100</v>
      </c>
      <c r="N350" s="23">
        <v>100</v>
      </c>
      <c r="O350" s="23">
        <v>100</v>
      </c>
      <c r="P350" s="23">
        <v>100</v>
      </c>
      <c r="Q350" s="23">
        <v>100</v>
      </c>
    </row>
    <row r="351" spans="1:17" ht="45" x14ac:dyDescent="0.25">
      <c r="A351" s="11"/>
      <c r="B351" s="557"/>
      <c r="C351" s="828">
        <v>2</v>
      </c>
      <c r="D351" s="887"/>
      <c r="E351" s="113" t="s">
        <v>101</v>
      </c>
      <c r="F351" s="114">
        <v>677346</v>
      </c>
      <c r="G351" s="114">
        <v>677222.2</v>
      </c>
      <c r="H351" s="79">
        <v>658454.4</v>
      </c>
      <c r="I351" s="79">
        <v>661202.70000000007</v>
      </c>
      <c r="J351" s="79">
        <v>663794.5</v>
      </c>
      <c r="K351" s="113" t="s">
        <v>101</v>
      </c>
      <c r="L351" s="113" t="s">
        <v>35</v>
      </c>
      <c r="M351" s="23">
        <v>100</v>
      </c>
      <c r="N351" s="23">
        <v>100</v>
      </c>
      <c r="O351" s="23">
        <v>100</v>
      </c>
      <c r="P351" s="23">
        <v>100</v>
      </c>
      <c r="Q351" s="23">
        <v>100</v>
      </c>
    </row>
    <row r="352" spans="1:17" ht="57" x14ac:dyDescent="0.25">
      <c r="A352" s="11"/>
      <c r="B352" s="925">
        <v>4</v>
      </c>
      <c r="C352" s="821"/>
      <c r="D352" s="148"/>
      <c r="E352" s="119" t="s">
        <v>102</v>
      </c>
      <c r="F352" s="315">
        <f>F353</f>
        <v>24341.599999999999</v>
      </c>
      <c r="G352" s="315">
        <f t="shared" ref="G352:J352" si="50">G353</f>
        <v>20460.099999999999</v>
      </c>
      <c r="H352" s="315">
        <f t="shared" si="50"/>
        <v>28637.599999999999</v>
      </c>
      <c r="I352" s="315">
        <f t="shared" si="50"/>
        <v>28637.599999999999</v>
      </c>
      <c r="J352" s="315">
        <f t="shared" si="50"/>
        <v>28637.599999999999</v>
      </c>
      <c r="K352" s="119" t="s">
        <v>102</v>
      </c>
      <c r="L352" s="113"/>
      <c r="M352" s="23"/>
      <c r="N352" s="23"/>
      <c r="O352" s="23"/>
      <c r="P352" s="23"/>
      <c r="Q352" s="23"/>
    </row>
    <row r="353" spans="1:17" ht="75" x14ac:dyDescent="0.25">
      <c r="A353" s="11"/>
      <c r="B353" s="702"/>
      <c r="C353" s="702" t="s">
        <v>5</v>
      </c>
      <c r="D353" s="793"/>
      <c r="E353" s="716" t="s">
        <v>103</v>
      </c>
      <c r="F353" s="114">
        <v>24341.599999999999</v>
      </c>
      <c r="G353" s="114">
        <v>20460.099999999999</v>
      </c>
      <c r="H353" s="114">
        <f>3193.6+25444</f>
        <v>28637.599999999999</v>
      </c>
      <c r="I353" s="114">
        <v>28637.599999999999</v>
      </c>
      <c r="J353" s="114">
        <v>28637.599999999999</v>
      </c>
      <c r="K353" s="918" t="s">
        <v>104</v>
      </c>
      <c r="L353" s="146" t="s">
        <v>35</v>
      </c>
      <c r="M353" s="150">
        <v>100</v>
      </c>
      <c r="N353" s="150">
        <v>100</v>
      </c>
      <c r="O353" s="150">
        <v>100</v>
      </c>
      <c r="P353" s="150">
        <v>100</v>
      </c>
      <c r="Q353" s="150">
        <v>100</v>
      </c>
    </row>
    <row r="354" spans="1:17" ht="15.75" thickBot="1" x14ac:dyDescent="0.3">
      <c r="A354" s="11"/>
      <c r="B354" s="702"/>
      <c r="C354" s="702"/>
      <c r="D354" s="149"/>
      <c r="E354" s="777"/>
      <c r="F354" s="312"/>
      <c r="G354" s="312"/>
      <c r="H354" s="534"/>
      <c r="I354" s="534"/>
      <c r="J354" s="534"/>
      <c r="K354" s="558"/>
      <c r="L354" s="528"/>
      <c r="M354" s="528"/>
      <c r="N354" s="559"/>
      <c r="O354" s="559"/>
      <c r="P354" s="559"/>
      <c r="Q354" s="559"/>
    </row>
    <row r="355" spans="1:17" ht="15.75" thickBot="1" x14ac:dyDescent="0.3">
      <c r="A355" s="151" t="s">
        <v>85</v>
      </c>
      <c r="B355" s="2089" t="s">
        <v>85</v>
      </c>
      <c r="C355" s="2090"/>
      <c r="D355" s="2090"/>
      <c r="E355" s="2091"/>
      <c r="F355" s="33">
        <f>F352+F349+F347+F343</f>
        <v>1628116</v>
      </c>
      <c r="G355" s="33">
        <f>G352+G349+G347+G343</f>
        <v>1763571.2000000002</v>
      </c>
      <c r="H355" s="33">
        <f>H352+H349+H347+H343</f>
        <v>1855245.1</v>
      </c>
      <c r="I355" s="33">
        <f>I352+I349+I347+I343</f>
        <v>1860741.8000000003</v>
      </c>
      <c r="J355" s="33">
        <f>J352+J349+J347+J343</f>
        <v>1865925.2</v>
      </c>
      <c r="K355" s="88"/>
      <c r="L355" s="2468"/>
      <c r="M355" s="2468"/>
      <c r="N355" s="2468"/>
      <c r="O355" s="2468"/>
      <c r="P355" s="2468"/>
      <c r="Q355" s="2468"/>
    </row>
    <row r="356" spans="1:17" x14ac:dyDescent="0.25">
      <c r="A356" s="1722" t="s">
        <v>262</v>
      </c>
      <c r="B356" s="1698"/>
      <c r="C356" s="1698"/>
      <c r="D356" s="1698"/>
      <c r="E356" s="1698"/>
      <c r="F356" s="1698"/>
      <c r="G356" s="1698"/>
      <c r="H356" s="1698"/>
      <c r="I356" s="1698"/>
      <c r="J356" s="1698"/>
      <c r="K356" s="1698"/>
      <c r="L356" s="1698"/>
      <c r="M356" s="1698"/>
      <c r="N356" s="1698"/>
      <c r="O356" s="1698"/>
      <c r="P356" s="1698"/>
      <c r="Q356" s="1919"/>
    </row>
    <row r="357" spans="1:17" s="12" customFormat="1" ht="15" customHeight="1" x14ac:dyDescent="0.25">
      <c r="B357" s="70">
        <v>2</v>
      </c>
      <c r="C357" s="71"/>
      <c r="D357" s="71"/>
      <c r="E357" s="71" t="s">
        <v>263</v>
      </c>
      <c r="F357" s="485">
        <f>SUM(F358:F363)</f>
        <v>928155.2</v>
      </c>
      <c r="G357" s="485">
        <f t="shared" ref="G357:J357" si="51">SUM(G358:G363)</f>
        <v>1038222.2000000001</v>
      </c>
      <c r="H357" s="485">
        <f t="shared" si="51"/>
        <v>1086458.8</v>
      </c>
      <c r="I357" s="485">
        <f t="shared" si="51"/>
        <v>1073888.3999999999</v>
      </c>
      <c r="J357" s="485">
        <f t="shared" si="51"/>
        <v>1074309.7999999998</v>
      </c>
      <c r="K357" s="72"/>
      <c r="L357" s="73"/>
      <c r="M357" s="73"/>
      <c r="N357" s="73"/>
      <c r="O357" s="73"/>
      <c r="P357" s="73"/>
      <c r="Q357" s="73"/>
    </row>
    <row r="358" spans="1:17" s="74" customFormat="1" ht="15" customHeight="1" x14ac:dyDescent="0.25">
      <c r="A358" s="22"/>
      <c r="B358" s="70"/>
      <c r="C358" s="29" t="s">
        <v>5</v>
      </c>
      <c r="D358" s="25"/>
      <c r="E358" s="25" t="s">
        <v>264</v>
      </c>
      <c r="F358" s="311">
        <v>430782.2</v>
      </c>
      <c r="G358" s="311">
        <v>440000</v>
      </c>
      <c r="H358" s="311">
        <v>450000</v>
      </c>
      <c r="I358" s="311">
        <v>450000</v>
      </c>
      <c r="J358" s="311">
        <v>450000</v>
      </c>
      <c r="K358" s="75"/>
      <c r="L358" s="836"/>
      <c r="M358" s="836"/>
      <c r="N358" s="836"/>
      <c r="O358" s="836"/>
      <c r="P358" s="836"/>
      <c r="Q358" s="836"/>
    </row>
    <row r="359" spans="1:17" s="12" customFormat="1" ht="15" customHeight="1" x14ac:dyDescent="0.25">
      <c r="A359" s="22"/>
      <c r="B359" s="70"/>
      <c r="C359" s="29" t="s">
        <v>7</v>
      </c>
      <c r="D359" s="25"/>
      <c r="E359" s="25" t="s">
        <v>265</v>
      </c>
      <c r="F359" s="311">
        <v>273781.2</v>
      </c>
      <c r="G359" s="311">
        <v>283767.40000000002</v>
      </c>
      <c r="H359" s="311">
        <v>244540.9</v>
      </c>
      <c r="I359" s="311">
        <v>239773.8</v>
      </c>
      <c r="J359" s="311">
        <v>239773.8</v>
      </c>
      <c r="K359" s="75"/>
      <c r="L359" s="836"/>
      <c r="M359" s="836"/>
      <c r="N359" s="836"/>
      <c r="O359" s="836"/>
      <c r="P359" s="836"/>
      <c r="Q359" s="836"/>
    </row>
    <row r="360" spans="1:17" s="12" customFormat="1" ht="15" customHeight="1" x14ac:dyDescent="0.25">
      <c r="A360" s="22"/>
      <c r="B360" s="70"/>
      <c r="C360" s="29" t="s">
        <v>9</v>
      </c>
      <c r="D360" s="25"/>
      <c r="E360" s="25" t="s">
        <v>266</v>
      </c>
      <c r="F360" s="311">
        <v>163591.79999999999</v>
      </c>
      <c r="G360" s="311">
        <v>98454.8</v>
      </c>
      <c r="H360" s="311">
        <v>175917.9</v>
      </c>
      <c r="I360" s="311">
        <v>167926.2</v>
      </c>
      <c r="J360" s="311">
        <v>167926.2</v>
      </c>
      <c r="K360" s="75"/>
      <c r="L360" s="836"/>
      <c r="M360" s="836"/>
      <c r="N360" s="836"/>
      <c r="O360" s="836"/>
      <c r="P360" s="836"/>
      <c r="Q360" s="836"/>
    </row>
    <row r="361" spans="1:17" s="12" customFormat="1" ht="15" customHeight="1" x14ac:dyDescent="0.25">
      <c r="A361" s="22"/>
      <c r="B361" s="70"/>
      <c r="C361" s="29" t="s">
        <v>11</v>
      </c>
      <c r="D361" s="25"/>
      <c r="E361" s="25" t="s">
        <v>267</v>
      </c>
      <c r="F361" s="311">
        <v>30000</v>
      </c>
      <c r="G361" s="311">
        <v>30000</v>
      </c>
      <c r="H361" s="311">
        <v>30000</v>
      </c>
      <c r="I361" s="311">
        <v>30026.2</v>
      </c>
      <c r="J361" s="311">
        <v>30084.7</v>
      </c>
      <c r="K361" s="75"/>
      <c r="L361" s="836"/>
      <c r="M361" s="836"/>
      <c r="N361" s="836"/>
      <c r="O361" s="836"/>
      <c r="P361" s="836"/>
      <c r="Q361" s="836"/>
    </row>
    <row r="362" spans="1:17" s="12" customFormat="1" ht="15" customHeight="1" x14ac:dyDescent="0.25">
      <c r="A362" s="22"/>
      <c r="B362" s="71"/>
      <c r="C362" s="29" t="s">
        <v>127</v>
      </c>
      <c r="D362" s="25"/>
      <c r="E362" s="25" t="s">
        <v>268</v>
      </c>
      <c r="F362" s="311">
        <v>30000</v>
      </c>
      <c r="G362" s="311">
        <v>30000</v>
      </c>
      <c r="H362" s="311">
        <v>30000</v>
      </c>
      <c r="I362" s="311">
        <v>30026.2</v>
      </c>
      <c r="J362" s="311">
        <v>30084.7</v>
      </c>
      <c r="K362" s="75"/>
      <c r="L362" s="836"/>
      <c r="M362" s="836"/>
      <c r="N362" s="836"/>
      <c r="O362" s="836"/>
      <c r="P362" s="836"/>
      <c r="Q362" s="836"/>
    </row>
    <row r="363" spans="1:17" s="12" customFormat="1" ht="15" customHeight="1" x14ac:dyDescent="0.25">
      <c r="A363" s="71"/>
      <c r="B363" s="71"/>
      <c r="C363" s="29" t="s">
        <v>129</v>
      </c>
      <c r="D363" s="25"/>
      <c r="E363" s="25" t="s">
        <v>269</v>
      </c>
      <c r="F363" s="486"/>
      <c r="G363" s="486">
        <v>156000</v>
      </c>
      <c r="H363" s="486">
        <v>156000</v>
      </c>
      <c r="I363" s="486">
        <v>156136</v>
      </c>
      <c r="J363" s="486">
        <v>156440.4</v>
      </c>
      <c r="K363" s="75"/>
      <c r="L363" s="836"/>
      <c r="M363" s="836"/>
      <c r="N363" s="836"/>
      <c r="O363" s="836"/>
      <c r="P363" s="836"/>
      <c r="Q363" s="836"/>
    </row>
    <row r="364" spans="1:17" s="12" customFormat="1" ht="15" customHeight="1" x14ac:dyDescent="0.25">
      <c r="A364" s="778" t="s">
        <v>270</v>
      </c>
      <c r="B364" s="2089" t="s">
        <v>85</v>
      </c>
      <c r="C364" s="2090"/>
      <c r="D364" s="2090"/>
      <c r="E364" s="2091"/>
      <c r="F364" s="8">
        <f>F357</f>
        <v>928155.2</v>
      </c>
      <c r="G364" s="8">
        <f t="shared" ref="G364:J364" si="52">G357</f>
        <v>1038222.2000000001</v>
      </c>
      <c r="H364" s="8">
        <f t="shared" si="52"/>
        <v>1086458.8</v>
      </c>
      <c r="I364" s="8">
        <f t="shared" si="52"/>
        <v>1073888.3999999999</v>
      </c>
      <c r="J364" s="8">
        <f t="shared" si="52"/>
        <v>1074309.7999999998</v>
      </c>
      <c r="K364" s="779"/>
      <c r="L364" s="779"/>
      <c r="M364" s="779"/>
      <c r="N364" s="779"/>
      <c r="O364" s="779"/>
      <c r="P364" s="779"/>
      <c r="Q364" s="780"/>
    </row>
    <row r="365" spans="1:17" s="12" customFormat="1" ht="15" customHeight="1" x14ac:dyDescent="0.25">
      <c r="A365" s="1696" t="s">
        <v>271</v>
      </c>
      <c r="B365" s="1697"/>
      <c r="C365" s="1697"/>
      <c r="D365" s="1697"/>
      <c r="E365" s="1697"/>
      <c r="F365" s="1697"/>
      <c r="G365" s="1697"/>
      <c r="H365" s="1697"/>
      <c r="I365" s="1697"/>
      <c r="J365" s="1697"/>
      <c r="K365" s="1697"/>
      <c r="L365" s="1697"/>
      <c r="M365" s="1697"/>
      <c r="N365" s="1697"/>
      <c r="O365" s="1697"/>
      <c r="P365" s="1697"/>
      <c r="Q365" s="2302"/>
    </row>
    <row r="366" spans="1:17" s="459" customFormat="1" ht="73.5" x14ac:dyDescent="0.25">
      <c r="A366" s="431"/>
      <c r="B366" s="515">
        <v>1</v>
      </c>
      <c r="C366" s="472"/>
      <c r="D366" s="415"/>
      <c r="E366" s="682" t="s">
        <v>927</v>
      </c>
      <c r="F366" s="683">
        <f>SUM(F367:F374)</f>
        <v>128349.09999999999</v>
      </c>
      <c r="G366" s="683">
        <f>SUM(G367:G374)</f>
        <v>144696.71</v>
      </c>
      <c r="H366" s="683">
        <f>SUM(H367:H374)</f>
        <v>154355.90000000002</v>
      </c>
      <c r="I366" s="683">
        <f>SUM(I367:I374)</f>
        <v>157080.6</v>
      </c>
      <c r="J366" s="683">
        <f>SUM(J367:J374)</f>
        <v>153078.1</v>
      </c>
      <c r="K366" s="693" t="s">
        <v>876</v>
      </c>
      <c r="L366" s="407"/>
      <c r="M366" s="879"/>
      <c r="N366" s="879"/>
      <c r="O366" s="879"/>
      <c r="P366" s="879"/>
      <c r="Q366" s="879"/>
    </row>
    <row r="367" spans="1:17" s="459" customFormat="1" x14ac:dyDescent="0.25">
      <c r="A367" s="431"/>
      <c r="B367" s="473"/>
      <c r="C367" s="870">
        <v>1</v>
      </c>
      <c r="D367" s="415"/>
      <c r="E367" s="474" t="s">
        <v>6</v>
      </c>
      <c r="F367" s="753">
        <v>3259.2</v>
      </c>
      <c r="G367" s="786">
        <v>3536.9</v>
      </c>
      <c r="H367" s="786">
        <v>8578.7999999999993</v>
      </c>
      <c r="I367" s="786">
        <v>8578.7999999999993</v>
      </c>
      <c r="J367" s="786">
        <v>8578.7999999999993</v>
      </c>
      <c r="K367" s="668" t="s">
        <v>36</v>
      </c>
      <c r="L367" s="475"/>
      <c r="M367" s="465"/>
      <c r="N367" s="465"/>
      <c r="O367" s="465"/>
      <c r="P367" s="475"/>
      <c r="Q367" s="475"/>
    </row>
    <row r="368" spans="1:17" s="459" customFormat="1" ht="30" x14ac:dyDescent="0.25">
      <c r="A368" s="431"/>
      <c r="B368" s="406"/>
      <c r="C368" s="870">
        <v>2</v>
      </c>
      <c r="D368" s="879"/>
      <c r="E368" s="659" t="s">
        <v>8</v>
      </c>
      <c r="F368" s="786">
        <v>3911.1</v>
      </c>
      <c r="G368" s="786">
        <v>4244.2</v>
      </c>
      <c r="H368" s="786">
        <v>3655</v>
      </c>
      <c r="I368" s="786">
        <v>3655</v>
      </c>
      <c r="J368" s="786">
        <v>3655</v>
      </c>
      <c r="K368" s="408" t="s">
        <v>38</v>
      </c>
      <c r="L368" s="848" t="s">
        <v>35</v>
      </c>
      <c r="M368" s="785">
        <v>99</v>
      </c>
      <c r="N368" s="785">
        <v>99</v>
      </c>
      <c r="O368" s="785">
        <v>99</v>
      </c>
      <c r="P368" s="785">
        <v>99</v>
      </c>
      <c r="Q368" s="785">
        <v>99</v>
      </c>
    </row>
    <row r="369" spans="1:17" s="459" customFormat="1" ht="30" x14ac:dyDescent="0.25">
      <c r="A369" s="431"/>
      <c r="B369" s="406"/>
      <c r="C369" s="870">
        <v>3</v>
      </c>
      <c r="D369" s="879"/>
      <c r="E369" s="659" t="s">
        <v>10</v>
      </c>
      <c r="F369" s="786">
        <v>3911.1</v>
      </c>
      <c r="G369" s="786">
        <v>4244.2</v>
      </c>
      <c r="H369" s="786">
        <v>3608.4</v>
      </c>
      <c r="I369" s="786">
        <v>3608.4</v>
      </c>
      <c r="J369" s="786">
        <v>3608.4</v>
      </c>
      <c r="K369" s="409" t="s">
        <v>39</v>
      </c>
      <c r="L369" s="848" t="s">
        <v>35</v>
      </c>
      <c r="M369" s="785">
        <v>90</v>
      </c>
      <c r="N369" s="785">
        <v>91</v>
      </c>
      <c r="O369" s="785">
        <v>90</v>
      </c>
      <c r="P369" s="785">
        <v>90</v>
      </c>
      <c r="Q369" s="785">
        <v>90</v>
      </c>
    </row>
    <row r="370" spans="1:17" s="459" customFormat="1" ht="30" x14ac:dyDescent="0.25">
      <c r="A370" s="431"/>
      <c r="B370" s="406"/>
      <c r="C370" s="870">
        <v>4</v>
      </c>
      <c r="D370" s="879"/>
      <c r="E370" s="659" t="s">
        <v>12</v>
      </c>
      <c r="F370" s="786">
        <v>5866.6</v>
      </c>
      <c r="G370" s="786">
        <v>6366.33</v>
      </c>
      <c r="H370" s="786">
        <v>5207</v>
      </c>
      <c r="I370" s="786">
        <v>5207</v>
      </c>
      <c r="J370" s="786">
        <v>5207</v>
      </c>
      <c r="K370" s="408" t="s">
        <v>191</v>
      </c>
      <c r="L370" s="848" t="s">
        <v>35</v>
      </c>
      <c r="M370" s="785">
        <v>95</v>
      </c>
      <c r="N370" s="785">
        <v>95</v>
      </c>
      <c r="O370" s="785">
        <v>95</v>
      </c>
      <c r="P370" s="785">
        <v>95</v>
      </c>
      <c r="Q370" s="785">
        <v>95</v>
      </c>
    </row>
    <row r="371" spans="1:17" s="459" customFormat="1" ht="30" x14ac:dyDescent="0.25">
      <c r="A371" s="431"/>
      <c r="B371" s="406"/>
      <c r="C371" s="870">
        <v>5</v>
      </c>
      <c r="D371" s="879"/>
      <c r="E371" s="659" t="s">
        <v>13</v>
      </c>
      <c r="F371" s="786">
        <v>1303.7</v>
      </c>
      <c r="G371" s="786">
        <v>1414.74</v>
      </c>
      <c r="H371" s="786">
        <v>1130</v>
      </c>
      <c r="I371" s="786">
        <v>1130</v>
      </c>
      <c r="J371" s="786">
        <v>1130</v>
      </c>
      <c r="K371" s="408" t="s">
        <v>194</v>
      </c>
      <c r="L371" s="848"/>
      <c r="M371" s="785">
        <v>1450</v>
      </c>
      <c r="N371" s="785">
        <v>1450</v>
      </c>
      <c r="O371" s="785">
        <v>1450</v>
      </c>
      <c r="P371" s="785">
        <v>1500</v>
      </c>
      <c r="Q371" s="785">
        <v>1500</v>
      </c>
    </row>
    <row r="372" spans="1:17" s="459" customFormat="1" ht="30" x14ac:dyDescent="0.25">
      <c r="A372" s="431"/>
      <c r="B372" s="2474"/>
      <c r="C372" s="872">
        <v>6</v>
      </c>
      <c r="D372" s="479"/>
      <c r="E372" s="2445" t="s">
        <v>14</v>
      </c>
      <c r="F372" s="2431">
        <v>97465.4</v>
      </c>
      <c r="G372" s="2431">
        <v>105258.34</v>
      </c>
      <c r="H372" s="1823">
        <f>66952.8+45917.8-325.9</f>
        <v>112544.70000000001</v>
      </c>
      <c r="I372" s="2431">
        <f>66952.8-1241.1-1974.9+41679.3-0.2+9895.5</f>
        <v>115311.40000000001</v>
      </c>
      <c r="J372" s="2431">
        <f>66952.8+5566.4+53253.7-14540.2-38.5</f>
        <v>111194.2</v>
      </c>
      <c r="K372" s="478" t="s">
        <v>272</v>
      </c>
      <c r="L372" s="477" t="s">
        <v>35</v>
      </c>
      <c r="M372" s="477">
        <v>16.842105263157894</v>
      </c>
      <c r="N372" s="477">
        <v>16.842105263157894</v>
      </c>
      <c r="O372" s="477">
        <f>71/285*100</f>
        <v>24.912280701754387</v>
      </c>
      <c r="P372" s="477">
        <f t="shared" ref="P372:Q372" si="53">71/285*100</f>
        <v>24.912280701754387</v>
      </c>
      <c r="Q372" s="477">
        <f t="shared" si="53"/>
        <v>24.912280701754387</v>
      </c>
    </row>
    <row r="373" spans="1:17" s="459" customFormat="1" x14ac:dyDescent="0.25">
      <c r="A373" s="431"/>
      <c r="B373" s="1953"/>
      <c r="C373" s="796"/>
      <c r="D373" s="480"/>
      <c r="E373" s="1852"/>
      <c r="F373" s="1824"/>
      <c r="G373" s="1824"/>
      <c r="H373" s="1824"/>
      <c r="I373" s="1824"/>
      <c r="J373" s="1824"/>
      <c r="K373" s="670"/>
      <c r="L373" s="476"/>
      <c r="M373" s="466">
        <v>20.714285714285715</v>
      </c>
      <c r="N373" s="466">
        <v>20.714285714285715</v>
      </c>
      <c r="O373" s="466">
        <f>145/700*100</f>
        <v>20.714285714285715</v>
      </c>
      <c r="P373" s="466">
        <f t="shared" ref="P373:Q373" si="54">145/700*100</f>
        <v>20.714285714285715</v>
      </c>
      <c r="Q373" s="466">
        <f t="shared" si="54"/>
        <v>20.714285714285715</v>
      </c>
    </row>
    <row r="374" spans="1:17" s="459" customFormat="1" ht="60" x14ac:dyDescent="0.25">
      <c r="A374" s="431"/>
      <c r="B374" s="406"/>
      <c r="C374" s="870">
        <v>15</v>
      </c>
      <c r="D374" s="879"/>
      <c r="E374" s="762" t="s">
        <v>1150</v>
      </c>
      <c r="F374" s="470">
        <v>12632</v>
      </c>
      <c r="G374" s="761">
        <v>19632</v>
      </c>
      <c r="H374" s="761">
        <f>2632+17000</f>
        <v>19632</v>
      </c>
      <c r="I374" s="761">
        <f>2590+17000</f>
        <v>19590</v>
      </c>
      <c r="J374" s="761">
        <f>2704.7+17000</f>
        <v>19704.7</v>
      </c>
      <c r="K374" s="764" t="s">
        <v>877</v>
      </c>
      <c r="L374" s="848" t="s">
        <v>274</v>
      </c>
      <c r="M374" s="679">
        <v>4725</v>
      </c>
      <c r="N374" s="679">
        <v>4950</v>
      </c>
      <c r="O374" s="679">
        <v>5000</v>
      </c>
      <c r="P374" s="679">
        <v>5050</v>
      </c>
      <c r="Q374" s="679">
        <v>5100</v>
      </c>
    </row>
    <row r="375" spans="1:17" s="459" customFormat="1" ht="45" customHeight="1" x14ac:dyDescent="0.25">
      <c r="A375" s="431"/>
      <c r="B375" s="2432">
        <v>2</v>
      </c>
      <c r="C375" s="2461"/>
      <c r="D375" s="2469"/>
      <c r="E375" s="411" t="s">
        <v>928</v>
      </c>
      <c r="F375" s="2457">
        <f>F377+F381+F382+F383</f>
        <v>58014.1</v>
      </c>
      <c r="G375" s="2457">
        <f>G377+G381+G382+G383</f>
        <v>63663.360000000001</v>
      </c>
      <c r="H375" s="2457">
        <f>H377+H381+H382+H383</f>
        <v>55518</v>
      </c>
      <c r="I375" s="2457">
        <f>I377+I381+I382+I383</f>
        <v>55518</v>
      </c>
      <c r="J375" s="2457">
        <f>J377+J381+J382+J383</f>
        <v>55518</v>
      </c>
      <c r="K375" s="2445" t="s">
        <v>878</v>
      </c>
      <c r="L375" s="660"/>
      <c r="M375" s="660" t="s">
        <v>275</v>
      </c>
      <c r="N375" s="660" t="s">
        <v>275</v>
      </c>
      <c r="O375" s="660" t="s">
        <v>275</v>
      </c>
      <c r="P375" s="660" t="s">
        <v>275</v>
      </c>
      <c r="Q375" s="660" t="s">
        <v>275</v>
      </c>
    </row>
    <row r="376" spans="1:17" s="459" customFormat="1" ht="75" customHeight="1" x14ac:dyDescent="0.25">
      <c r="A376" s="431"/>
      <c r="B376" s="2433"/>
      <c r="C376" s="2461"/>
      <c r="D376" s="2469"/>
      <c r="E376" s="560" t="s">
        <v>929</v>
      </c>
      <c r="F376" s="2458"/>
      <c r="G376" s="2458"/>
      <c r="H376" s="2458"/>
      <c r="I376" s="2458"/>
      <c r="J376" s="2458"/>
      <c r="K376" s="1852"/>
      <c r="L376" s="660"/>
      <c r="M376" s="262"/>
      <c r="N376" s="262"/>
      <c r="O376" s="262"/>
      <c r="P376" s="262"/>
      <c r="Q376" s="262"/>
    </row>
    <row r="377" spans="1:17" s="459" customFormat="1" ht="45" x14ac:dyDescent="0.25">
      <c r="A377" s="431"/>
      <c r="B377" s="561"/>
      <c r="C377" s="562">
        <v>1</v>
      </c>
      <c r="D377" s="413"/>
      <c r="E377" s="509" t="s">
        <v>930</v>
      </c>
      <c r="F377" s="1893">
        <v>34547.699999999997</v>
      </c>
      <c r="G377" s="1823">
        <v>38198.019999999997</v>
      </c>
      <c r="H377" s="1823">
        <v>33037.300000000003</v>
      </c>
      <c r="I377" s="1823">
        <v>33037.300000000003</v>
      </c>
      <c r="J377" s="1823">
        <v>33037.300000000003</v>
      </c>
      <c r="K377" s="774" t="s">
        <v>879</v>
      </c>
      <c r="L377" s="46" t="s">
        <v>35</v>
      </c>
      <c r="M377" s="915" t="s">
        <v>276</v>
      </c>
      <c r="N377" s="915" t="s">
        <v>276</v>
      </c>
      <c r="O377" s="414">
        <v>1</v>
      </c>
      <c r="P377" s="414">
        <v>1</v>
      </c>
      <c r="Q377" s="414">
        <v>1</v>
      </c>
    </row>
    <row r="378" spans="1:17" s="459" customFormat="1" x14ac:dyDescent="0.25">
      <c r="A378" s="431"/>
      <c r="B378" s="561"/>
      <c r="C378" s="795">
        <v>2</v>
      </c>
      <c r="D378" s="412"/>
      <c r="E378" s="693" t="s">
        <v>931</v>
      </c>
      <c r="F378" s="2103"/>
      <c r="G378" s="1847"/>
      <c r="H378" s="1847"/>
      <c r="I378" s="1847"/>
      <c r="J378" s="1847"/>
      <c r="K378" s="659" t="s">
        <v>880</v>
      </c>
      <c r="L378" s="665" t="s">
        <v>35</v>
      </c>
      <c r="M378" s="665">
        <v>54</v>
      </c>
      <c r="N378" s="665">
        <v>54</v>
      </c>
      <c r="O378" s="665">
        <v>54</v>
      </c>
      <c r="P378" s="665">
        <v>54</v>
      </c>
      <c r="Q378" s="665">
        <v>54</v>
      </c>
    </row>
    <row r="379" spans="1:17" s="459" customFormat="1" ht="60" x14ac:dyDescent="0.25">
      <c r="A379" s="431"/>
      <c r="B379" s="2432"/>
      <c r="C379" s="2168">
        <v>3</v>
      </c>
      <c r="D379" s="2454"/>
      <c r="E379" s="2445" t="s">
        <v>932</v>
      </c>
      <c r="F379" s="2103"/>
      <c r="G379" s="1847"/>
      <c r="H379" s="1847"/>
      <c r="I379" s="1847"/>
      <c r="J379" s="1847"/>
      <c r="K379" s="774" t="s">
        <v>277</v>
      </c>
      <c r="L379" s="46"/>
      <c r="M379" s="660" t="s">
        <v>275</v>
      </c>
      <c r="N379" s="660" t="s">
        <v>275</v>
      </c>
      <c r="O379" s="660" t="s">
        <v>275</v>
      </c>
      <c r="P379" s="660" t="s">
        <v>275</v>
      </c>
      <c r="Q379" s="660" t="s">
        <v>275</v>
      </c>
    </row>
    <row r="380" spans="1:17" s="459" customFormat="1" ht="75" x14ac:dyDescent="0.25">
      <c r="A380" s="431"/>
      <c r="B380" s="2433"/>
      <c r="C380" s="2169"/>
      <c r="D380" s="2455"/>
      <c r="E380" s="1852"/>
      <c r="F380" s="1894"/>
      <c r="G380" s="1824"/>
      <c r="H380" s="1824"/>
      <c r="I380" s="1824"/>
      <c r="J380" s="1824"/>
      <c r="K380" s="774" t="s">
        <v>278</v>
      </c>
      <c r="L380" s="46" t="s">
        <v>279</v>
      </c>
      <c r="M380" s="660">
        <v>20</v>
      </c>
      <c r="N380" s="660">
        <v>20</v>
      </c>
      <c r="O380" s="660">
        <v>20</v>
      </c>
      <c r="P380" s="660">
        <v>20</v>
      </c>
      <c r="Q380" s="660">
        <v>20</v>
      </c>
    </row>
    <row r="381" spans="1:17" s="459" customFormat="1" ht="30" x14ac:dyDescent="0.25">
      <c r="A381" s="431"/>
      <c r="B381" s="561"/>
      <c r="C381" s="870">
        <v>4</v>
      </c>
      <c r="D381" s="415"/>
      <c r="E381" s="678" t="s">
        <v>933</v>
      </c>
      <c r="F381" s="753">
        <v>10429.5</v>
      </c>
      <c r="G381" s="673">
        <v>11317.93</v>
      </c>
      <c r="H381" s="673">
        <v>9999.2000000000007</v>
      </c>
      <c r="I381" s="673">
        <v>9999.2000000000007</v>
      </c>
      <c r="J381" s="673">
        <v>9999.2000000000007</v>
      </c>
      <c r="K381" s="408" t="s">
        <v>280</v>
      </c>
      <c r="L381" s="416" t="s">
        <v>281</v>
      </c>
      <c r="M381" s="673">
        <v>140882.20000000001</v>
      </c>
      <c r="N381" s="673">
        <v>142129.79999999999</v>
      </c>
      <c r="O381" s="417">
        <v>157043.29999999999</v>
      </c>
      <c r="P381" s="417">
        <v>161890.29999999999</v>
      </c>
      <c r="Q381" s="673">
        <v>190140.7</v>
      </c>
    </row>
    <row r="382" spans="1:17" s="459" customFormat="1" ht="45" x14ac:dyDescent="0.25">
      <c r="A382" s="431"/>
      <c r="B382" s="561"/>
      <c r="C382" s="795">
        <v>5</v>
      </c>
      <c r="D382" s="418"/>
      <c r="E382" s="678" t="s">
        <v>934</v>
      </c>
      <c r="F382" s="753">
        <v>2607.4</v>
      </c>
      <c r="G382" s="786">
        <v>2829.48</v>
      </c>
      <c r="H382" s="786">
        <v>2385.6999999999998</v>
      </c>
      <c r="I382" s="786">
        <v>2385.6999999999998</v>
      </c>
      <c r="J382" s="786">
        <v>2385.6999999999998</v>
      </c>
      <c r="K382" s="659" t="s">
        <v>881</v>
      </c>
      <c r="L382" s="660" t="s">
        <v>282</v>
      </c>
      <c r="M382" s="660">
        <v>60</v>
      </c>
      <c r="N382" s="660">
        <v>60</v>
      </c>
      <c r="O382" s="660">
        <v>60</v>
      </c>
      <c r="P382" s="660">
        <v>60</v>
      </c>
      <c r="Q382" s="660">
        <v>50</v>
      </c>
    </row>
    <row r="383" spans="1:17" s="459" customFormat="1" ht="30" customHeight="1" x14ac:dyDescent="0.25">
      <c r="A383" s="431"/>
      <c r="B383" s="2432"/>
      <c r="C383" s="2553">
        <v>6</v>
      </c>
      <c r="D383" s="2555"/>
      <c r="E383" s="1845" t="s">
        <v>935</v>
      </c>
      <c r="F383" s="1823">
        <v>10429.5</v>
      </c>
      <c r="G383" s="1823">
        <v>11317.93</v>
      </c>
      <c r="H383" s="1823">
        <v>10095.799999999999</v>
      </c>
      <c r="I383" s="1823">
        <v>10095.799999999999</v>
      </c>
      <c r="J383" s="1823">
        <v>10095.799999999999</v>
      </c>
      <c r="K383" s="419" t="s">
        <v>283</v>
      </c>
      <c r="L383" s="416" t="s">
        <v>281</v>
      </c>
      <c r="M383" s="416">
        <v>10304.6</v>
      </c>
      <c r="N383" s="416">
        <v>9748.1</v>
      </c>
      <c r="O383" s="416">
        <v>10166.9</v>
      </c>
      <c r="P383" s="420">
        <v>8293</v>
      </c>
      <c r="Q383" s="416" t="s">
        <v>169</v>
      </c>
    </row>
    <row r="384" spans="1:17" s="459" customFormat="1" ht="30" x14ac:dyDescent="0.25">
      <c r="A384" s="431"/>
      <c r="B384" s="2433"/>
      <c r="C384" s="2554"/>
      <c r="D384" s="2556"/>
      <c r="E384" s="1852"/>
      <c r="F384" s="1824"/>
      <c r="G384" s="1824"/>
      <c r="H384" s="1824"/>
      <c r="I384" s="1824"/>
      <c r="J384" s="1824"/>
      <c r="K384" s="419" t="s">
        <v>284</v>
      </c>
      <c r="L384" s="416" t="s">
        <v>281</v>
      </c>
      <c r="M384" s="416">
        <v>27336.1</v>
      </c>
      <c r="N384" s="416">
        <v>34278.199999999997</v>
      </c>
      <c r="O384" s="420">
        <v>26965</v>
      </c>
      <c r="P384" s="416">
        <v>27931.1</v>
      </c>
      <c r="Q384" s="416" t="s">
        <v>169</v>
      </c>
    </row>
    <row r="385" spans="1:17" s="459" customFormat="1" ht="44.25" x14ac:dyDescent="0.25">
      <c r="A385" s="431"/>
      <c r="B385" s="508">
        <v>3</v>
      </c>
      <c r="C385" s="468"/>
      <c r="D385" s="861"/>
      <c r="E385" s="682" t="s">
        <v>936</v>
      </c>
      <c r="F385" s="683">
        <v>100558.9</v>
      </c>
      <c r="G385" s="683">
        <v>109242.35</v>
      </c>
      <c r="H385" s="683">
        <f>SUM(H386:H390)</f>
        <v>121797.90000000001</v>
      </c>
      <c r="I385" s="683">
        <f>SUM(I386:I390)</f>
        <v>121797.90000000001</v>
      </c>
      <c r="J385" s="683">
        <f>SUM(J386:J390)</f>
        <v>121797.90000000001</v>
      </c>
      <c r="K385" s="659" t="s">
        <v>1151</v>
      </c>
      <c r="L385" s="660" t="s">
        <v>35</v>
      </c>
      <c r="M385" s="660">
        <v>22.5</v>
      </c>
      <c r="N385" s="660">
        <v>22.5</v>
      </c>
      <c r="O385" s="660">
        <v>22.9</v>
      </c>
      <c r="P385" s="421">
        <v>23</v>
      </c>
      <c r="Q385" s="660">
        <v>23.1</v>
      </c>
    </row>
    <row r="386" spans="1:17" s="459" customFormat="1" ht="30" x14ac:dyDescent="0.25">
      <c r="A386" s="431"/>
      <c r="B386" s="2432"/>
      <c r="C386" s="2168">
        <v>1</v>
      </c>
      <c r="D386" s="2562"/>
      <c r="E386" s="2445" t="s">
        <v>937</v>
      </c>
      <c r="F386" s="1823">
        <v>7822.1</v>
      </c>
      <c r="G386" s="1837">
        <v>8488.4500000000007</v>
      </c>
      <c r="H386" s="1837">
        <v>7196.4</v>
      </c>
      <c r="I386" s="1837">
        <v>7196.4</v>
      </c>
      <c r="J386" s="1837">
        <v>7196.4</v>
      </c>
      <c r="K386" s="659" t="s">
        <v>1151</v>
      </c>
      <c r="L386" s="660" t="s">
        <v>35</v>
      </c>
      <c r="M386" s="660">
        <v>22.5</v>
      </c>
      <c r="N386" s="660">
        <v>22.5</v>
      </c>
      <c r="O386" s="660">
        <v>22.9</v>
      </c>
      <c r="P386" s="421">
        <v>23</v>
      </c>
      <c r="Q386" s="660">
        <v>23.1</v>
      </c>
    </row>
    <row r="387" spans="1:17" s="459" customFormat="1" ht="60" x14ac:dyDescent="0.25">
      <c r="A387" s="431"/>
      <c r="B387" s="2433"/>
      <c r="C387" s="2169"/>
      <c r="D387" s="2455"/>
      <c r="E387" s="2284"/>
      <c r="F387" s="1847"/>
      <c r="G387" s="1837"/>
      <c r="H387" s="1837"/>
      <c r="I387" s="1837"/>
      <c r="J387" s="1837"/>
      <c r="K387" s="659" t="s">
        <v>1154</v>
      </c>
      <c r="L387" s="660" t="s">
        <v>35</v>
      </c>
      <c r="M387" s="660">
        <v>0.5</v>
      </c>
      <c r="N387" s="660">
        <v>0.5</v>
      </c>
      <c r="O387" s="660">
        <v>0.5</v>
      </c>
      <c r="P387" s="660">
        <v>0.5</v>
      </c>
      <c r="Q387" s="660">
        <v>0.5</v>
      </c>
    </row>
    <row r="388" spans="1:17" s="459" customFormat="1" ht="45" x14ac:dyDescent="0.25">
      <c r="A388" s="431"/>
      <c r="B388" s="561"/>
      <c r="C388" s="870">
        <v>2</v>
      </c>
      <c r="D388" s="412"/>
      <c r="E388" s="693" t="s">
        <v>938</v>
      </c>
      <c r="F388" s="1824"/>
      <c r="G388" s="1837"/>
      <c r="H388" s="1837"/>
      <c r="I388" s="1837"/>
      <c r="J388" s="1837"/>
      <c r="K388" s="659" t="s">
        <v>1152</v>
      </c>
      <c r="L388" s="660" t="s">
        <v>285</v>
      </c>
      <c r="M388" s="660">
        <v>3</v>
      </c>
      <c r="N388" s="660">
        <v>4</v>
      </c>
      <c r="O388" s="660">
        <v>4</v>
      </c>
      <c r="P388" s="660">
        <v>4</v>
      </c>
      <c r="Q388" s="660">
        <v>4</v>
      </c>
    </row>
    <row r="389" spans="1:17" s="459" customFormat="1" ht="30" x14ac:dyDescent="0.25">
      <c r="A389" s="431"/>
      <c r="B389" s="561"/>
      <c r="C389" s="870">
        <v>3</v>
      </c>
      <c r="D389" s="412"/>
      <c r="E389" s="693" t="s">
        <v>939</v>
      </c>
      <c r="F389" s="786">
        <v>2607.4</v>
      </c>
      <c r="G389" s="786">
        <v>2829.48</v>
      </c>
      <c r="H389" s="786">
        <v>2320.4</v>
      </c>
      <c r="I389" s="786">
        <v>2320.4</v>
      </c>
      <c r="J389" s="786">
        <v>2320.4</v>
      </c>
      <c r="K389" s="659" t="s">
        <v>286</v>
      </c>
      <c r="L389" s="660" t="s">
        <v>281</v>
      </c>
      <c r="M389" s="786">
        <v>500</v>
      </c>
      <c r="N389" s="786">
        <v>700</v>
      </c>
      <c r="O389" s="786">
        <v>700</v>
      </c>
      <c r="P389" s="786">
        <v>800</v>
      </c>
      <c r="Q389" s="786">
        <v>900</v>
      </c>
    </row>
    <row r="390" spans="1:17" s="459" customFormat="1" ht="60" x14ac:dyDescent="0.25">
      <c r="A390" s="431"/>
      <c r="B390" s="561"/>
      <c r="C390" s="870">
        <v>4</v>
      </c>
      <c r="D390" s="412"/>
      <c r="E390" s="693" t="s">
        <v>940</v>
      </c>
      <c r="F390" s="786">
        <v>90129.4</v>
      </c>
      <c r="G390" s="786">
        <v>97924.42</v>
      </c>
      <c r="H390" s="786">
        <v>112281.1</v>
      </c>
      <c r="I390" s="786">
        <v>112281.1</v>
      </c>
      <c r="J390" s="786">
        <v>112281.1</v>
      </c>
      <c r="K390" s="659" t="s">
        <v>1153</v>
      </c>
      <c r="L390" s="660" t="s">
        <v>287</v>
      </c>
      <c r="M390" s="660">
        <v>71</v>
      </c>
      <c r="N390" s="660">
        <v>71</v>
      </c>
      <c r="O390" s="660">
        <v>71</v>
      </c>
      <c r="P390" s="660">
        <v>71</v>
      </c>
      <c r="Q390" s="660">
        <v>71</v>
      </c>
    </row>
    <row r="391" spans="1:17" s="459" customFormat="1" ht="59.25" x14ac:dyDescent="0.25">
      <c r="A391" s="431"/>
      <c r="B391" s="508">
        <v>4</v>
      </c>
      <c r="C391" s="468"/>
      <c r="D391" s="861"/>
      <c r="E391" s="422" t="s">
        <v>941</v>
      </c>
      <c r="F391" s="873">
        <f>F392</f>
        <v>5866.6</v>
      </c>
      <c r="G391" s="873">
        <f>G392</f>
        <v>6366.3</v>
      </c>
      <c r="H391" s="873">
        <f>H392</f>
        <v>5017.6000000000004</v>
      </c>
      <c r="I391" s="873">
        <f>I392</f>
        <v>5017.6000000000004</v>
      </c>
      <c r="J391" s="873">
        <f>J392</f>
        <v>5017.6000000000004</v>
      </c>
      <c r="K391" s="764" t="s">
        <v>288</v>
      </c>
      <c r="L391" s="785" t="s">
        <v>35</v>
      </c>
      <c r="M391" s="785" t="s">
        <v>289</v>
      </c>
      <c r="N391" s="785" t="s">
        <v>289</v>
      </c>
      <c r="O391" s="785" t="s">
        <v>289</v>
      </c>
      <c r="P391" s="785" t="s">
        <v>289</v>
      </c>
      <c r="Q391" s="785" t="s">
        <v>289</v>
      </c>
    </row>
    <row r="392" spans="1:17" s="459" customFormat="1" ht="30" x14ac:dyDescent="0.25">
      <c r="A392" s="431"/>
      <c r="B392" s="2432"/>
      <c r="C392" s="2446">
        <v>1</v>
      </c>
      <c r="D392" s="2456"/>
      <c r="E392" s="2316" t="s">
        <v>942</v>
      </c>
      <c r="F392" s="2431">
        <v>5866.6</v>
      </c>
      <c r="G392" s="2431">
        <v>6366.3</v>
      </c>
      <c r="H392" s="2431">
        <v>5017.6000000000004</v>
      </c>
      <c r="I392" s="2431">
        <v>5017.6000000000004</v>
      </c>
      <c r="J392" s="2431">
        <v>5017.6000000000004</v>
      </c>
      <c r="K392" s="423" t="s">
        <v>290</v>
      </c>
      <c r="L392" s="660" t="s">
        <v>291</v>
      </c>
      <c r="M392" s="660">
        <v>0</v>
      </c>
      <c r="N392" s="660">
        <v>0</v>
      </c>
      <c r="O392" s="660">
        <v>0</v>
      </c>
      <c r="P392" s="660">
        <v>0</v>
      </c>
      <c r="Q392" s="660">
        <v>0</v>
      </c>
    </row>
    <row r="393" spans="1:17" s="459" customFormat="1" ht="30" x14ac:dyDescent="0.25">
      <c r="A393" s="431"/>
      <c r="B393" s="2433"/>
      <c r="C393" s="2446"/>
      <c r="D393" s="2456"/>
      <c r="E393" s="1836"/>
      <c r="F393" s="1847"/>
      <c r="G393" s="1847"/>
      <c r="H393" s="1847"/>
      <c r="I393" s="1847"/>
      <c r="J393" s="1847"/>
      <c r="K393" s="659" t="s">
        <v>292</v>
      </c>
      <c r="L393" s="660" t="s">
        <v>35</v>
      </c>
      <c r="M393" s="660" t="s">
        <v>293</v>
      </c>
      <c r="N393" s="660" t="s">
        <v>293</v>
      </c>
      <c r="O393" s="660" t="s">
        <v>293</v>
      </c>
      <c r="P393" s="660" t="s">
        <v>293</v>
      </c>
      <c r="Q393" s="660" t="s">
        <v>293</v>
      </c>
    </row>
    <row r="394" spans="1:17" s="459" customFormat="1" ht="45" customHeight="1" x14ac:dyDescent="0.25">
      <c r="A394" s="431"/>
      <c r="B394" s="2432"/>
      <c r="C394" s="2565">
        <v>2</v>
      </c>
      <c r="D394" s="2447"/>
      <c r="E394" s="2316" t="s">
        <v>943</v>
      </c>
      <c r="F394" s="1847"/>
      <c r="G394" s="1847"/>
      <c r="H394" s="1847"/>
      <c r="I394" s="1847"/>
      <c r="J394" s="1847"/>
      <c r="K394" s="659" t="s">
        <v>294</v>
      </c>
      <c r="L394" s="660" t="s">
        <v>35</v>
      </c>
      <c r="M394" s="660">
        <v>100</v>
      </c>
      <c r="N394" s="660">
        <v>100</v>
      </c>
      <c r="O394" s="660">
        <v>100</v>
      </c>
      <c r="P394" s="660">
        <v>100</v>
      </c>
      <c r="Q394" s="660">
        <v>100</v>
      </c>
    </row>
    <row r="395" spans="1:17" s="459" customFormat="1" ht="45" x14ac:dyDescent="0.25">
      <c r="A395" s="431"/>
      <c r="B395" s="2460"/>
      <c r="C395" s="2565"/>
      <c r="D395" s="2447"/>
      <c r="E395" s="2139"/>
      <c r="F395" s="1847"/>
      <c r="G395" s="1847"/>
      <c r="H395" s="1847"/>
      <c r="I395" s="1847"/>
      <c r="J395" s="1847"/>
      <c r="K395" s="659" t="s">
        <v>295</v>
      </c>
      <c r="L395" s="660" t="s">
        <v>296</v>
      </c>
      <c r="M395" s="660" t="s">
        <v>297</v>
      </c>
      <c r="N395" s="660" t="s">
        <v>297</v>
      </c>
      <c r="O395" s="660" t="s">
        <v>297</v>
      </c>
      <c r="P395" s="660" t="s">
        <v>297</v>
      </c>
      <c r="Q395" s="660" t="s">
        <v>297</v>
      </c>
    </row>
    <row r="396" spans="1:17" s="459" customFormat="1" ht="30" x14ac:dyDescent="0.25">
      <c r="A396" s="431"/>
      <c r="B396" s="2433"/>
      <c r="C396" s="2565"/>
      <c r="D396" s="2447"/>
      <c r="E396" s="1836"/>
      <c r="F396" s="1824"/>
      <c r="G396" s="1824"/>
      <c r="H396" s="1824"/>
      <c r="I396" s="1824"/>
      <c r="J396" s="1824"/>
      <c r="K396" s="423" t="s">
        <v>298</v>
      </c>
      <c r="L396" s="660" t="s">
        <v>291</v>
      </c>
      <c r="M396" s="660">
        <v>0</v>
      </c>
      <c r="N396" s="660">
        <v>0</v>
      </c>
      <c r="O396" s="660">
        <v>0</v>
      </c>
      <c r="P396" s="660">
        <v>0</v>
      </c>
      <c r="Q396" s="660">
        <v>0</v>
      </c>
    </row>
    <row r="397" spans="1:17" s="459" customFormat="1" ht="105" x14ac:dyDescent="0.25">
      <c r="A397" s="431"/>
      <c r="B397" s="561">
        <v>5</v>
      </c>
      <c r="C397" s="876"/>
      <c r="D397" s="879"/>
      <c r="E397" s="410" t="s">
        <v>944</v>
      </c>
      <c r="F397" s="683">
        <v>131647.20000000001</v>
      </c>
      <c r="G397" s="683">
        <v>141729.13</v>
      </c>
      <c r="H397" s="683">
        <f>H398</f>
        <v>130373.9</v>
      </c>
      <c r="I397" s="683">
        <f t="shared" ref="I397:J397" si="55">I398</f>
        <v>130373.9</v>
      </c>
      <c r="J397" s="683">
        <f t="shared" si="55"/>
        <v>130373.9</v>
      </c>
      <c r="K397" s="659" t="s">
        <v>882</v>
      </c>
      <c r="L397" s="660" t="s">
        <v>35</v>
      </c>
      <c r="M397" s="660">
        <v>100</v>
      </c>
      <c r="N397" s="660">
        <v>100</v>
      </c>
      <c r="O397" s="660">
        <v>100</v>
      </c>
      <c r="P397" s="660">
        <v>100</v>
      </c>
      <c r="Q397" s="660">
        <v>100</v>
      </c>
    </row>
    <row r="398" spans="1:17" s="459" customFormat="1" ht="75" x14ac:dyDescent="0.25">
      <c r="A398" s="431"/>
      <c r="B398" s="2432"/>
      <c r="C398" s="2168">
        <v>1</v>
      </c>
      <c r="D398" s="2454"/>
      <c r="E398" s="2445" t="s">
        <v>945</v>
      </c>
      <c r="F398" s="753"/>
      <c r="G398" s="1823">
        <v>141729.13</v>
      </c>
      <c r="H398" s="1823">
        <f>22886.4+107487.5</f>
        <v>130373.9</v>
      </c>
      <c r="I398" s="1823">
        <f>22886.4+107487.5</f>
        <v>130373.9</v>
      </c>
      <c r="J398" s="1823">
        <f>22886.4+107487.5</f>
        <v>130373.9</v>
      </c>
      <c r="K398" s="659" t="s">
        <v>1155</v>
      </c>
      <c r="L398" s="660" t="s">
        <v>35</v>
      </c>
      <c r="M398" s="660">
        <v>100</v>
      </c>
      <c r="N398" s="660">
        <v>100</v>
      </c>
      <c r="O398" s="660">
        <v>100</v>
      </c>
      <c r="P398" s="660">
        <v>100</v>
      </c>
      <c r="Q398" s="660">
        <v>100</v>
      </c>
    </row>
    <row r="399" spans="1:17" s="459" customFormat="1" ht="60" x14ac:dyDescent="0.25">
      <c r="A399" s="431"/>
      <c r="B399" s="2433"/>
      <c r="C399" s="2446"/>
      <c r="D399" s="2456"/>
      <c r="E399" s="2284"/>
      <c r="F399" s="755"/>
      <c r="G399" s="1847"/>
      <c r="H399" s="1847"/>
      <c r="I399" s="1847"/>
      <c r="J399" s="1847"/>
      <c r="K399" s="659" t="s">
        <v>300</v>
      </c>
      <c r="L399" s="660" t="s">
        <v>35</v>
      </c>
      <c r="M399" s="660">
        <v>100</v>
      </c>
      <c r="N399" s="660">
        <v>100</v>
      </c>
      <c r="O399" s="660">
        <v>100</v>
      </c>
      <c r="P399" s="660">
        <v>100</v>
      </c>
      <c r="Q399" s="660">
        <v>100</v>
      </c>
    </row>
    <row r="400" spans="1:17" s="459" customFormat="1" ht="45" x14ac:dyDescent="0.25">
      <c r="A400" s="431"/>
      <c r="B400" s="561"/>
      <c r="C400" s="795">
        <v>2</v>
      </c>
      <c r="D400" s="860"/>
      <c r="E400" s="762" t="s">
        <v>946</v>
      </c>
      <c r="F400" s="755"/>
      <c r="G400" s="1847"/>
      <c r="H400" s="1847"/>
      <c r="I400" s="1847"/>
      <c r="J400" s="1847"/>
      <c r="K400" s="762" t="s">
        <v>883</v>
      </c>
      <c r="L400" s="660" t="s">
        <v>35</v>
      </c>
      <c r="M400" s="784">
        <v>102</v>
      </c>
      <c r="N400" s="784">
        <v>103</v>
      </c>
      <c r="O400" s="784">
        <v>103</v>
      </c>
      <c r="P400" s="784">
        <v>103</v>
      </c>
      <c r="Q400" s="784">
        <v>103</v>
      </c>
    </row>
    <row r="401" spans="1:17" s="459" customFormat="1" ht="45" x14ac:dyDescent="0.25">
      <c r="A401" s="431"/>
      <c r="B401" s="2432"/>
      <c r="C401" s="2168">
        <v>3</v>
      </c>
      <c r="D401" s="2454"/>
      <c r="E401" s="2445" t="s">
        <v>947</v>
      </c>
      <c r="F401" s="755">
        <v>131647.20000000001</v>
      </c>
      <c r="G401" s="1847"/>
      <c r="H401" s="1847"/>
      <c r="I401" s="1847"/>
      <c r="J401" s="1847"/>
      <c r="K401" s="659" t="s">
        <v>301</v>
      </c>
      <c r="L401" s="660" t="s">
        <v>302</v>
      </c>
      <c r="M401" s="425" t="s">
        <v>303</v>
      </c>
      <c r="N401" s="425" t="s">
        <v>303</v>
      </c>
      <c r="O401" s="425" t="s">
        <v>303</v>
      </c>
      <c r="P401" s="425" t="s">
        <v>303</v>
      </c>
      <c r="Q401" s="425" t="s">
        <v>303</v>
      </c>
    </row>
    <row r="402" spans="1:17" s="459" customFormat="1" ht="45" x14ac:dyDescent="0.25">
      <c r="A402" s="431"/>
      <c r="B402" s="2460"/>
      <c r="C402" s="2446"/>
      <c r="D402" s="2456"/>
      <c r="E402" s="2283"/>
      <c r="F402" s="755"/>
      <c r="G402" s="1847"/>
      <c r="H402" s="1847"/>
      <c r="I402" s="1847"/>
      <c r="J402" s="1847"/>
      <c r="K402" s="659" t="s">
        <v>304</v>
      </c>
      <c r="L402" s="660" t="s">
        <v>302</v>
      </c>
      <c r="M402" s="425" t="s">
        <v>305</v>
      </c>
      <c r="N402" s="425" t="s">
        <v>305</v>
      </c>
      <c r="O402" s="425" t="s">
        <v>305</v>
      </c>
      <c r="P402" s="425" t="s">
        <v>305</v>
      </c>
      <c r="Q402" s="425" t="s">
        <v>305</v>
      </c>
    </row>
    <row r="403" spans="1:17" s="459" customFormat="1" ht="45" x14ac:dyDescent="0.25">
      <c r="A403" s="431"/>
      <c r="B403" s="2433"/>
      <c r="C403" s="2169"/>
      <c r="D403" s="2455"/>
      <c r="E403" s="2284"/>
      <c r="F403" s="755"/>
      <c r="G403" s="1847"/>
      <c r="H403" s="1847"/>
      <c r="I403" s="1847"/>
      <c r="J403" s="1847"/>
      <c r="K403" s="659" t="s">
        <v>1156</v>
      </c>
      <c r="L403" s="660" t="s">
        <v>302</v>
      </c>
      <c r="M403" s="425" t="s">
        <v>306</v>
      </c>
      <c r="N403" s="425" t="s">
        <v>306</v>
      </c>
      <c r="O403" s="425" t="s">
        <v>306</v>
      </c>
      <c r="P403" s="425" t="s">
        <v>306</v>
      </c>
      <c r="Q403" s="425" t="s">
        <v>306</v>
      </c>
    </row>
    <row r="404" spans="1:17" s="459" customFormat="1" ht="105" x14ac:dyDescent="0.25">
      <c r="A404" s="431"/>
      <c r="B404" s="561"/>
      <c r="C404" s="795">
        <v>4</v>
      </c>
      <c r="D404" s="860"/>
      <c r="E404" s="693" t="s">
        <v>948</v>
      </c>
      <c r="F404" s="754"/>
      <c r="G404" s="1824"/>
      <c r="H404" s="1824"/>
      <c r="I404" s="1824"/>
      <c r="J404" s="1824"/>
      <c r="K404" s="659" t="s">
        <v>299</v>
      </c>
      <c r="L404" s="660" t="s">
        <v>35</v>
      </c>
      <c r="M404" s="425">
        <v>100</v>
      </c>
      <c r="N404" s="425">
        <v>100</v>
      </c>
      <c r="O404" s="425">
        <v>100</v>
      </c>
      <c r="P404" s="425">
        <v>100</v>
      </c>
      <c r="Q404" s="425">
        <v>100</v>
      </c>
    </row>
    <row r="405" spans="1:17" s="459" customFormat="1" ht="117.75" x14ac:dyDescent="0.25">
      <c r="A405" s="431"/>
      <c r="B405" s="508">
        <v>6</v>
      </c>
      <c r="C405" s="876"/>
      <c r="D405" s="879"/>
      <c r="E405" s="410" t="s">
        <v>949</v>
      </c>
      <c r="F405" s="683">
        <v>12590.1</v>
      </c>
      <c r="G405" s="683">
        <v>23831.5</v>
      </c>
      <c r="H405" s="683">
        <f>H406</f>
        <v>12431.5</v>
      </c>
      <c r="I405" s="683">
        <f t="shared" ref="I405:J405" si="56">I406</f>
        <v>12233.2</v>
      </c>
      <c r="J405" s="683">
        <f t="shared" si="56"/>
        <v>12774.7</v>
      </c>
      <c r="K405" s="693" t="s">
        <v>307</v>
      </c>
      <c r="L405" s="660" t="s">
        <v>35</v>
      </c>
      <c r="M405" s="660">
        <v>100</v>
      </c>
      <c r="N405" s="660">
        <v>100</v>
      </c>
      <c r="O405" s="704"/>
      <c r="P405" s="704"/>
      <c r="Q405" s="704"/>
    </row>
    <row r="406" spans="1:17" s="459" customFormat="1" ht="60" customHeight="1" x14ac:dyDescent="0.25">
      <c r="A406" s="431"/>
      <c r="B406" s="2432"/>
      <c r="C406" s="2563">
        <v>3</v>
      </c>
      <c r="D406" s="2564"/>
      <c r="E406" s="2445" t="s">
        <v>950</v>
      </c>
      <c r="F406" s="1823">
        <v>12590.1</v>
      </c>
      <c r="G406" s="1823">
        <v>23831.5</v>
      </c>
      <c r="H406" s="1823">
        <v>12431.5</v>
      </c>
      <c r="I406" s="1823">
        <v>12233.2</v>
      </c>
      <c r="J406" s="1823">
        <v>12774.7</v>
      </c>
      <c r="K406" s="426" t="s">
        <v>308</v>
      </c>
      <c r="L406" s="784" t="s">
        <v>40</v>
      </c>
      <c r="M406" s="784">
        <v>438</v>
      </c>
      <c r="N406" s="784">
        <v>440</v>
      </c>
      <c r="O406" s="787"/>
      <c r="P406" s="787"/>
      <c r="Q406" s="787"/>
    </row>
    <row r="407" spans="1:17" s="459" customFormat="1" ht="45" x14ac:dyDescent="0.25">
      <c r="A407" s="431"/>
      <c r="B407" s="2460"/>
      <c r="C407" s="2563"/>
      <c r="D407" s="2564"/>
      <c r="E407" s="1846"/>
      <c r="F407" s="1847"/>
      <c r="G407" s="1847"/>
      <c r="H407" s="1847"/>
      <c r="I407" s="1847"/>
      <c r="J407" s="1847"/>
      <c r="K407" s="678" t="s">
        <v>309</v>
      </c>
      <c r="L407" s="660" t="s">
        <v>35</v>
      </c>
      <c r="M407" s="660">
        <v>80</v>
      </c>
      <c r="N407" s="660">
        <v>80</v>
      </c>
      <c r="O407" s="704"/>
      <c r="P407" s="704"/>
      <c r="Q407" s="704"/>
    </row>
    <row r="408" spans="1:17" s="459" customFormat="1" x14ac:dyDescent="0.25">
      <c r="A408" s="431"/>
      <c r="B408" s="2433"/>
      <c r="C408" s="2563"/>
      <c r="D408" s="2564"/>
      <c r="E408" s="1852"/>
      <c r="F408" s="1847"/>
      <c r="G408" s="1847"/>
      <c r="H408" s="1847"/>
      <c r="I408" s="1847"/>
      <c r="J408" s="1847"/>
      <c r="K408" s="678" t="s">
        <v>310</v>
      </c>
      <c r="L408" s="660" t="s">
        <v>311</v>
      </c>
      <c r="M408" s="421">
        <v>1460</v>
      </c>
      <c r="N408" s="421">
        <v>1480</v>
      </c>
      <c r="O408" s="704"/>
      <c r="P408" s="704"/>
      <c r="Q408" s="704"/>
    </row>
    <row r="409" spans="1:17" s="459" customFormat="1" ht="45" x14ac:dyDescent="0.25">
      <c r="A409" s="431"/>
      <c r="B409" s="508"/>
      <c r="C409" s="867">
        <v>2</v>
      </c>
      <c r="D409" s="868"/>
      <c r="E409" s="659" t="s">
        <v>951</v>
      </c>
      <c r="F409" s="1847"/>
      <c r="G409" s="1847"/>
      <c r="H409" s="1847"/>
      <c r="I409" s="1847"/>
      <c r="J409" s="1847"/>
      <c r="K409" s="678" t="s">
        <v>312</v>
      </c>
      <c r="L409" s="660" t="s">
        <v>311</v>
      </c>
      <c r="M409" s="660">
        <v>2300</v>
      </c>
      <c r="N409" s="660">
        <v>2340</v>
      </c>
      <c r="O409" s="704">
        <v>2380</v>
      </c>
      <c r="P409" s="704">
        <v>2420</v>
      </c>
      <c r="Q409" s="704">
        <v>2460</v>
      </c>
    </row>
    <row r="410" spans="1:17" s="459" customFormat="1" ht="60" x14ac:dyDescent="0.25">
      <c r="A410" s="431"/>
      <c r="B410" s="508"/>
      <c r="C410" s="434">
        <v>3</v>
      </c>
      <c r="D410" s="427"/>
      <c r="E410" s="659" t="s">
        <v>952</v>
      </c>
      <c r="F410" s="1824"/>
      <c r="G410" s="1824"/>
      <c r="H410" s="1824"/>
      <c r="I410" s="1824"/>
      <c r="J410" s="1824"/>
      <c r="K410" s="693" t="s">
        <v>307</v>
      </c>
      <c r="L410" s="660" t="s">
        <v>35</v>
      </c>
      <c r="M410" s="660">
        <v>100</v>
      </c>
      <c r="N410" s="660">
        <v>100</v>
      </c>
      <c r="O410" s="704"/>
      <c r="P410" s="704"/>
      <c r="Q410" s="704"/>
    </row>
    <row r="411" spans="1:17" s="459" customFormat="1" ht="67.5" customHeight="1" x14ac:dyDescent="0.25">
      <c r="A411" s="431"/>
      <c r="B411" s="508">
        <v>7</v>
      </c>
      <c r="C411" s="876"/>
      <c r="D411" s="879"/>
      <c r="E411" s="410" t="s">
        <v>953</v>
      </c>
      <c r="F411" s="683">
        <v>23465</v>
      </c>
      <c r="G411" s="683">
        <v>22175.739999999998</v>
      </c>
      <c r="H411" s="683">
        <f>H412+H413+H414+H415</f>
        <v>20145.7</v>
      </c>
      <c r="I411" s="683">
        <f t="shared" ref="I411" si="57">I412+I413+I414+I415</f>
        <v>19875.399999999998</v>
      </c>
      <c r="J411" s="683">
        <f>J412+J413+J414+J415</f>
        <v>20413.599999999999</v>
      </c>
      <c r="K411" s="659" t="s">
        <v>884</v>
      </c>
      <c r="L411" s="660" t="s">
        <v>313</v>
      </c>
      <c r="M411" s="660" t="s">
        <v>314</v>
      </c>
      <c r="N411" s="660" t="s">
        <v>314</v>
      </c>
      <c r="O411" s="704" t="s">
        <v>893</v>
      </c>
      <c r="P411" s="704" t="s">
        <v>893</v>
      </c>
      <c r="Q411" s="704" t="s">
        <v>893</v>
      </c>
    </row>
    <row r="412" spans="1:17" s="459" customFormat="1" x14ac:dyDescent="0.25">
      <c r="A412" s="431"/>
      <c r="B412" s="561"/>
      <c r="C412" s="870">
        <v>1</v>
      </c>
      <c r="D412" s="418"/>
      <c r="E412" s="678" t="s">
        <v>954</v>
      </c>
      <c r="F412" s="786">
        <v>3911.1</v>
      </c>
      <c r="G412" s="786">
        <v>4244.22</v>
      </c>
      <c r="H412" s="786">
        <v>4544.3999999999996</v>
      </c>
      <c r="I412" s="786">
        <v>4544.3999999999996</v>
      </c>
      <c r="J412" s="786">
        <v>4544.3999999999996</v>
      </c>
      <c r="K412" s="659" t="s">
        <v>885</v>
      </c>
      <c r="L412" s="660" t="s">
        <v>315</v>
      </c>
      <c r="M412" s="660">
        <v>1508</v>
      </c>
      <c r="N412" s="660">
        <v>1460</v>
      </c>
      <c r="O412" s="660">
        <v>1491</v>
      </c>
      <c r="P412" s="660">
        <v>1492</v>
      </c>
      <c r="Q412" s="660">
        <v>1471</v>
      </c>
    </row>
    <row r="413" spans="1:17" s="459" customFormat="1" ht="45" x14ac:dyDescent="0.25">
      <c r="A413" s="431"/>
      <c r="B413" s="561"/>
      <c r="C413" s="563">
        <v>2</v>
      </c>
      <c r="D413" s="418"/>
      <c r="E413" s="678" t="s">
        <v>955</v>
      </c>
      <c r="F413" s="786">
        <v>2607.4</v>
      </c>
      <c r="G413" s="786">
        <v>707.37</v>
      </c>
      <c r="H413" s="786">
        <v>639.29999999999995</v>
      </c>
      <c r="I413" s="786">
        <v>639.29999999999995</v>
      </c>
      <c r="J413" s="786">
        <v>639.29999999999995</v>
      </c>
      <c r="K413" s="659" t="s">
        <v>884</v>
      </c>
      <c r="L413" s="660" t="s">
        <v>313</v>
      </c>
      <c r="M413" s="660" t="s">
        <v>314</v>
      </c>
      <c r="N413" s="660" t="s">
        <v>314</v>
      </c>
      <c r="O413" s="660" t="s">
        <v>893</v>
      </c>
      <c r="P413" s="660" t="s">
        <v>893</v>
      </c>
      <c r="Q413" s="660" t="s">
        <v>893</v>
      </c>
    </row>
    <row r="414" spans="1:17" s="459" customFormat="1" ht="45" x14ac:dyDescent="0.25">
      <c r="A414" s="431"/>
      <c r="B414" s="561"/>
      <c r="C414" s="563">
        <v>3</v>
      </c>
      <c r="D414" s="418"/>
      <c r="E414" s="678" t="s">
        <v>956</v>
      </c>
      <c r="F414" s="786">
        <v>13687.3</v>
      </c>
      <c r="G414" s="786">
        <v>13687.3</v>
      </c>
      <c r="H414" s="786">
        <v>12074.2</v>
      </c>
      <c r="I414" s="786">
        <v>11803.9</v>
      </c>
      <c r="J414" s="786">
        <v>12342.1</v>
      </c>
      <c r="K414" s="659" t="s">
        <v>316</v>
      </c>
      <c r="L414" s="660"/>
      <c r="M414" s="660">
        <v>4</v>
      </c>
      <c r="N414" s="660">
        <v>5</v>
      </c>
      <c r="O414" s="660">
        <v>5</v>
      </c>
      <c r="P414" s="660">
        <v>5</v>
      </c>
      <c r="Q414" s="660">
        <v>5</v>
      </c>
    </row>
    <row r="415" spans="1:17" s="459" customFormat="1" ht="45" x14ac:dyDescent="0.25">
      <c r="A415" s="431"/>
      <c r="B415" s="561"/>
      <c r="C415" s="870">
        <v>4</v>
      </c>
      <c r="D415" s="418"/>
      <c r="E415" s="678" t="s">
        <v>957</v>
      </c>
      <c r="F415" s="786">
        <v>3259.2</v>
      </c>
      <c r="G415" s="786">
        <v>3536.85</v>
      </c>
      <c r="H415" s="786">
        <v>2887.8</v>
      </c>
      <c r="I415" s="786">
        <v>2887.8</v>
      </c>
      <c r="J415" s="786">
        <v>2887.8</v>
      </c>
      <c r="K415" s="659" t="s">
        <v>886</v>
      </c>
      <c r="L415" s="660" t="s">
        <v>282</v>
      </c>
      <c r="M415" s="660">
        <v>17</v>
      </c>
      <c r="N415" s="660">
        <v>11</v>
      </c>
      <c r="O415" s="660">
        <v>16</v>
      </c>
      <c r="P415" s="660">
        <v>16</v>
      </c>
      <c r="Q415" s="660">
        <v>16</v>
      </c>
    </row>
    <row r="416" spans="1:17" s="459" customFormat="1" ht="73.5" x14ac:dyDescent="0.25">
      <c r="A416" s="431"/>
      <c r="B416" s="508">
        <v>8</v>
      </c>
      <c r="C416" s="876"/>
      <c r="D416" s="879"/>
      <c r="E416" s="410" t="s">
        <v>958</v>
      </c>
      <c r="F416" s="683">
        <f>F417+F418+F420+F425</f>
        <v>14340.199999999999</v>
      </c>
      <c r="G416" s="683">
        <f>G417+G418+G420+G425</f>
        <v>15991.57</v>
      </c>
      <c r="H416" s="683">
        <f>H417+H418+H420+H425</f>
        <v>16335.699999999999</v>
      </c>
      <c r="I416" s="683">
        <f>I417+I418+I420+I425</f>
        <v>16330.3</v>
      </c>
      <c r="J416" s="683">
        <f>J417+J418+J420+J425</f>
        <v>16530.3</v>
      </c>
      <c r="K416" s="774" t="s">
        <v>317</v>
      </c>
      <c r="L416" s="915"/>
      <c r="M416" s="429" t="s">
        <v>318</v>
      </c>
      <c r="N416" s="429" t="s">
        <v>318</v>
      </c>
      <c r="O416" s="429" t="s">
        <v>318</v>
      </c>
      <c r="P416" s="429" t="s">
        <v>318</v>
      </c>
      <c r="Q416" s="429" t="s">
        <v>318</v>
      </c>
    </row>
    <row r="417" spans="1:17" s="459" customFormat="1" ht="75" x14ac:dyDescent="0.25">
      <c r="A417" s="431"/>
      <c r="B417" s="561"/>
      <c r="C417" s="870">
        <v>1</v>
      </c>
      <c r="D417" s="418"/>
      <c r="E417" s="678" t="s">
        <v>959</v>
      </c>
      <c r="F417" s="786">
        <v>1955.5</v>
      </c>
      <c r="G417" s="786">
        <v>2122.11</v>
      </c>
      <c r="H417" s="786">
        <v>2153.8000000000002</v>
      </c>
      <c r="I417" s="786">
        <v>2153.8000000000002</v>
      </c>
      <c r="J417" s="786">
        <v>2153.8000000000002</v>
      </c>
      <c r="K417" s="659" t="s">
        <v>319</v>
      </c>
      <c r="L417" s="660" t="s">
        <v>320</v>
      </c>
      <c r="M417" s="660">
        <v>4</v>
      </c>
      <c r="N417" s="660">
        <v>4</v>
      </c>
      <c r="O417" s="660">
        <v>1</v>
      </c>
      <c r="P417" s="660">
        <v>1</v>
      </c>
      <c r="Q417" s="660">
        <v>1</v>
      </c>
    </row>
    <row r="418" spans="1:17" s="459" customFormat="1" ht="30" customHeight="1" x14ac:dyDescent="0.25">
      <c r="A418" s="431"/>
      <c r="B418" s="2432"/>
      <c r="C418" s="2470">
        <v>2</v>
      </c>
      <c r="D418" s="2454"/>
      <c r="E418" s="2445" t="s">
        <v>960</v>
      </c>
      <c r="F418" s="1823">
        <v>2607.4</v>
      </c>
      <c r="G418" s="1823">
        <v>2829.48</v>
      </c>
      <c r="H418" s="1823">
        <v>2527.5</v>
      </c>
      <c r="I418" s="1823">
        <v>2527.5</v>
      </c>
      <c r="J418" s="1823">
        <v>2527.5</v>
      </c>
      <c r="K418" s="659" t="s">
        <v>887</v>
      </c>
      <c r="L418" s="660" t="s">
        <v>320</v>
      </c>
      <c r="M418" s="660">
        <v>3</v>
      </c>
      <c r="N418" s="660">
        <v>3</v>
      </c>
      <c r="O418" s="660">
        <v>3</v>
      </c>
      <c r="P418" s="660">
        <v>3</v>
      </c>
      <c r="Q418" s="660">
        <v>3</v>
      </c>
    </row>
    <row r="419" spans="1:17" s="459" customFormat="1" ht="45" x14ac:dyDescent="0.25">
      <c r="A419" s="431"/>
      <c r="B419" s="2433"/>
      <c r="C419" s="2169"/>
      <c r="D419" s="2455"/>
      <c r="E419" s="2284"/>
      <c r="F419" s="1824"/>
      <c r="G419" s="1824"/>
      <c r="H419" s="1824"/>
      <c r="I419" s="1824"/>
      <c r="J419" s="1824"/>
      <c r="K419" s="764" t="s">
        <v>888</v>
      </c>
      <c r="L419" s="785" t="s">
        <v>35</v>
      </c>
      <c r="M419" s="430">
        <v>1</v>
      </c>
      <c r="N419" s="430">
        <v>1</v>
      </c>
      <c r="O419" s="430">
        <v>1</v>
      </c>
      <c r="P419" s="430">
        <v>1</v>
      </c>
      <c r="Q419" s="430">
        <v>1</v>
      </c>
    </row>
    <row r="420" spans="1:17" s="459" customFormat="1" x14ac:dyDescent="0.25">
      <c r="A420" s="431"/>
      <c r="B420" s="561"/>
      <c r="C420" s="870">
        <v>3</v>
      </c>
      <c r="D420" s="418"/>
      <c r="E420" s="693" t="s">
        <v>961</v>
      </c>
      <c r="F420" s="1823">
        <v>3258.9</v>
      </c>
      <c r="G420" s="1837">
        <v>3258.9</v>
      </c>
      <c r="H420" s="1837">
        <v>4872</v>
      </c>
      <c r="I420" s="1837">
        <v>4872</v>
      </c>
      <c r="J420" s="1837">
        <v>5072</v>
      </c>
      <c r="K420" s="1845" t="s">
        <v>889</v>
      </c>
      <c r="L420" s="2314"/>
      <c r="M420" s="1840" t="s">
        <v>321</v>
      </c>
      <c r="N420" s="1840" t="s">
        <v>321</v>
      </c>
      <c r="O420" s="1840" t="s">
        <v>321</v>
      </c>
      <c r="P420" s="1840" t="s">
        <v>321</v>
      </c>
      <c r="Q420" s="1840" t="s">
        <v>321</v>
      </c>
    </row>
    <row r="421" spans="1:17" s="459" customFormat="1" ht="30" x14ac:dyDescent="0.25">
      <c r="A421" s="431"/>
      <c r="B421" s="561"/>
      <c r="C421" s="795">
        <v>4</v>
      </c>
      <c r="D421" s="418"/>
      <c r="E421" s="424" t="s">
        <v>962</v>
      </c>
      <c r="F421" s="1847"/>
      <c r="G421" s="1837"/>
      <c r="H421" s="1837"/>
      <c r="I421" s="1837"/>
      <c r="J421" s="1837"/>
      <c r="K421" s="1852"/>
      <c r="L421" s="2315"/>
      <c r="M421" s="1841"/>
      <c r="N421" s="1841"/>
      <c r="O421" s="1841"/>
      <c r="P421" s="1841"/>
      <c r="Q421" s="1841"/>
    </row>
    <row r="422" spans="1:17" s="459" customFormat="1" ht="60" x14ac:dyDescent="0.25">
      <c r="A422" s="431"/>
      <c r="B422" s="2432"/>
      <c r="C422" s="2168">
        <v>5</v>
      </c>
      <c r="D422" s="2447"/>
      <c r="E422" s="2316" t="s">
        <v>963</v>
      </c>
      <c r="F422" s="1847"/>
      <c r="G422" s="1837"/>
      <c r="H422" s="1837"/>
      <c r="I422" s="1837"/>
      <c r="J422" s="1837"/>
      <c r="K422" s="423" t="s">
        <v>890</v>
      </c>
      <c r="L422" s="660"/>
      <c r="M422" s="660">
        <v>100</v>
      </c>
      <c r="N422" s="660">
        <v>100</v>
      </c>
      <c r="O422" s="660">
        <v>100</v>
      </c>
      <c r="P422" s="660">
        <v>100</v>
      </c>
      <c r="Q422" s="660">
        <v>100</v>
      </c>
    </row>
    <row r="423" spans="1:17" s="459" customFormat="1" ht="60" x14ac:dyDescent="0.25">
      <c r="A423" s="431"/>
      <c r="B423" s="2460"/>
      <c r="C423" s="2446"/>
      <c r="D423" s="2447"/>
      <c r="E423" s="2139"/>
      <c r="F423" s="1847"/>
      <c r="G423" s="1837"/>
      <c r="H423" s="1837"/>
      <c r="I423" s="1837"/>
      <c r="J423" s="1837"/>
      <c r="K423" s="659" t="s">
        <v>322</v>
      </c>
      <c r="L423" s="660"/>
      <c r="M423" s="660" t="s">
        <v>323</v>
      </c>
      <c r="N423" s="660" t="s">
        <v>324</v>
      </c>
      <c r="O423" s="660" t="s">
        <v>325</v>
      </c>
      <c r="P423" s="660" t="s">
        <v>325</v>
      </c>
      <c r="Q423" s="660" t="s">
        <v>325</v>
      </c>
    </row>
    <row r="424" spans="1:17" s="459" customFormat="1" ht="30" x14ac:dyDescent="0.25">
      <c r="A424" s="431"/>
      <c r="B424" s="2433"/>
      <c r="C424" s="2169"/>
      <c r="D424" s="2447"/>
      <c r="E424" s="1836"/>
      <c r="F424" s="1824"/>
      <c r="G424" s="1837"/>
      <c r="H424" s="1837"/>
      <c r="I424" s="1837"/>
      <c r="J424" s="1837"/>
      <c r="K424" s="762" t="s">
        <v>891</v>
      </c>
      <c r="L424" s="660"/>
      <c r="M424" s="660">
        <v>100</v>
      </c>
      <c r="N424" s="660">
        <v>100</v>
      </c>
      <c r="O424" s="660">
        <v>100</v>
      </c>
      <c r="P424" s="660">
        <v>100</v>
      </c>
      <c r="Q424" s="660">
        <v>100</v>
      </c>
    </row>
    <row r="425" spans="1:17" s="459" customFormat="1" ht="75" x14ac:dyDescent="0.25">
      <c r="A425" s="431"/>
      <c r="B425" s="561"/>
      <c r="C425" s="867">
        <v>6</v>
      </c>
      <c r="D425" s="432"/>
      <c r="E425" s="694" t="s">
        <v>964</v>
      </c>
      <c r="F425" s="1823">
        <v>6518.4</v>
      </c>
      <c r="G425" s="1823">
        <v>7781.08</v>
      </c>
      <c r="H425" s="1823">
        <f>6777+5.4</f>
        <v>6782.4</v>
      </c>
      <c r="I425" s="1823">
        <v>6777</v>
      </c>
      <c r="J425" s="1823">
        <v>6777</v>
      </c>
      <c r="K425" s="433" t="s">
        <v>326</v>
      </c>
      <c r="L425" s="662" t="s">
        <v>203</v>
      </c>
      <c r="M425" s="660">
        <v>40</v>
      </c>
      <c r="N425" s="660">
        <v>40</v>
      </c>
      <c r="O425" s="660">
        <v>40</v>
      </c>
      <c r="P425" s="660">
        <v>40</v>
      </c>
      <c r="Q425" s="660">
        <v>40</v>
      </c>
    </row>
    <row r="426" spans="1:17" s="459" customFormat="1" ht="60" x14ac:dyDescent="0.25">
      <c r="A426" s="431"/>
      <c r="B426" s="561"/>
      <c r="C426" s="434">
        <v>7</v>
      </c>
      <c r="D426" s="435"/>
      <c r="E426" s="666" t="s">
        <v>965</v>
      </c>
      <c r="F426" s="1824"/>
      <c r="G426" s="2459"/>
      <c r="H426" s="2459"/>
      <c r="I426" s="2459"/>
      <c r="J426" s="2459"/>
      <c r="K426" s="433" t="s">
        <v>327</v>
      </c>
      <c r="L426" s="662" t="s">
        <v>173</v>
      </c>
      <c r="M426" s="660">
        <v>4</v>
      </c>
      <c r="N426" s="660">
        <v>4</v>
      </c>
      <c r="O426" s="660">
        <v>4</v>
      </c>
      <c r="P426" s="660">
        <v>5</v>
      </c>
      <c r="Q426" s="660">
        <v>5</v>
      </c>
    </row>
    <row r="427" spans="1:17" s="459" customFormat="1" ht="58.5" x14ac:dyDescent="0.25">
      <c r="A427" s="431"/>
      <c r="B427" s="508">
        <v>3</v>
      </c>
      <c r="C427" s="876"/>
      <c r="D427" s="879"/>
      <c r="E427" s="410" t="s">
        <v>966</v>
      </c>
      <c r="F427" s="683">
        <v>92666.4</v>
      </c>
      <c r="G427" s="683">
        <v>88842.9</v>
      </c>
      <c r="H427" s="683">
        <f>H428</f>
        <v>88842.9</v>
      </c>
      <c r="I427" s="683">
        <f>I428</f>
        <v>87425.600000000006</v>
      </c>
      <c r="J427" s="683">
        <f>J428</f>
        <v>91295.9</v>
      </c>
      <c r="K427" s="659" t="s">
        <v>26</v>
      </c>
      <c r="L427" s="660"/>
      <c r="M427" s="428"/>
      <c r="N427" s="428"/>
      <c r="O427" s="428"/>
      <c r="P427" s="428"/>
      <c r="Q427" s="428"/>
    </row>
    <row r="428" spans="1:17" s="459" customFormat="1" ht="30" x14ac:dyDescent="0.25">
      <c r="A428" s="431"/>
      <c r="B428" s="561"/>
      <c r="C428" s="467">
        <v>1</v>
      </c>
      <c r="D428" s="436"/>
      <c r="E428" s="437" t="s">
        <v>967</v>
      </c>
      <c r="F428" s="667">
        <v>92666.4</v>
      </c>
      <c r="G428" s="667">
        <v>88842.9</v>
      </c>
      <c r="H428" s="667">
        <v>88842.9</v>
      </c>
      <c r="I428" s="667">
        <v>87425.600000000006</v>
      </c>
      <c r="J428" s="667">
        <v>91295.9</v>
      </c>
      <c r="K428" s="464" t="s">
        <v>892</v>
      </c>
      <c r="L428" s="669" t="s">
        <v>281</v>
      </c>
      <c r="M428" s="438">
        <v>3190.8</v>
      </c>
      <c r="N428" s="438">
        <v>3063.8</v>
      </c>
      <c r="O428" s="439">
        <v>3746</v>
      </c>
      <c r="P428" s="438">
        <v>3576.8</v>
      </c>
      <c r="Q428" s="438">
        <v>3572.6</v>
      </c>
    </row>
    <row r="429" spans="1:17" s="459" customFormat="1" x14ac:dyDescent="0.25">
      <c r="A429" s="460"/>
      <c r="B429" s="687">
        <v>992</v>
      </c>
      <c r="C429" s="793"/>
      <c r="D429" s="376"/>
      <c r="E429" s="377" t="s">
        <v>260</v>
      </c>
      <c r="F429" s="314"/>
      <c r="G429" s="314">
        <f>G430</f>
        <v>240161.4</v>
      </c>
      <c r="H429" s="314">
        <f>H430</f>
        <v>108331.6</v>
      </c>
      <c r="I429" s="720"/>
      <c r="J429" s="720"/>
      <c r="K429" s="440"/>
      <c r="L429" s="441"/>
      <c r="M429" s="442"/>
      <c r="N429" s="442"/>
      <c r="O429" s="442"/>
      <c r="P429" s="442"/>
      <c r="Q429" s="442"/>
    </row>
    <row r="430" spans="1:17" s="459" customFormat="1" ht="30" x14ac:dyDescent="0.25">
      <c r="A430" s="460"/>
      <c r="B430" s="686"/>
      <c r="C430" s="378" t="s">
        <v>5</v>
      </c>
      <c r="D430" s="379"/>
      <c r="E430" s="380" t="s">
        <v>261</v>
      </c>
      <c r="F430" s="673"/>
      <c r="G430" s="673">
        <v>240161.4</v>
      </c>
      <c r="H430" s="673">
        <f>108331+0.6</f>
        <v>108331.6</v>
      </c>
      <c r="I430" s="671"/>
      <c r="J430" s="671"/>
      <c r="K430" s="443"/>
      <c r="L430" s="440"/>
      <c r="M430" s="441"/>
      <c r="N430" s="442"/>
      <c r="O430" s="442"/>
      <c r="P430" s="442"/>
      <c r="Q430" s="442"/>
    </row>
    <row r="431" spans="1:17" s="12" customFormat="1" x14ac:dyDescent="0.25">
      <c r="A431" s="2451" t="s">
        <v>85</v>
      </c>
      <c r="B431" s="2417"/>
      <c r="C431" s="2417"/>
      <c r="D431" s="2417"/>
      <c r="E431" s="2418"/>
      <c r="F431" s="471">
        <f>F366+F375+F385+F391+F397+F405+F411+F416+F427</f>
        <v>567497.6</v>
      </c>
      <c r="G431" s="471">
        <f>G366+G375+G385+G391+G397+G405+G411+G416+G427+G429</f>
        <v>856700.96000000008</v>
      </c>
      <c r="H431" s="471">
        <f>H366+H375+H385+H391+H397+H405+H411+H416+H427+H429</f>
        <v>713150.70000000007</v>
      </c>
      <c r="I431" s="471">
        <f>I366+I375+I385+I391+I397+I405+I411+I416+I427</f>
        <v>605652.5</v>
      </c>
      <c r="J431" s="471">
        <f>J366+J375+J385+J391+J397+J405+J411+J416+J427</f>
        <v>606800</v>
      </c>
      <c r="K431" s="7"/>
      <c r="L431" s="323"/>
      <c r="M431" s="323"/>
      <c r="N431" s="323"/>
      <c r="O431" s="323"/>
      <c r="P431" s="323"/>
      <c r="Q431" s="323"/>
    </row>
    <row r="432" spans="1:17" s="12" customFormat="1" ht="15" customHeight="1" x14ac:dyDescent="0.25">
      <c r="A432" s="1696" t="s">
        <v>328</v>
      </c>
      <c r="B432" s="1697"/>
      <c r="C432" s="1697"/>
      <c r="D432" s="1697"/>
      <c r="E432" s="1697"/>
      <c r="F432" s="1697"/>
      <c r="G432" s="1697"/>
      <c r="H432" s="1697"/>
      <c r="I432" s="1697"/>
      <c r="J432" s="1697"/>
      <c r="K432" s="1697"/>
      <c r="L432" s="1697"/>
      <c r="M432" s="1697"/>
      <c r="N432" s="1697"/>
      <c r="O432" s="1697"/>
      <c r="P432" s="1697"/>
      <c r="Q432" s="2302"/>
    </row>
    <row r="433" spans="1:17" s="12" customFormat="1" ht="15" customHeight="1" x14ac:dyDescent="0.25">
      <c r="B433" s="2084" t="s">
        <v>516</v>
      </c>
      <c r="C433" s="2274"/>
      <c r="D433" s="2274"/>
      <c r="E433" s="2453" t="s">
        <v>969</v>
      </c>
      <c r="F433" s="2414">
        <f>F435+F436+F437+F438+F440+F441+F444+F445+F447+F448</f>
        <v>133104.9</v>
      </c>
      <c r="G433" s="2414">
        <f t="shared" ref="G433:J433" si="58">G435+G436+G437+G438+G440+G441+G444+G445+G447+G448</f>
        <v>152000</v>
      </c>
      <c r="H433" s="2414">
        <f t="shared" si="58"/>
        <v>158000</v>
      </c>
      <c r="I433" s="2414">
        <f t="shared" si="58"/>
        <v>169000</v>
      </c>
      <c r="J433" s="2414">
        <f t="shared" si="58"/>
        <v>179000</v>
      </c>
      <c r="K433" s="692" t="s">
        <v>329</v>
      </c>
      <c r="L433" s="291" t="s">
        <v>35</v>
      </c>
      <c r="M433" s="294">
        <v>0.64800000000000002</v>
      </c>
      <c r="N433" s="294">
        <v>0.66200000000000003</v>
      </c>
      <c r="O433" s="294">
        <v>0.68</v>
      </c>
      <c r="P433" s="294">
        <v>0.7</v>
      </c>
      <c r="Q433" s="294">
        <v>0.75</v>
      </c>
    </row>
    <row r="434" spans="1:17" s="12" customFormat="1" ht="78.75" customHeight="1" x14ac:dyDescent="0.25">
      <c r="A434" s="2524">
        <v>26</v>
      </c>
      <c r="B434" s="2086"/>
      <c r="C434" s="2276"/>
      <c r="D434" s="2276"/>
      <c r="E434" s="2453"/>
      <c r="F434" s="2415"/>
      <c r="G434" s="2415"/>
      <c r="H434" s="2415"/>
      <c r="I434" s="2415"/>
      <c r="J434" s="2415"/>
      <c r="K434" s="692" t="s">
        <v>36</v>
      </c>
      <c r="L434" s="291" t="s">
        <v>37</v>
      </c>
      <c r="M434" s="294">
        <v>0.30299999999999999</v>
      </c>
      <c r="N434" s="564" t="s">
        <v>330</v>
      </c>
      <c r="O434" s="564" t="s">
        <v>773</v>
      </c>
      <c r="P434" s="564" t="s">
        <v>774</v>
      </c>
      <c r="Q434" s="564" t="s">
        <v>775</v>
      </c>
    </row>
    <row r="435" spans="1:17" s="12" customFormat="1" ht="53.25" customHeight="1" x14ac:dyDescent="0.25">
      <c r="A435" s="2525"/>
      <c r="B435" s="835"/>
      <c r="C435" s="835" t="s">
        <v>5</v>
      </c>
      <c r="D435" s="835"/>
      <c r="E435" s="830" t="s">
        <v>6</v>
      </c>
      <c r="F435" s="273">
        <v>3272.4</v>
      </c>
      <c r="G435" s="273">
        <v>3276.3</v>
      </c>
      <c r="H435" s="273">
        <v>3450</v>
      </c>
      <c r="I435" s="273">
        <v>3450</v>
      </c>
      <c r="J435" s="273">
        <v>3450</v>
      </c>
      <c r="K435" s="830" t="s">
        <v>776</v>
      </c>
      <c r="L435" s="77" t="s">
        <v>35</v>
      </c>
      <c r="M435" s="274">
        <v>0.8</v>
      </c>
      <c r="N435" s="274" t="s">
        <v>369</v>
      </c>
      <c r="O435" s="274" t="s">
        <v>339</v>
      </c>
      <c r="P435" s="274" t="s">
        <v>339</v>
      </c>
      <c r="Q435" s="274" t="s">
        <v>339</v>
      </c>
    </row>
    <row r="436" spans="1:17" s="12" customFormat="1" ht="45" x14ac:dyDescent="0.25">
      <c r="A436" s="930"/>
      <c r="B436" s="835"/>
      <c r="C436" s="835" t="s">
        <v>337</v>
      </c>
      <c r="D436" s="835"/>
      <c r="E436" s="830" t="s">
        <v>777</v>
      </c>
      <c r="F436" s="273">
        <v>5790.5</v>
      </c>
      <c r="G436" s="273">
        <v>5810.5</v>
      </c>
      <c r="H436" s="273">
        <v>6750</v>
      </c>
      <c r="I436" s="273">
        <v>6750</v>
      </c>
      <c r="J436" s="273">
        <v>6750</v>
      </c>
      <c r="K436" s="830" t="s">
        <v>338</v>
      </c>
      <c r="L436" s="77" t="s">
        <v>35</v>
      </c>
      <c r="M436" s="275">
        <v>0.95699999999999996</v>
      </c>
      <c r="N436" s="276" t="s">
        <v>339</v>
      </c>
      <c r="O436" s="276" t="s">
        <v>339</v>
      </c>
      <c r="P436" s="276" t="s">
        <v>339</v>
      </c>
      <c r="Q436" s="276" t="s">
        <v>339</v>
      </c>
    </row>
    <row r="437" spans="1:17" s="12" customFormat="1" ht="45" x14ac:dyDescent="0.25">
      <c r="A437" s="930"/>
      <c r="B437" s="835"/>
      <c r="C437" s="835" t="s">
        <v>340</v>
      </c>
      <c r="D437" s="835"/>
      <c r="E437" s="277" t="s">
        <v>341</v>
      </c>
      <c r="F437" s="273">
        <v>1556.6</v>
      </c>
      <c r="G437" s="273">
        <v>1576.6</v>
      </c>
      <c r="H437" s="273">
        <v>1700</v>
      </c>
      <c r="I437" s="273">
        <v>1700</v>
      </c>
      <c r="J437" s="273">
        <v>1700</v>
      </c>
      <c r="K437" s="830" t="s">
        <v>342</v>
      </c>
      <c r="L437" s="77" t="s">
        <v>35</v>
      </c>
      <c r="M437" s="278">
        <v>0.75</v>
      </c>
      <c r="N437" s="279">
        <v>0.8</v>
      </c>
      <c r="O437" s="279">
        <v>0.85</v>
      </c>
      <c r="P437" s="279">
        <v>0.9</v>
      </c>
      <c r="Q437" s="279">
        <v>1</v>
      </c>
    </row>
    <row r="438" spans="1:17" s="12" customFormat="1" ht="45" x14ac:dyDescent="0.25">
      <c r="A438" s="930"/>
      <c r="B438" s="2363"/>
      <c r="C438" s="2363" t="s">
        <v>343</v>
      </c>
      <c r="D438" s="2363"/>
      <c r="E438" s="2340" t="s">
        <v>344</v>
      </c>
      <c r="F438" s="2389">
        <v>3125.8</v>
      </c>
      <c r="G438" s="2389">
        <v>3145.8</v>
      </c>
      <c r="H438" s="2389">
        <v>3250</v>
      </c>
      <c r="I438" s="2389">
        <v>3250</v>
      </c>
      <c r="J438" s="2389">
        <v>3250</v>
      </c>
      <c r="K438" s="692" t="s">
        <v>778</v>
      </c>
      <c r="L438" s="77" t="s">
        <v>779</v>
      </c>
      <c r="M438" s="23">
        <v>110</v>
      </c>
      <c r="N438" s="23" t="s">
        <v>780</v>
      </c>
      <c r="O438" s="23" t="s">
        <v>780</v>
      </c>
      <c r="P438" s="23" t="s">
        <v>780</v>
      </c>
      <c r="Q438" s="23" t="s">
        <v>780</v>
      </c>
    </row>
    <row r="439" spans="1:17" s="12" customFormat="1" ht="45" x14ac:dyDescent="0.25">
      <c r="A439" s="930"/>
      <c r="B439" s="2363"/>
      <c r="C439" s="2363"/>
      <c r="D439" s="2363"/>
      <c r="E439" s="2340"/>
      <c r="F439" s="2390"/>
      <c r="G439" s="2390"/>
      <c r="H439" s="2390"/>
      <c r="I439" s="2390"/>
      <c r="J439" s="2390"/>
      <c r="K439" s="280" t="s">
        <v>781</v>
      </c>
      <c r="L439" s="77" t="s">
        <v>779</v>
      </c>
      <c r="M439" s="23">
        <v>82</v>
      </c>
      <c r="N439" s="23" t="s">
        <v>782</v>
      </c>
      <c r="O439" s="23" t="s">
        <v>782</v>
      </c>
      <c r="P439" s="23" t="s">
        <v>782</v>
      </c>
      <c r="Q439" s="23" t="s">
        <v>782</v>
      </c>
    </row>
    <row r="440" spans="1:17" s="12" customFormat="1" ht="60" x14ac:dyDescent="0.25">
      <c r="A440" s="930"/>
      <c r="B440" s="835"/>
      <c r="C440" s="835" t="s">
        <v>345</v>
      </c>
      <c r="D440" s="835"/>
      <c r="E440" s="830" t="s">
        <v>346</v>
      </c>
      <c r="F440" s="273">
        <v>3903.6</v>
      </c>
      <c r="G440" s="273">
        <v>3923.6</v>
      </c>
      <c r="H440" s="273">
        <v>4000</v>
      </c>
      <c r="I440" s="273">
        <v>4000</v>
      </c>
      <c r="J440" s="273">
        <v>4000</v>
      </c>
      <c r="K440" s="281" t="s">
        <v>1158</v>
      </c>
      <c r="L440" s="77" t="s">
        <v>35</v>
      </c>
      <c r="M440" s="278">
        <v>0.94099999999999995</v>
      </c>
      <c r="N440" s="279" t="s">
        <v>783</v>
      </c>
      <c r="O440" s="279" t="s">
        <v>783</v>
      </c>
      <c r="P440" s="279" t="s">
        <v>783</v>
      </c>
      <c r="Q440" s="279" t="s">
        <v>783</v>
      </c>
    </row>
    <row r="441" spans="1:17" s="12" customFormat="1" ht="30" x14ac:dyDescent="0.25">
      <c r="A441" s="930"/>
      <c r="B441" s="2363"/>
      <c r="C441" s="2363" t="s">
        <v>347</v>
      </c>
      <c r="D441" s="2363"/>
      <c r="E441" s="2340" t="s">
        <v>1157</v>
      </c>
      <c r="F441" s="2389">
        <v>3434.8</v>
      </c>
      <c r="G441" s="2389">
        <v>3454.8</v>
      </c>
      <c r="H441" s="2389">
        <v>3800</v>
      </c>
      <c r="I441" s="2389">
        <v>3800</v>
      </c>
      <c r="J441" s="2389">
        <v>3800</v>
      </c>
      <c r="K441" s="282" t="s">
        <v>348</v>
      </c>
      <c r="L441" s="283" t="s">
        <v>40</v>
      </c>
      <c r="M441" s="284">
        <v>2335</v>
      </c>
      <c r="N441" s="284">
        <v>2000</v>
      </c>
      <c r="O441" s="284">
        <v>2020</v>
      </c>
      <c r="P441" s="284">
        <v>2050</v>
      </c>
      <c r="Q441" s="284">
        <v>2070</v>
      </c>
    </row>
    <row r="442" spans="1:17" s="12" customFormat="1" ht="45" customHeight="1" x14ac:dyDescent="0.25">
      <c r="A442" s="930"/>
      <c r="B442" s="2363"/>
      <c r="C442" s="2363"/>
      <c r="D442" s="2363"/>
      <c r="E442" s="2340"/>
      <c r="F442" s="2392"/>
      <c r="G442" s="2392"/>
      <c r="H442" s="2392"/>
      <c r="I442" s="2392"/>
      <c r="J442" s="2392"/>
      <c r="K442" s="282" t="s">
        <v>349</v>
      </c>
      <c r="L442" s="283" t="s">
        <v>40</v>
      </c>
      <c r="M442" s="284">
        <v>20900</v>
      </c>
      <c r="N442" s="284">
        <v>6750</v>
      </c>
      <c r="O442" s="284">
        <v>8700</v>
      </c>
      <c r="P442" s="284">
        <v>9600</v>
      </c>
      <c r="Q442" s="284">
        <v>10000</v>
      </c>
    </row>
    <row r="443" spans="1:17" s="12" customFormat="1" ht="33" customHeight="1" x14ac:dyDescent="0.25">
      <c r="A443" s="2383"/>
      <c r="B443" s="2363"/>
      <c r="C443" s="2363"/>
      <c r="D443" s="2363"/>
      <c r="E443" s="2340"/>
      <c r="F443" s="2390"/>
      <c r="G443" s="2390"/>
      <c r="H443" s="2390"/>
      <c r="I443" s="2390"/>
      <c r="J443" s="2390"/>
      <c r="K443" s="285" t="s">
        <v>350</v>
      </c>
      <c r="L443" s="283" t="s">
        <v>40</v>
      </c>
      <c r="M443" s="286">
        <v>6600</v>
      </c>
      <c r="N443" s="286">
        <v>1250</v>
      </c>
      <c r="O443" s="286">
        <v>1300</v>
      </c>
      <c r="P443" s="286">
        <v>1400</v>
      </c>
      <c r="Q443" s="286">
        <v>1500</v>
      </c>
    </row>
    <row r="444" spans="1:17" s="12" customFormat="1" ht="46.5" customHeight="1" x14ac:dyDescent="0.25">
      <c r="A444" s="2385"/>
      <c r="B444" s="835"/>
      <c r="C444" s="835" t="s">
        <v>351</v>
      </c>
      <c r="D444" s="835"/>
      <c r="E444" s="287" t="s">
        <v>352</v>
      </c>
      <c r="F444" s="273">
        <v>2405.9</v>
      </c>
      <c r="G444" s="273">
        <v>2425.9</v>
      </c>
      <c r="H444" s="273">
        <v>2750</v>
      </c>
      <c r="I444" s="273">
        <v>2750</v>
      </c>
      <c r="J444" s="273">
        <v>2750</v>
      </c>
      <c r="K444" s="830" t="s">
        <v>353</v>
      </c>
      <c r="L444" s="77" t="s">
        <v>40</v>
      </c>
      <c r="M444" s="288">
        <v>9</v>
      </c>
      <c r="N444" s="288">
        <v>9</v>
      </c>
      <c r="O444" s="288">
        <v>11</v>
      </c>
      <c r="P444" s="288">
        <v>12</v>
      </c>
      <c r="Q444" s="288">
        <v>13</v>
      </c>
    </row>
    <row r="445" spans="1:17" s="12" customFormat="1" ht="43.5" customHeight="1" x14ac:dyDescent="0.25">
      <c r="A445" s="930"/>
      <c r="B445" s="2274"/>
      <c r="C445" s="2274" t="s">
        <v>354</v>
      </c>
      <c r="D445" s="2274"/>
      <c r="E445" s="2393" t="s">
        <v>784</v>
      </c>
      <c r="F445" s="2389">
        <v>12895.8</v>
      </c>
      <c r="G445" s="2389">
        <v>15000</v>
      </c>
      <c r="H445" s="2389">
        <v>16000</v>
      </c>
      <c r="I445" s="2389">
        <v>27000</v>
      </c>
      <c r="J445" s="2389">
        <v>37000</v>
      </c>
      <c r="K445" s="692" t="s">
        <v>355</v>
      </c>
      <c r="L445" s="77" t="s">
        <v>35</v>
      </c>
      <c r="M445" s="289">
        <v>0.9</v>
      </c>
      <c r="N445" s="289">
        <v>0.9</v>
      </c>
      <c r="O445" s="289">
        <v>0.98</v>
      </c>
      <c r="P445" s="289">
        <v>1</v>
      </c>
      <c r="Q445" s="289">
        <v>1</v>
      </c>
    </row>
    <row r="446" spans="1:17" s="12" customFormat="1" ht="49.5" customHeight="1" x14ac:dyDescent="0.25">
      <c r="A446" s="2383"/>
      <c r="B446" s="2276"/>
      <c r="C446" s="2276"/>
      <c r="D446" s="2276"/>
      <c r="E446" s="2395"/>
      <c r="F446" s="2390"/>
      <c r="G446" s="2390"/>
      <c r="H446" s="2390"/>
      <c r="I446" s="2390"/>
      <c r="J446" s="2390"/>
      <c r="K446" s="692" t="s">
        <v>356</v>
      </c>
      <c r="L446" s="77" t="s">
        <v>35</v>
      </c>
      <c r="M446" s="289">
        <v>0.04</v>
      </c>
      <c r="N446" s="289">
        <v>0.05</v>
      </c>
      <c r="O446" s="289">
        <v>0.06</v>
      </c>
      <c r="P446" s="289">
        <v>7.0000000000000007E-2</v>
      </c>
      <c r="Q446" s="289">
        <v>0.08</v>
      </c>
    </row>
    <row r="447" spans="1:17" s="12" customFormat="1" ht="45" x14ac:dyDescent="0.25">
      <c r="A447" s="2384"/>
      <c r="B447" s="835"/>
      <c r="C447" s="835" t="s">
        <v>129</v>
      </c>
      <c r="D447" s="835"/>
      <c r="E447" s="830" t="s">
        <v>785</v>
      </c>
      <c r="F447" s="273">
        <v>18450.900000000001</v>
      </c>
      <c r="G447" s="273">
        <v>25105.5</v>
      </c>
      <c r="H447" s="273">
        <v>25669</v>
      </c>
      <c r="I447" s="273">
        <v>25669</v>
      </c>
      <c r="J447" s="273">
        <v>25669</v>
      </c>
      <c r="K447" s="692" t="s">
        <v>332</v>
      </c>
      <c r="L447" s="77" t="s">
        <v>35</v>
      </c>
      <c r="M447" s="290">
        <f>13/65</f>
        <v>0.2</v>
      </c>
      <c r="N447" s="276" t="s">
        <v>786</v>
      </c>
      <c r="O447" s="276" t="str">
        <f>N447</f>
        <v>не более 20%</v>
      </c>
      <c r="P447" s="276" t="str">
        <f>O447</f>
        <v>не более 20%</v>
      </c>
      <c r="Q447" s="276" t="str">
        <f>P447</f>
        <v>не более 20%</v>
      </c>
    </row>
    <row r="448" spans="1:17" s="12" customFormat="1" ht="30" x14ac:dyDescent="0.25">
      <c r="A448" s="2385"/>
      <c r="B448" s="2274"/>
      <c r="C448" s="2274" t="s">
        <v>134</v>
      </c>
      <c r="D448" s="2274"/>
      <c r="E448" s="2393" t="s">
        <v>333</v>
      </c>
      <c r="F448" s="2389">
        <v>78268.600000000006</v>
      </c>
      <c r="G448" s="2389">
        <v>88281</v>
      </c>
      <c r="H448" s="2389">
        <v>90631</v>
      </c>
      <c r="I448" s="2389">
        <v>90631</v>
      </c>
      <c r="J448" s="2389">
        <v>90631</v>
      </c>
      <c r="K448" s="692" t="s">
        <v>1159</v>
      </c>
      <c r="L448" s="291" t="s">
        <v>35</v>
      </c>
      <c r="M448" s="274">
        <v>0.30599999999999999</v>
      </c>
      <c r="N448" s="292" t="s">
        <v>330</v>
      </c>
      <c r="O448" s="292" t="s">
        <v>330</v>
      </c>
      <c r="P448" s="292" t="s">
        <v>330</v>
      </c>
      <c r="Q448" s="292" t="s">
        <v>330</v>
      </c>
    </row>
    <row r="449" spans="1:17" s="12" customFormat="1" ht="60" x14ac:dyDescent="0.25">
      <c r="A449" s="930"/>
      <c r="B449" s="2275"/>
      <c r="C449" s="2275"/>
      <c r="D449" s="2275"/>
      <c r="E449" s="2394"/>
      <c r="F449" s="2392"/>
      <c r="G449" s="2392"/>
      <c r="H449" s="2392"/>
      <c r="I449" s="2392"/>
      <c r="J449" s="2392"/>
      <c r="K449" s="692" t="s">
        <v>787</v>
      </c>
      <c r="L449" s="291" t="s">
        <v>35</v>
      </c>
      <c r="M449" s="274">
        <v>0.754</v>
      </c>
      <c r="N449" s="274">
        <v>0.76</v>
      </c>
      <c r="O449" s="275" t="s">
        <v>331</v>
      </c>
      <c r="P449" s="275" t="s">
        <v>331</v>
      </c>
      <c r="Q449" s="275" t="s">
        <v>331</v>
      </c>
    </row>
    <row r="450" spans="1:17" s="12" customFormat="1" ht="45" x14ac:dyDescent="0.25">
      <c r="A450" s="2383"/>
      <c r="B450" s="2276"/>
      <c r="C450" s="2276"/>
      <c r="D450" s="2276"/>
      <c r="E450" s="2395"/>
      <c r="F450" s="2390"/>
      <c r="G450" s="2390"/>
      <c r="H450" s="2390"/>
      <c r="I450" s="2390"/>
      <c r="J450" s="2390"/>
      <c r="K450" s="692" t="s">
        <v>788</v>
      </c>
      <c r="L450" s="291" t="s">
        <v>35</v>
      </c>
      <c r="M450" s="274">
        <v>0.753</v>
      </c>
      <c r="N450" s="275" t="s">
        <v>334</v>
      </c>
      <c r="O450" s="275" t="s">
        <v>334</v>
      </c>
      <c r="P450" s="275" t="s">
        <v>335</v>
      </c>
      <c r="Q450" s="275" t="s">
        <v>336</v>
      </c>
    </row>
    <row r="451" spans="1:17" s="12" customFormat="1" hidden="1" x14ac:dyDescent="0.25">
      <c r="A451" s="2385"/>
      <c r="B451" s="117"/>
      <c r="C451" s="835"/>
      <c r="D451" s="835"/>
      <c r="E451" s="852" t="s">
        <v>789</v>
      </c>
      <c r="F451" s="890">
        <f>SUM(F435:F450)</f>
        <v>133104.9</v>
      </c>
      <c r="G451" s="890">
        <f t="shared" ref="G451:J451" si="59">SUM(G435:G450)</f>
        <v>152000</v>
      </c>
      <c r="H451" s="890">
        <f t="shared" si="59"/>
        <v>158000</v>
      </c>
      <c r="I451" s="890">
        <f t="shared" si="59"/>
        <v>169000</v>
      </c>
      <c r="J451" s="890">
        <f t="shared" si="59"/>
        <v>179000</v>
      </c>
      <c r="K451" s="293"/>
      <c r="L451" s="77"/>
      <c r="M451" s="292"/>
      <c r="N451" s="292"/>
      <c r="O451" s="292"/>
      <c r="P451" s="292"/>
      <c r="Q451" s="292"/>
    </row>
    <row r="452" spans="1:17" s="12" customFormat="1" ht="30" customHeight="1" x14ac:dyDescent="0.25">
      <c r="A452" s="2524">
        <v>26</v>
      </c>
      <c r="B452" s="2084" t="s">
        <v>467</v>
      </c>
      <c r="C452" s="2274"/>
      <c r="D452" s="2274"/>
      <c r="E452" s="2452" t="s">
        <v>968</v>
      </c>
      <c r="F452" s="2309">
        <f>F456+F458+F462+F466+F467+F468+F469</f>
        <v>4761666.8</v>
      </c>
      <c r="G452" s="2309">
        <f t="shared" ref="G452:J452" si="60">G456+G458+G462+G466+G467+G468+G469</f>
        <v>5593840.7999999998</v>
      </c>
      <c r="H452" s="2309">
        <f t="shared" si="60"/>
        <v>6114027.0999999996</v>
      </c>
      <c r="I452" s="2309">
        <f t="shared" si="60"/>
        <v>6385316.7000000002</v>
      </c>
      <c r="J452" s="2309">
        <f t="shared" si="60"/>
        <v>6807050.5</v>
      </c>
      <c r="K452" s="830" t="s">
        <v>357</v>
      </c>
      <c r="L452" s="77" t="s">
        <v>35</v>
      </c>
      <c r="M452" s="274">
        <f>F470/F495</f>
        <v>0.32425323958939778</v>
      </c>
      <c r="N452" s="274">
        <f>G470/G495</f>
        <v>0.37215498659196</v>
      </c>
      <c r="O452" s="274">
        <f>H470/H495</f>
        <v>0.37011796201628283</v>
      </c>
      <c r="P452" s="274">
        <f>I470/I495</f>
        <v>0.38487802620805583</v>
      </c>
      <c r="Q452" s="274">
        <f>J470/J495</f>
        <v>0.39433660940799076</v>
      </c>
    </row>
    <row r="453" spans="1:17" s="12" customFormat="1" ht="30" x14ac:dyDescent="0.25">
      <c r="A453" s="2580"/>
      <c r="B453" s="2085"/>
      <c r="C453" s="2275"/>
      <c r="D453" s="2275"/>
      <c r="E453" s="2452"/>
      <c r="F453" s="2310"/>
      <c r="G453" s="2310"/>
      <c r="H453" s="2310"/>
      <c r="I453" s="2310"/>
      <c r="J453" s="2310"/>
      <c r="K453" s="830" t="s">
        <v>358</v>
      </c>
      <c r="L453" s="77" t="s">
        <v>40</v>
      </c>
      <c r="M453" s="295">
        <v>3.5</v>
      </c>
      <c r="N453" s="295">
        <v>3.8</v>
      </c>
      <c r="O453" s="295">
        <v>4</v>
      </c>
      <c r="P453" s="295">
        <v>4.2</v>
      </c>
      <c r="Q453" s="295">
        <v>4.5</v>
      </c>
    </row>
    <row r="454" spans="1:17" s="12" customFormat="1" ht="30" x14ac:dyDescent="0.25">
      <c r="A454" s="2580"/>
      <c r="B454" s="2085"/>
      <c r="C454" s="2275"/>
      <c r="D454" s="2275"/>
      <c r="E454" s="2452"/>
      <c r="F454" s="2310"/>
      <c r="G454" s="2310"/>
      <c r="H454" s="2310"/>
      <c r="I454" s="2310"/>
      <c r="J454" s="2310"/>
      <c r="K454" s="830" t="s">
        <v>1160</v>
      </c>
      <c r="L454" s="77" t="s">
        <v>35</v>
      </c>
      <c r="M454" s="274">
        <v>0.1</v>
      </c>
      <c r="N454" s="274">
        <v>0.15</v>
      </c>
      <c r="O454" s="274">
        <v>0.5</v>
      </c>
      <c r="P454" s="274">
        <v>0.6</v>
      </c>
      <c r="Q454" s="274">
        <v>0.7</v>
      </c>
    </row>
    <row r="455" spans="1:17" s="12" customFormat="1" ht="30" x14ac:dyDescent="0.25">
      <c r="A455" s="2525"/>
      <c r="B455" s="2086"/>
      <c r="C455" s="2276"/>
      <c r="D455" s="2276"/>
      <c r="E455" s="2452"/>
      <c r="F455" s="2311"/>
      <c r="G455" s="2311"/>
      <c r="H455" s="2311"/>
      <c r="I455" s="2311"/>
      <c r="J455" s="2311"/>
      <c r="K455" s="830" t="s">
        <v>359</v>
      </c>
      <c r="L455" s="77" t="s">
        <v>35</v>
      </c>
      <c r="M455" s="274" t="s">
        <v>169</v>
      </c>
      <c r="N455" s="274">
        <v>0.58899999999999997</v>
      </c>
      <c r="O455" s="274">
        <v>0.62</v>
      </c>
      <c r="P455" s="274">
        <v>0.65</v>
      </c>
      <c r="Q455" s="274">
        <v>0.7</v>
      </c>
    </row>
    <row r="456" spans="1:17" s="12" customFormat="1" ht="45" x14ac:dyDescent="0.25">
      <c r="A456" s="2383"/>
      <c r="B456" s="2274"/>
      <c r="C456" s="2274" t="s">
        <v>5</v>
      </c>
      <c r="D456" s="2274"/>
      <c r="E456" s="2393" t="s">
        <v>360</v>
      </c>
      <c r="F456" s="2317">
        <v>447904.9</v>
      </c>
      <c r="G456" s="2317">
        <v>449344.6</v>
      </c>
      <c r="H456" s="2317">
        <v>499344.6</v>
      </c>
      <c r="I456" s="2317">
        <v>549344.6</v>
      </c>
      <c r="J456" s="2317">
        <v>599344.6</v>
      </c>
      <c r="K456" s="692" t="s">
        <v>361</v>
      </c>
      <c r="L456" s="291" t="s">
        <v>35</v>
      </c>
      <c r="M456" s="294">
        <f>652/682</f>
        <v>0.95601173020527863</v>
      </c>
      <c r="N456" s="294" t="s">
        <v>790</v>
      </c>
      <c r="O456" s="294">
        <v>0.96</v>
      </c>
      <c r="P456" s="294">
        <v>1</v>
      </c>
      <c r="Q456" s="294">
        <v>1</v>
      </c>
    </row>
    <row r="457" spans="1:17" s="12" customFormat="1" ht="30" x14ac:dyDescent="0.25">
      <c r="A457" s="2385"/>
      <c r="B457" s="2276"/>
      <c r="C457" s="2276"/>
      <c r="D457" s="2276"/>
      <c r="E457" s="2395"/>
      <c r="F457" s="2318"/>
      <c r="G457" s="2318"/>
      <c r="H457" s="2318"/>
      <c r="I457" s="2318"/>
      <c r="J457" s="2318"/>
      <c r="K457" s="692" t="s">
        <v>362</v>
      </c>
      <c r="L457" s="291" t="s">
        <v>363</v>
      </c>
      <c r="M457" s="295">
        <v>102.5</v>
      </c>
      <c r="N457" s="295">
        <v>102.7</v>
      </c>
      <c r="O457" s="296">
        <v>103</v>
      </c>
      <c r="P457" s="296">
        <v>103.2</v>
      </c>
      <c r="Q457" s="295">
        <v>103.5</v>
      </c>
    </row>
    <row r="458" spans="1:17" s="12" customFormat="1" ht="70.5" customHeight="1" x14ac:dyDescent="0.25">
      <c r="A458" s="2383"/>
      <c r="B458" s="2274"/>
      <c r="C458" s="2274" t="s">
        <v>7</v>
      </c>
      <c r="D458" s="2274"/>
      <c r="E458" s="2393" t="s">
        <v>364</v>
      </c>
      <c r="F458" s="2317">
        <v>3532267.3</v>
      </c>
      <c r="G458" s="2317">
        <v>4224401.8</v>
      </c>
      <c r="H458" s="2317">
        <v>4619401.8</v>
      </c>
      <c r="I458" s="2317">
        <v>4819401.8</v>
      </c>
      <c r="J458" s="2317">
        <v>5119401.8</v>
      </c>
      <c r="K458" s="830" t="s">
        <v>791</v>
      </c>
      <c r="L458" s="77" t="s">
        <v>35</v>
      </c>
      <c r="M458" s="274">
        <v>0.7</v>
      </c>
      <c r="N458" s="290">
        <v>0.75</v>
      </c>
      <c r="O458" s="290">
        <v>0.8</v>
      </c>
      <c r="P458" s="290">
        <v>0.85</v>
      </c>
      <c r="Q458" s="290" t="s">
        <v>369</v>
      </c>
    </row>
    <row r="459" spans="1:17" s="12" customFormat="1" ht="45" x14ac:dyDescent="0.25">
      <c r="A459" s="2384"/>
      <c r="B459" s="2275"/>
      <c r="C459" s="2275"/>
      <c r="D459" s="2275"/>
      <c r="E459" s="2394"/>
      <c r="F459" s="2391"/>
      <c r="G459" s="2391"/>
      <c r="H459" s="2391"/>
      <c r="I459" s="2391"/>
      <c r="J459" s="2391"/>
      <c r="K459" s="692" t="s">
        <v>792</v>
      </c>
      <c r="L459" s="291" t="s">
        <v>35</v>
      </c>
      <c r="M459" s="294">
        <v>0.75</v>
      </c>
      <c r="N459" s="289">
        <v>0.85</v>
      </c>
      <c r="O459" s="289">
        <v>0.9</v>
      </c>
      <c r="P459" s="289" t="s">
        <v>369</v>
      </c>
      <c r="Q459" s="289" t="s">
        <v>369</v>
      </c>
    </row>
    <row r="460" spans="1:17" s="12" customFormat="1" ht="30" x14ac:dyDescent="0.25">
      <c r="A460" s="2384"/>
      <c r="B460" s="2275"/>
      <c r="C460" s="2275"/>
      <c r="D460" s="2275"/>
      <c r="E460" s="2394"/>
      <c r="F460" s="2391"/>
      <c r="G460" s="2391"/>
      <c r="H460" s="2391"/>
      <c r="I460" s="2391"/>
      <c r="J460" s="2391"/>
      <c r="K460" s="692" t="s">
        <v>793</v>
      </c>
      <c r="L460" s="291" t="s">
        <v>363</v>
      </c>
      <c r="M460" s="297">
        <v>583.5</v>
      </c>
      <c r="N460" s="298">
        <v>593.20000000000005</v>
      </c>
      <c r="O460" s="297">
        <v>603.29999999999995</v>
      </c>
      <c r="P460" s="297">
        <v>613.5</v>
      </c>
      <c r="Q460" s="297">
        <v>625</v>
      </c>
    </row>
    <row r="461" spans="1:17" s="12" customFormat="1" ht="30" x14ac:dyDescent="0.25">
      <c r="A461" s="2385"/>
      <c r="B461" s="2275"/>
      <c r="C461" s="2275"/>
      <c r="D461" s="2275"/>
      <c r="E461" s="2394"/>
      <c r="F461" s="2391"/>
      <c r="G461" s="2391"/>
      <c r="H461" s="2391"/>
      <c r="I461" s="2391"/>
      <c r="J461" s="2318"/>
      <c r="K461" s="688" t="s">
        <v>794</v>
      </c>
      <c r="L461" s="689" t="s">
        <v>35</v>
      </c>
      <c r="M461" s="299">
        <v>0.7</v>
      </c>
      <c r="N461" s="300">
        <v>0.75</v>
      </c>
      <c r="O461" s="300">
        <v>0.8</v>
      </c>
      <c r="P461" s="300">
        <v>0.9</v>
      </c>
      <c r="Q461" s="300" t="s">
        <v>369</v>
      </c>
    </row>
    <row r="462" spans="1:17" s="12" customFormat="1" ht="60" x14ac:dyDescent="0.25">
      <c r="A462" s="463"/>
      <c r="B462" s="2274"/>
      <c r="C462" s="2274" t="s">
        <v>9</v>
      </c>
      <c r="D462" s="2274"/>
      <c r="E462" s="2393" t="s">
        <v>795</v>
      </c>
      <c r="F462" s="2317">
        <v>388110.6</v>
      </c>
      <c r="G462" s="2317">
        <v>423348.9</v>
      </c>
      <c r="H462" s="2317">
        <v>433348.9</v>
      </c>
      <c r="I462" s="2317">
        <v>443348.9</v>
      </c>
      <c r="J462" s="2317">
        <v>453348.9</v>
      </c>
      <c r="K462" s="830" t="s">
        <v>796</v>
      </c>
      <c r="L462" s="77" t="s">
        <v>779</v>
      </c>
      <c r="M462" s="301">
        <v>49258</v>
      </c>
      <c r="N462" s="301">
        <v>59300</v>
      </c>
      <c r="O462" s="301">
        <v>72500</v>
      </c>
      <c r="P462" s="301">
        <v>85700</v>
      </c>
      <c r="Q462" s="301">
        <v>98900</v>
      </c>
    </row>
    <row r="463" spans="1:17" s="12" customFormat="1" ht="60" x14ac:dyDescent="0.25">
      <c r="A463" s="930"/>
      <c r="B463" s="2275"/>
      <c r="C463" s="2275"/>
      <c r="D463" s="2275"/>
      <c r="E463" s="2394"/>
      <c r="F463" s="2391"/>
      <c r="G463" s="2391"/>
      <c r="H463" s="2391"/>
      <c r="I463" s="2391"/>
      <c r="J463" s="2391"/>
      <c r="K463" s="825" t="s">
        <v>797</v>
      </c>
      <c r="L463" s="900" t="s">
        <v>35</v>
      </c>
      <c r="M463" s="302">
        <v>1</v>
      </c>
      <c r="N463" s="303" t="s">
        <v>798</v>
      </c>
      <c r="O463" s="303" t="s">
        <v>798</v>
      </c>
      <c r="P463" s="303" t="s">
        <v>798</v>
      </c>
      <c r="Q463" s="303" t="s">
        <v>798</v>
      </c>
    </row>
    <row r="464" spans="1:17" s="12" customFormat="1" ht="45" x14ac:dyDescent="0.25">
      <c r="A464" s="930"/>
      <c r="B464" s="2275"/>
      <c r="C464" s="2275"/>
      <c r="D464" s="2275"/>
      <c r="E464" s="2394"/>
      <c r="F464" s="2391"/>
      <c r="G464" s="2391"/>
      <c r="H464" s="2391"/>
      <c r="I464" s="2391"/>
      <c r="J464" s="2391"/>
      <c r="K464" s="825" t="s">
        <v>799</v>
      </c>
      <c r="L464" s="900" t="s">
        <v>35</v>
      </c>
      <c r="M464" s="302">
        <v>0.6</v>
      </c>
      <c r="N464" s="303">
        <v>0.75</v>
      </c>
      <c r="O464" s="303">
        <v>0.8</v>
      </c>
      <c r="P464" s="303">
        <v>0.85</v>
      </c>
      <c r="Q464" s="303">
        <v>0.9</v>
      </c>
    </row>
    <row r="465" spans="1:17" s="12" customFormat="1" ht="45" x14ac:dyDescent="0.25">
      <c r="A465" s="930"/>
      <c r="B465" s="2276"/>
      <c r="C465" s="2276"/>
      <c r="D465" s="2276"/>
      <c r="E465" s="2395"/>
      <c r="F465" s="2318"/>
      <c r="G465" s="2318"/>
      <c r="H465" s="2318"/>
      <c r="I465" s="2318"/>
      <c r="J465" s="2318"/>
      <c r="K465" s="825" t="s">
        <v>800</v>
      </c>
      <c r="L465" s="900" t="s">
        <v>35</v>
      </c>
      <c r="M465" s="302">
        <v>0.32</v>
      </c>
      <c r="N465" s="303">
        <v>0.5</v>
      </c>
      <c r="O465" s="303">
        <v>0.6</v>
      </c>
      <c r="P465" s="303">
        <v>0.7</v>
      </c>
      <c r="Q465" s="303">
        <v>0.8</v>
      </c>
    </row>
    <row r="466" spans="1:17" s="12" customFormat="1" ht="45" x14ac:dyDescent="0.25">
      <c r="A466" s="930"/>
      <c r="B466" s="801"/>
      <c r="C466" s="801" t="s">
        <v>11</v>
      </c>
      <c r="D466" s="801"/>
      <c r="E466" s="824" t="s">
        <v>365</v>
      </c>
      <c r="F466" s="810">
        <v>24660</v>
      </c>
      <c r="G466" s="810">
        <v>33372</v>
      </c>
      <c r="H466" s="810">
        <v>70000</v>
      </c>
      <c r="I466" s="810">
        <v>70000</v>
      </c>
      <c r="J466" s="810">
        <v>70000</v>
      </c>
      <c r="K466" s="690" t="s">
        <v>366</v>
      </c>
      <c r="L466" s="691" t="s">
        <v>40</v>
      </c>
      <c r="M466" s="304">
        <v>1900</v>
      </c>
      <c r="N466" s="304">
        <v>2000</v>
      </c>
      <c r="O466" s="304">
        <v>2200</v>
      </c>
      <c r="P466" s="304">
        <v>2400</v>
      </c>
      <c r="Q466" s="304">
        <v>2600</v>
      </c>
    </row>
    <row r="467" spans="1:17" s="12" customFormat="1" ht="28.5" customHeight="1" x14ac:dyDescent="0.25">
      <c r="A467" s="930"/>
      <c r="B467" s="835"/>
      <c r="C467" s="835" t="s">
        <v>127</v>
      </c>
      <c r="D467" s="835"/>
      <c r="E467" s="830" t="s">
        <v>367</v>
      </c>
      <c r="F467" s="822">
        <v>42448</v>
      </c>
      <c r="G467" s="822">
        <v>55000</v>
      </c>
      <c r="H467" s="822">
        <v>55000</v>
      </c>
      <c r="I467" s="822">
        <v>55000</v>
      </c>
      <c r="J467" s="822">
        <v>55000</v>
      </c>
      <c r="K467" s="830" t="s">
        <v>368</v>
      </c>
      <c r="L467" s="77" t="s">
        <v>35</v>
      </c>
      <c r="M467" s="274">
        <v>0.94</v>
      </c>
      <c r="N467" s="290" t="s">
        <v>369</v>
      </c>
      <c r="O467" s="290" t="s">
        <v>369</v>
      </c>
      <c r="P467" s="290" t="s">
        <v>369</v>
      </c>
      <c r="Q467" s="290" t="s">
        <v>369</v>
      </c>
    </row>
    <row r="468" spans="1:17" s="12" customFormat="1" ht="45" x14ac:dyDescent="0.25">
      <c r="A468" s="2448">
        <v>26</v>
      </c>
      <c r="B468" s="835"/>
      <c r="C468" s="835" t="s">
        <v>129</v>
      </c>
      <c r="D468" s="835"/>
      <c r="E468" s="830" t="s">
        <v>370</v>
      </c>
      <c r="F468" s="822">
        <v>276758.90000000002</v>
      </c>
      <c r="G468" s="822">
        <v>276069.59999999998</v>
      </c>
      <c r="H468" s="822">
        <v>286931.8</v>
      </c>
      <c r="I468" s="822">
        <v>298221.40000000002</v>
      </c>
      <c r="J468" s="822">
        <v>309955.20000000001</v>
      </c>
      <c r="K468" s="830" t="s">
        <v>371</v>
      </c>
      <c r="L468" s="77" t="s">
        <v>35</v>
      </c>
      <c r="M468" s="274">
        <v>0.57399999999999995</v>
      </c>
      <c r="N468" s="290" t="s">
        <v>372</v>
      </c>
      <c r="O468" s="290" t="s">
        <v>372</v>
      </c>
      <c r="P468" s="290" t="s">
        <v>372</v>
      </c>
      <c r="Q468" s="290" t="s">
        <v>372</v>
      </c>
    </row>
    <row r="469" spans="1:17" s="12" customFormat="1" ht="75" x14ac:dyDescent="0.25">
      <c r="A469" s="2449"/>
      <c r="B469" s="835"/>
      <c r="C469" s="835" t="s">
        <v>131</v>
      </c>
      <c r="D469" s="835"/>
      <c r="E469" s="830" t="s">
        <v>373</v>
      </c>
      <c r="F469" s="822">
        <v>49517.1</v>
      </c>
      <c r="G469" s="822">
        <v>132303.9</v>
      </c>
      <c r="H469" s="822">
        <v>150000</v>
      </c>
      <c r="I469" s="822">
        <v>150000</v>
      </c>
      <c r="J469" s="822">
        <v>200000</v>
      </c>
      <c r="K469" s="688" t="s">
        <v>801</v>
      </c>
      <c r="L469" s="689" t="s">
        <v>35</v>
      </c>
      <c r="M469" s="299" t="s">
        <v>331</v>
      </c>
      <c r="N469" s="299">
        <v>1</v>
      </c>
      <c r="O469" s="299" t="s">
        <v>798</v>
      </c>
      <c r="P469" s="299" t="s">
        <v>798</v>
      </c>
      <c r="Q469" s="299" t="s">
        <v>798</v>
      </c>
    </row>
    <row r="470" spans="1:17" s="12" customFormat="1" hidden="1" x14ac:dyDescent="0.25">
      <c r="A470" s="2449"/>
      <c r="B470" s="117"/>
      <c r="C470" s="117"/>
      <c r="D470" s="117"/>
      <c r="E470" s="852" t="s">
        <v>802</v>
      </c>
      <c r="F470" s="890">
        <f>SUM(F456:F469)</f>
        <v>4761666.8</v>
      </c>
      <c r="G470" s="890">
        <f t="shared" ref="G470:J470" si="61">SUM(G456:G469)</f>
        <v>5593840.7999999998</v>
      </c>
      <c r="H470" s="890">
        <f t="shared" si="61"/>
        <v>6114027.0999999996</v>
      </c>
      <c r="I470" s="890">
        <f t="shared" si="61"/>
        <v>6385316.7000000002</v>
      </c>
      <c r="J470" s="890">
        <f t="shared" si="61"/>
        <v>6807050.5</v>
      </c>
      <c r="K470" s="305"/>
      <c r="L470" s="306"/>
      <c r="M470" s="306"/>
      <c r="N470" s="306"/>
      <c r="O470" s="306"/>
      <c r="P470" s="306"/>
      <c r="Q470" s="307"/>
    </row>
    <row r="471" spans="1:17" s="12" customFormat="1" ht="30" customHeight="1" x14ac:dyDescent="0.25">
      <c r="A471" s="2449"/>
      <c r="B471" s="2084" t="s">
        <v>500</v>
      </c>
      <c r="C471" s="2274"/>
      <c r="D471" s="2274"/>
      <c r="E471" s="2337" t="s">
        <v>1048</v>
      </c>
      <c r="F471" s="2309">
        <f>F476+F480+F481+F482+F483+F484</f>
        <v>8797793.4000000004</v>
      </c>
      <c r="G471" s="2309">
        <f t="shared" ref="G471:J471" si="62">G476+G480+G481+G482+G483+G484</f>
        <v>8783807.0999999978</v>
      </c>
      <c r="H471" s="2309">
        <f t="shared" si="62"/>
        <v>9071697.4999999981</v>
      </c>
      <c r="I471" s="2309">
        <f t="shared" si="62"/>
        <v>9267516.799999997</v>
      </c>
      <c r="J471" s="2309">
        <f t="shared" si="62"/>
        <v>9489618.9999999981</v>
      </c>
      <c r="K471" s="825" t="s">
        <v>803</v>
      </c>
      <c r="L471" s="900" t="s">
        <v>35</v>
      </c>
      <c r="M471" s="302" t="s">
        <v>374</v>
      </c>
      <c r="N471" s="302" t="s">
        <v>374</v>
      </c>
      <c r="O471" s="302" t="s">
        <v>375</v>
      </c>
      <c r="P471" s="302" t="s">
        <v>804</v>
      </c>
      <c r="Q471" s="302" t="s">
        <v>805</v>
      </c>
    </row>
    <row r="472" spans="1:17" s="12" customFormat="1" ht="30" customHeight="1" x14ac:dyDescent="0.25">
      <c r="A472" s="2450"/>
      <c r="B472" s="2085"/>
      <c r="C472" s="2275"/>
      <c r="D472" s="2275"/>
      <c r="E472" s="2338"/>
      <c r="F472" s="2310"/>
      <c r="G472" s="2310"/>
      <c r="H472" s="2310"/>
      <c r="I472" s="2310"/>
      <c r="J472" s="2310"/>
      <c r="K472" s="825" t="s">
        <v>376</v>
      </c>
      <c r="L472" s="899" t="s">
        <v>35</v>
      </c>
      <c r="M472" s="487">
        <v>0.8</v>
      </c>
      <c r="N472" s="487" t="s">
        <v>331</v>
      </c>
      <c r="O472" s="487" t="s">
        <v>806</v>
      </c>
      <c r="P472" s="487" t="s">
        <v>806</v>
      </c>
      <c r="Q472" s="487" t="s">
        <v>806</v>
      </c>
    </row>
    <row r="473" spans="1:17" s="12" customFormat="1" ht="45" x14ac:dyDescent="0.25">
      <c r="A473" s="2383"/>
      <c r="B473" s="2085"/>
      <c r="C473" s="2275"/>
      <c r="D473" s="2275"/>
      <c r="E473" s="2338"/>
      <c r="F473" s="2310"/>
      <c r="G473" s="2310"/>
      <c r="H473" s="2310"/>
      <c r="I473" s="2310"/>
      <c r="J473" s="2310"/>
      <c r="K473" s="823" t="s">
        <v>807</v>
      </c>
      <c r="L473" s="2680" t="s">
        <v>35</v>
      </c>
      <c r="M473" s="488"/>
      <c r="N473" s="488"/>
      <c r="O473" s="488"/>
      <c r="P473" s="488"/>
      <c r="Q473" s="488"/>
    </row>
    <row r="474" spans="1:17" s="12" customFormat="1" x14ac:dyDescent="0.25">
      <c r="A474" s="2384"/>
      <c r="B474" s="2085"/>
      <c r="C474" s="2275"/>
      <c r="D474" s="2275"/>
      <c r="E474" s="2338"/>
      <c r="F474" s="2310"/>
      <c r="G474" s="2310"/>
      <c r="H474" s="2310"/>
      <c r="I474" s="2310"/>
      <c r="J474" s="2310"/>
      <c r="K474" s="824" t="s">
        <v>377</v>
      </c>
      <c r="L474" s="2681"/>
      <c r="M474" s="487">
        <v>0.14799999999999999</v>
      </c>
      <c r="N474" s="487">
        <v>0.14899999999999999</v>
      </c>
      <c r="O474" s="487">
        <v>0.15</v>
      </c>
      <c r="P474" s="487">
        <v>0.151</v>
      </c>
      <c r="Q474" s="487">
        <v>0.152</v>
      </c>
    </row>
    <row r="475" spans="1:17" s="12" customFormat="1" x14ac:dyDescent="0.25">
      <c r="A475" s="2385"/>
      <c r="B475" s="2086"/>
      <c r="C475" s="2276"/>
      <c r="D475" s="2276"/>
      <c r="E475" s="2339"/>
      <c r="F475" s="2311"/>
      <c r="G475" s="2311"/>
      <c r="H475" s="2311"/>
      <c r="I475" s="2311"/>
      <c r="J475" s="2311"/>
      <c r="K475" s="825" t="s">
        <v>378</v>
      </c>
      <c r="L475" s="2682"/>
      <c r="M475" s="302">
        <v>5.5E-2</v>
      </c>
      <c r="N475" s="302">
        <v>5.5E-2</v>
      </c>
      <c r="O475" s="302">
        <v>5.6000000000000001E-2</v>
      </c>
      <c r="P475" s="302">
        <v>5.7000000000000002E-2</v>
      </c>
      <c r="Q475" s="302">
        <v>5.8000000000000003E-2</v>
      </c>
    </row>
    <row r="476" spans="1:17" s="12" customFormat="1" ht="30" x14ac:dyDescent="0.25">
      <c r="A476" s="930"/>
      <c r="B476" s="2274"/>
      <c r="C476" s="2274" t="s">
        <v>5</v>
      </c>
      <c r="D476" s="2274"/>
      <c r="E476" s="2340" t="s">
        <v>379</v>
      </c>
      <c r="F476" s="2312">
        <v>7288261.5999999996</v>
      </c>
      <c r="G476" s="2312">
        <v>7222594.0999999996</v>
      </c>
      <c r="H476" s="2312">
        <v>7430484.5</v>
      </c>
      <c r="I476" s="2312">
        <v>7576303.7999999998</v>
      </c>
      <c r="J476" s="2312">
        <v>7698406</v>
      </c>
      <c r="K476" s="308" t="s">
        <v>380</v>
      </c>
      <c r="L476" s="291" t="s">
        <v>35</v>
      </c>
      <c r="M476" s="274">
        <v>0.52</v>
      </c>
      <c r="N476" s="274" t="s">
        <v>372</v>
      </c>
      <c r="O476" s="274" t="s">
        <v>372</v>
      </c>
      <c r="P476" s="274" t="s">
        <v>372</v>
      </c>
      <c r="Q476" s="274" t="s">
        <v>372</v>
      </c>
    </row>
    <row r="477" spans="1:17" s="12" customFormat="1" x14ac:dyDescent="0.25">
      <c r="A477" s="463"/>
      <c r="B477" s="2275"/>
      <c r="C477" s="2275"/>
      <c r="D477" s="2275"/>
      <c r="E477" s="2340"/>
      <c r="F477" s="2312"/>
      <c r="G477" s="2312"/>
      <c r="H477" s="2312"/>
      <c r="I477" s="2312"/>
      <c r="J477" s="2312"/>
      <c r="K477" s="308" t="s">
        <v>808</v>
      </c>
      <c r="L477" s="291" t="s">
        <v>35</v>
      </c>
      <c r="M477" s="294">
        <v>0.08</v>
      </c>
      <c r="N477" s="294">
        <v>7.0000000000000007E-2</v>
      </c>
      <c r="O477" s="294">
        <v>0.06</v>
      </c>
      <c r="P477" s="294">
        <v>0.05</v>
      </c>
      <c r="Q477" s="294">
        <v>0.03</v>
      </c>
    </row>
    <row r="478" spans="1:17" s="12" customFormat="1" ht="30" x14ac:dyDescent="0.25">
      <c r="A478" s="463"/>
      <c r="B478" s="2275"/>
      <c r="C478" s="2275"/>
      <c r="D478" s="2275"/>
      <c r="E478" s="2340"/>
      <c r="F478" s="2312"/>
      <c r="G478" s="2312"/>
      <c r="H478" s="2312"/>
      <c r="I478" s="2312"/>
      <c r="J478" s="2312"/>
      <c r="K478" s="692" t="s">
        <v>381</v>
      </c>
      <c r="L478" s="291" t="s">
        <v>35</v>
      </c>
      <c r="M478" s="274">
        <v>0.23599999999999999</v>
      </c>
      <c r="N478" s="274" t="s">
        <v>382</v>
      </c>
      <c r="O478" s="274" t="s">
        <v>382</v>
      </c>
      <c r="P478" s="274" t="s">
        <v>382</v>
      </c>
      <c r="Q478" s="274" t="s">
        <v>382</v>
      </c>
    </row>
    <row r="479" spans="1:17" s="12" customFormat="1" ht="30" x14ac:dyDescent="0.25">
      <c r="A479" s="463"/>
      <c r="B479" s="2276"/>
      <c r="C479" s="2276"/>
      <c r="D479" s="2276"/>
      <c r="E479" s="2340"/>
      <c r="F479" s="2312"/>
      <c r="G479" s="2312"/>
      <c r="H479" s="2312"/>
      <c r="I479" s="2312"/>
      <c r="J479" s="2312"/>
      <c r="K479" s="308" t="s">
        <v>383</v>
      </c>
      <c r="L479" s="291" t="s">
        <v>35</v>
      </c>
      <c r="M479" s="274">
        <v>1.08</v>
      </c>
      <c r="N479" s="274">
        <v>1.06</v>
      </c>
      <c r="O479" s="274">
        <v>1.02</v>
      </c>
      <c r="P479" s="274" t="s">
        <v>809</v>
      </c>
      <c r="Q479" s="274" t="s">
        <v>809</v>
      </c>
    </row>
    <row r="480" spans="1:17" s="12" customFormat="1" ht="60" x14ac:dyDescent="0.25">
      <c r="A480" s="930"/>
      <c r="B480" s="835"/>
      <c r="C480" s="835" t="s">
        <v>7</v>
      </c>
      <c r="D480" s="835"/>
      <c r="E480" s="830" t="s">
        <v>384</v>
      </c>
      <c r="F480" s="822">
        <v>756230.1</v>
      </c>
      <c r="G480" s="822">
        <v>721209.1</v>
      </c>
      <c r="H480" s="822">
        <v>771209.1</v>
      </c>
      <c r="I480" s="822">
        <v>791209.1</v>
      </c>
      <c r="J480" s="822">
        <v>811209.1</v>
      </c>
      <c r="K480" s="692" t="s">
        <v>383</v>
      </c>
      <c r="L480" s="691" t="s">
        <v>35</v>
      </c>
      <c r="M480" s="309">
        <v>0.94399999999999995</v>
      </c>
      <c r="N480" s="309" t="s">
        <v>809</v>
      </c>
      <c r="O480" s="309" t="s">
        <v>809</v>
      </c>
      <c r="P480" s="309" t="s">
        <v>809</v>
      </c>
      <c r="Q480" s="309" t="s">
        <v>809</v>
      </c>
    </row>
    <row r="481" spans="1:17" s="12" customFormat="1" ht="45" x14ac:dyDescent="0.25">
      <c r="A481" s="930"/>
      <c r="B481" s="800"/>
      <c r="C481" s="800" t="s">
        <v>9</v>
      </c>
      <c r="D481" s="800"/>
      <c r="E481" s="823" t="s">
        <v>385</v>
      </c>
      <c r="F481" s="822">
        <v>233641.3</v>
      </c>
      <c r="G481" s="822">
        <v>252210.5</v>
      </c>
      <c r="H481" s="822">
        <v>262210.5</v>
      </c>
      <c r="I481" s="822">
        <v>272210.5</v>
      </c>
      <c r="J481" s="822">
        <v>282210.5</v>
      </c>
      <c r="K481" s="692" t="s">
        <v>383</v>
      </c>
      <c r="L481" s="691" t="s">
        <v>35</v>
      </c>
      <c r="M481" s="309">
        <v>1.03</v>
      </c>
      <c r="N481" s="309" t="s">
        <v>809</v>
      </c>
      <c r="O481" s="309" t="s">
        <v>809</v>
      </c>
      <c r="P481" s="309" t="s">
        <v>809</v>
      </c>
      <c r="Q481" s="309" t="s">
        <v>809</v>
      </c>
    </row>
    <row r="482" spans="1:17" s="12" customFormat="1" ht="45" x14ac:dyDescent="0.25">
      <c r="A482" s="930"/>
      <c r="B482" s="800"/>
      <c r="C482" s="800" t="s">
        <v>11</v>
      </c>
      <c r="D482" s="800"/>
      <c r="E482" s="823" t="s">
        <v>386</v>
      </c>
      <c r="F482" s="822">
        <v>145048.6</v>
      </c>
      <c r="G482" s="822">
        <v>196006.7</v>
      </c>
      <c r="H482" s="822">
        <v>206006.7</v>
      </c>
      <c r="I482" s="822">
        <v>216006.7</v>
      </c>
      <c r="J482" s="822">
        <v>226006.7</v>
      </c>
      <c r="K482" s="692" t="s">
        <v>383</v>
      </c>
      <c r="L482" s="691" t="s">
        <v>35</v>
      </c>
      <c r="M482" s="309">
        <v>1.03</v>
      </c>
      <c r="N482" s="309">
        <v>1.02</v>
      </c>
      <c r="O482" s="309" t="s">
        <v>809</v>
      </c>
      <c r="P482" s="309" t="s">
        <v>809</v>
      </c>
      <c r="Q482" s="309" t="s">
        <v>809</v>
      </c>
    </row>
    <row r="483" spans="1:17" s="12" customFormat="1" ht="45" x14ac:dyDescent="0.25">
      <c r="A483" s="82">
        <v>26</v>
      </c>
      <c r="B483" s="800"/>
      <c r="C483" s="800" t="s">
        <v>127</v>
      </c>
      <c r="D483" s="800"/>
      <c r="E483" s="823" t="s">
        <v>387</v>
      </c>
      <c r="F483" s="822">
        <v>333034.8</v>
      </c>
      <c r="G483" s="822">
        <v>291786.7</v>
      </c>
      <c r="H483" s="822">
        <v>301786.7</v>
      </c>
      <c r="I483" s="822">
        <v>311786.7</v>
      </c>
      <c r="J483" s="822">
        <v>321786.7</v>
      </c>
      <c r="K483" s="692" t="s">
        <v>383</v>
      </c>
      <c r="L483" s="691" t="s">
        <v>35</v>
      </c>
      <c r="M483" s="309">
        <v>0.98</v>
      </c>
      <c r="N483" s="309" t="s">
        <v>809</v>
      </c>
      <c r="O483" s="309" t="s">
        <v>809</v>
      </c>
      <c r="P483" s="309" t="s">
        <v>809</v>
      </c>
      <c r="Q483" s="309" t="s">
        <v>809</v>
      </c>
    </row>
    <row r="484" spans="1:17" ht="75" x14ac:dyDescent="0.25">
      <c r="B484" s="835"/>
      <c r="C484" s="835" t="s">
        <v>134</v>
      </c>
      <c r="D484" s="835"/>
      <c r="E484" s="830" t="s">
        <v>388</v>
      </c>
      <c r="F484" s="822">
        <v>41577</v>
      </c>
      <c r="G484" s="822">
        <v>100000</v>
      </c>
      <c r="H484" s="822">
        <v>100000</v>
      </c>
      <c r="I484" s="822">
        <v>100000</v>
      </c>
      <c r="J484" s="822">
        <v>150000</v>
      </c>
      <c r="K484" s="692" t="s">
        <v>389</v>
      </c>
      <c r="L484" s="291" t="s">
        <v>35</v>
      </c>
      <c r="M484" s="274">
        <v>0.249</v>
      </c>
      <c r="N484" s="274">
        <v>0.65</v>
      </c>
      <c r="O484" s="274">
        <v>0.67800000000000005</v>
      </c>
      <c r="P484" s="274">
        <v>0.7</v>
      </c>
      <c r="Q484" s="274">
        <v>0.8</v>
      </c>
    </row>
    <row r="485" spans="1:17" hidden="1" x14ac:dyDescent="0.25">
      <c r="B485" s="117"/>
      <c r="C485" s="117"/>
      <c r="D485" s="117"/>
      <c r="E485" s="852" t="s">
        <v>810</v>
      </c>
      <c r="F485" s="890">
        <f>SUM(F476:F484)</f>
        <v>8797793.4000000004</v>
      </c>
      <c r="G485" s="890">
        <f>SUM(G476:G484)</f>
        <v>8783807.0999999978</v>
      </c>
      <c r="H485" s="890">
        <f>SUM(H476:H484)</f>
        <v>9071697.4999999981</v>
      </c>
      <c r="I485" s="890">
        <f>SUM(I476:I484)</f>
        <v>9267516.799999997</v>
      </c>
      <c r="J485" s="890">
        <f>SUM(J476:J484)</f>
        <v>9489618.9999999981</v>
      </c>
      <c r="K485" s="2570"/>
      <c r="L485" s="2570"/>
      <c r="M485" s="2570"/>
      <c r="N485" s="2570"/>
      <c r="O485" s="2570"/>
      <c r="P485" s="2570"/>
      <c r="Q485" s="2570"/>
    </row>
    <row r="486" spans="1:17" ht="117.75" x14ac:dyDescent="0.25">
      <c r="B486" s="842" t="s">
        <v>508</v>
      </c>
      <c r="C486" s="835"/>
      <c r="D486" s="835"/>
      <c r="E486" s="489" t="s">
        <v>1161</v>
      </c>
      <c r="F486" s="566">
        <f>F487+F488+F489+F490</f>
        <v>992459.5</v>
      </c>
      <c r="G486" s="566">
        <f t="shared" ref="G486:J486" si="63">G487+G488+G489+G490</f>
        <v>501296.2</v>
      </c>
      <c r="H486" s="566">
        <f t="shared" si="63"/>
        <v>1175406.3999999999</v>
      </c>
      <c r="I486" s="566">
        <f t="shared" si="63"/>
        <v>768660.8</v>
      </c>
      <c r="J486" s="566">
        <f t="shared" si="63"/>
        <v>786360.8</v>
      </c>
      <c r="K486" s="830" t="s">
        <v>811</v>
      </c>
      <c r="L486" s="77" t="s">
        <v>35</v>
      </c>
      <c r="M486" s="274">
        <f>488/(538+488+117)</f>
        <v>0.42694663167104113</v>
      </c>
      <c r="N486" s="274">
        <f>(488+117)/(538+488+117)</f>
        <v>0.52930883639545057</v>
      </c>
      <c r="O486" s="274">
        <f>N486</f>
        <v>0.52930883639545057</v>
      </c>
      <c r="P486" s="274">
        <f>O486</f>
        <v>0.52930883639545057</v>
      </c>
      <c r="Q486" s="274">
        <f>P486</f>
        <v>0.52930883639545057</v>
      </c>
    </row>
    <row r="487" spans="1:17" ht="150" x14ac:dyDescent="0.25">
      <c r="B487" s="835"/>
      <c r="C487" s="835" t="s">
        <v>5</v>
      </c>
      <c r="D487" s="835"/>
      <c r="E487" s="830" t="s">
        <v>390</v>
      </c>
      <c r="F487" s="822">
        <v>309213.90000000002</v>
      </c>
      <c r="G487" s="822">
        <v>286000</v>
      </c>
      <c r="H487" s="822">
        <v>511660.79999999999</v>
      </c>
      <c r="I487" s="822">
        <v>511660.79999999999</v>
      </c>
      <c r="J487" s="822">
        <v>511660.79999999999</v>
      </c>
      <c r="K487" s="830" t="s">
        <v>391</v>
      </c>
      <c r="L487" s="77" t="s">
        <v>203</v>
      </c>
      <c r="M487" s="301">
        <v>908</v>
      </c>
      <c r="N487" s="301">
        <v>763</v>
      </c>
      <c r="O487" s="301">
        <v>756</v>
      </c>
      <c r="P487" s="301">
        <v>756</v>
      </c>
      <c r="Q487" s="301">
        <v>756</v>
      </c>
    </row>
    <row r="488" spans="1:17" ht="105" x14ac:dyDescent="0.25">
      <c r="B488" s="835"/>
      <c r="C488" s="802" t="s">
        <v>7</v>
      </c>
      <c r="D488" s="802"/>
      <c r="E488" s="825" t="s">
        <v>812</v>
      </c>
      <c r="F488" s="826">
        <v>180000</v>
      </c>
      <c r="G488" s="826">
        <v>190296.2</v>
      </c>
      <c r="H488" s="826">
        <v>208700</v>
      </c>
      <c r="I488" s="826">
        <v>222000</v>
      </c>
      <c r="J488" s="826">
        <v>234700</v>
      </c>
      <c r="K488" s="692" t="s">
        <v>813</v>
      </c>
      <c r="L488" s="291" t="s">
        <v>35</v>
      </c>
      <c r="M488" s="274">
        <f>F488/(F495-F451)</f>
        <v>1.2369502011476878E-2</v>
      </c>
      <c r="N488" s="274">
        <f>G488/(G495-G451)</f>
        <v>1.2789630683537553E-2</v>
      </c>
      <c r="O488" s="274">
        <f>H488/(H495-H451)</f>
        <v>1.2755841879146376E-2</v>
      </c>
      <c r="P488" s="274">
        <f>I488/(I495-I451)</f>
        <v>1.3518867159366857E-2</v>
      </c>
      <c r="Q488" s="274">
        <f>J488/(J495-J451)</f>
        <v>1.3738780291222691E-2</v>
      </c>
    </row>
    <row r="489" spans="1:17" ht="45" x14ac:dyDescent="0.25">
      <c r="B489" s="835"/>
      <c r="C489" s="802" t="s">
        <v>9</v>
      </c>
      <c r="D489" s="802"/>
      <c r="E489" s="825" t="s">
        <v>814</v>
      </c>
      <c r="F489" s="826">
        <v>25000</v>
      </c>
      <c r="G489" s="826">
        <v>25000</v>
      </c>
      <c r="H489" s="826">
        <v>30000</v>
      </c>
      <c r="I489" s="826">
        <v>35000</v>
      </c>
      <c r="J489" s="826">
        <v>40000</v>
      </c>
      <c r="K489" s="692" t="s">
        <v>815</v>
      </c>
      <c r="L489" s="291" t="s">
        <v>35</v>
      </c>
      <c r="M489" s="274">
        <f>F489/F495</f>
        <v>1.7024145809057753E-3</v>
      </c>
      <c r="N489" s="274">
        <f>G489/G495</f>
        <v>1.6632355116003661E-3</v>
      </c>
      <c r="O489" s="274">
        <f>H489/H495</f>
        <v>1.8160761604227246E-3</v>
      </c>
      <c r="P489" s="274">
        <f>I489/I495</f>
        <v>2.1096417844524381E-3</v>
      </c>
      <c r="Q489" s="274">
        <f>J489/J495</f>
        <v>2.3172245271751149E-3</v>
      </c>
    </row>
    <row r="490" spans="1:17" ht="45" x14ac:dyDescent="0.25">
      <c r="B490" s="2274"/>
      <c r="C490" s="2274" t="s">
        <v>11</v>
      </c>
      <c r="D490" s="2274"/>
      <c r="E490" s="2393" t="s">
        <v>816</v>
      </c>
      <c r="F490" s="2389">
        <v>478245.6</v>
      </c>
      <c r="G490" s="2389"/>
      <c r="H490" s="2389">
        <v>425045.6</v>
      </c>
      <c r="I490" s="2389"/>
      <c r="J490" s="2389"/>
      <c r="K490" s="692" t="s">
        <v>817</v>
      </c>
      <c r="L490" s="291" t="s">
        <v>35</v>
      </c>
      <c r="M490" s="274">
        <f>F490/F495</f>
        <v>3.2566891307761241E-2</v>
      </c>
      <c r="N490" s="274"/>
      <c r="O490" s="274">
        <f>H490/H495</f>
        <v>2.5730506041752439E-2</v>
      </c>
      <c r="P490" s="275"/>
      <c r="Q490" s="275"/>
    </row>
    <row r="491" spans="1:17" ht="45" x14ac:dyDescent="0.25">
      <c r="B491" s="2275"/>
      <c r="C491" s="2275"/>
      <c r="D491" s="2275"/>
      <c r="E491" s="2394"/>
      <c r="F491" s="2392"/>
      <c r="G491" s="2392"/>
      <c r="H491" s="2392"/>
      <c r="I491" s="2392"/>
      <c r="J491" s="2392"/>
      <c r="K491" s="692" t="s">
        <v>818</v>
      </c>
      <c r="L491" s="291" t="s">
        <v>779</v>
      </c>
      <c r="M491" s="301"/>
      <c r="N491" s="301">
        <v>6</v>
      </c>
      <c r="O491" s="301"/>
      <c r="P491" s="286"/>
      <c r="Q491" s="286"/>
    </row>
    <row r="492" spans="1:17" hidden="1" x14ac:dyDescent="0.25">
      <c r="B492" s="120"/>
      <c r="C492" s="120"/>
      <c r="D492" s="120"/>
      <c r="E492" s="852" t="s">
        <v>819</v>
      </c>
      <c r="F492" s="890">
        <f>SUM(F487:F490)</f>
        <v>992459.5</v>
      </c>
      <c r="G492" s="890">
        <f>SUM(G487:G490)</f>
        <v>501296.2</v>
      </c>
      <c r="H492" s="890">
        <f>SUM(H487:H490)</f>
        <v>1175406.3999999999</v>
      </c>
      <c r="I492" s="890">
        <f>SUM(I487:I490)</f>
        <v>768660.8</v>
      </c>
      <c r="J492" s="890">
        <f>SUM(J487:J490)</f>
        <v>786360.8</v>
      </c>
      <c r="K492" s="2575"/>
      <c r="L492" s="2575"/>
      <c r="M492" s="2575"/>
      <c r="N492" s="2575"/>
      <c r="O492" s="2575"/>
      <c r="P492" s="2575"/>
      <c r="Q492" s="2575"/>
    </row>
    <row r="493" spans="1:17" hidden="1" x14ac:dyDescent="0.25">
      <c r="B493" s="120"/>
      <c r="C493" s="120"/>
      <c r="D493" s="120"/>
      <c r="E493" s="852"/>
      <c r="F493" s="890"/>
      <c r="G493" s="890"/>
      <c r="H493" s="890"/>
      <c r="I493" s="890"/>
      <c r="J493" s="890"/>
      <c r="K493" s="903"/>
      <c r="L493" s="903"/>
      <c r="M493" s="903"/>
      <c r="N493" s="903"/>
      <c r="O493" s="903"/>
      <c r="P493" s="903"/>
      <c r="Q493" s="903"/>
    </row>
    <row r="494" spans="1:17" hidden="1" x14ac:dyDescent="0.25">
      <c r="B494" s="565"/>
      <c r="C494" s="565"/>
      <c r="D494" s="565"/>
      <c r="E494" s="567"/>
      <c r="F494" s="890"/>
      <c r="G494" s="890"/>
      <c r="H494" s="890"/>
      <c r="I494" s="890"/>
      <c r="J494" s="890"/>
      <c r="K494" s="903"/>
      <c r="L494" s="903"/>
      <c r="M494" s="903"/>
      <c r="N494" s="903"/>
      <c r="O494" s="903"/>
      <c r="P494" s="903"/>
      <c r="Q494" s="903"/>
    </row>
    <row r="495" spans="1:17" ht="15" customHeight="1" x14ac:dyDescent="0.25">
      <c r="A495" s="2451" t="s">
        <v>895</v>
      </c>
      <c r="B495" s="2417"/>
      <c r="C495" s="2417"/>
      <c r="D495" s="2417"/>
      <c r="E495" s="2418"/>
      <c r="F495" s="374">
        <f>F492+F485+F470+F451</f>
        <v>14685024.6</v>
      </c>
      <c r="G495" s="374">
        <f>G492+G485+G470+G451</f>
        <v>15030944.099999998</v>
      </c>
      <c r="H495" s="374">
        <f>H492+H485+H470+H451</f>
        <v>16519130.999999998</v>
      </c>
      <c r="I495" s="374">
        <f>I492+I485+I470+I451</f>
        <v>16590494.299999997</v>
      </c>
      <c r="J495" s="374">
        <f>J492+J485+J470+J451</f>
        <v>17262030.299999997</v>
      </c>
      <c r="K495" s="2576"/>
      <c r="L495" s="2576"/>
      <c r="M495" s="2576"/>
      <c r="N495" s="2576"/>
      <c r="O495" s="2576"/>
      <c r="P495" s="2576"/>
      <c r="Q495" s="2576"/>
    </row>
    <row r="496" spans="1:17" x14ac:dyDescent="0.25">
      <c r="A496" s="2678" t="s">
        <v>894</v>
      </c>
      <c r="B496" s="2678"/>
      <c r="C496" s="2678"/>
      <c r="D496" s="2678"/>
      <c r="E496" s="2678"/>
      <c r="F496" s="64">
        <v>10466697.199999999</v>
      </c>
      <c r="G496" s="64">
        <v>10852341.699999999</v>
      </c>
      <c r="H496" s="64">
        <v>11116341.699999999</v>
      </c>
      <c r="I496" s="64">
        <v>9979341.6999999993</v>
      </c>
      <c r="J496" s="64">
        <v>12251224</v>
      </c>
      <c r="K496" s="375"/>
      <c r="L496" s="375"/>
      <c r="M496" s="375"/>
      <c r="N496" s="375"/>
      <c r="O496" s="375"/>
      <c r="P496" s="375"/>
      <c r="Q496" s="375"/>
    </row>
    <row r="497" spans="1:17" s="12" customFormat="1" x14ac:dyDescent="0.25">
      <c r="A497" s="502"/>
      <c r="B497" s="502"/>
      <c r="C497" s="602"/>
      <c r="D497" s="602"/>
      <c r="E497" s="602"/>
      <c r="F497" s="736"/>
      <c r="G497" s="736"/>
      <c r="H497" s="737"/>
      <c r="I497" s="737"/>
      <c r="J497" s="737"/>
      <c r="K497" s="603"/>
      <c r="L497" s="603"/>
      <c r="M497" s="602"/>
      <c r="N497" s="602"/>
      <c r="O497" s="602"/>
      <c r="P497" s="602"/>
      <c r="Q497" s="602"/>
    </row>
    <row r="498" spans="1:17" s="12" customFormat="1" x14ac:dyDescent="0.25">
      <c r="A498" s="502"/>
      <c r="B498" s="502"/>
      <c r="C498" s="602"/>
      <c r="D498" s="602"/>
      <c r="E498" s="602"/>
      <c r="F498" s="736"/>
      <c r="G498" s="736"/>
      <c r="H498" s="737"/>
      <c r="I498" s="737"/>
      <c r="J498" s="737"/>
      <c r="K498" s="603"/>
      <c r="L498" s="603"/>
      <c r="M498" s="602"/>
      <c r="N498" s="602"/>
      <c r="O498" s="602"/>
      <c r="P498" s="602"/>
      <c r="Q498" s="602"/>
    </row>
    <row r="499" spans="1:17" s="12" customFormat="1" x14ac:dyDescent="0.25">
      <c r="A499" s="1690"/>
      <c r="B499" s="1696" t="s">
        <v>970</v>
      </c>
      <c r="C499" s="1697"/>
      <c r="D499" s="1697"/>
      <c r="E499" s="1697"/>
      <c r="F499" s="1697"/>
      <c r="G499" s="1697"/>
      <c r="H499" s="1697"/>
      <c r="I499" s="1697"/>
      <c r="J499" s="1697"/>
      <c r="K499" s="1697"/>
      <c r="L499" s="1697"/>
      <c r="M499" s="1697"/>
      <c r="N499" s="1697"/>
      <c r="O499" s="1697"/>
      <c r="P499" s="1697"/>
      <c r="Q499" s="1697"/>
    </row>
    <row r="500" spans="1:17" s="12" customFormat="1" ht="75" x14ac:dyDescent="0.25">
      <c r="A500" s="857"/>
      <c r="B500" s="680" t="s">
        <v>467</v>
      </c>
      <c r="C500" s="661"/>
      <c r="D500" s="661"/>
      <c r="E500" s="684" t="s">
        <v>908</v>
      </c>
      <c r="F500" s="683">
        <f t="shared" ref="F500:G500" si="64">SUM(F501:F504)</f>
        <v>20021600</v>
      </c>
      <c r="G500" s="683">
        <f t="shared" si="64"/>
        <v>21038980.120000001</v>
      </c>
      <c r="H500" s="683">
        <f>SUM(H501:H504)</f>
        <v>22007980.100000001</v>
      </c>
      <c r="I500" s="683">
        <f>SUM(I501:I504)</f>
        <v>21911980.100000001</v>
      </c>
      <c r="J500" s="683">
        <f t="shared" ref="J500" si="65">SUM(J501:J504)</f>
        <v>24009776.760000002</v>
      </c>
      <c r="K500" s="693" t="s">
        <v>772</v>
      </c>
      <c r="L500" s="660" t="s">
        <v>173</v>
      </c>
      <c r="M500" s="660">
        <v>0</v>
      </c>
      <c r="N500" s="660">
        <v>0</v>
      </c>
      <c r="O500" s="660">
        <v>0</v>
      </c>
      <c r="P500" s="660">
        <v>0</v>
      </c>
      <c r="Q500" s="660">
        <v>0</v>
      </c>
    </row>
    <row r="501" spans="1:17" s="12" customFormat="1" ht="45" x14ac:dyDescent="0.25">
      <c r="A501" s="80"/>
      <c r="B501" s="924"/>
      <c r="C501" s="717" t="s">
        <v>5</v>
      </c>
      <c r="D501" s="717"/>
      <c r="E501" s="714" t="s">
        <v>771</v>
      </c>
      <c r="F501" s="706">
        <v>11783498.177999999</v>
      </c>
      <c r="G501" s="761">
        <v>12382200.573000001</v>
      </c>
      <c r="H501" s="706">
        <f>13155333.6+100000</f>
        <v>13255333.6</v>
      </c>
      <c r="I501" s="706">
        <v>13155333.6</v>
      </c>
      <c r="J501" s="706">
        <v>14535490.380000001</v>
      </c>
      <c r="K501" s="490" t="s">
        <v>392</v>
      </c>
      <c r="L501" s="704" t="s">
        <v>173</v>
      </c>
      <c r="M501" s="704">
        <v>0</v>
      </c>
      <c r="N501" s="704">
        <v>0</v>
      </c>
      <c r="O501" s="704">
        <v>0</v>
      </c>
      <c r="P501" s="704">
        <v>0</v>
      </c>
      <c r="Q501" s="704">
        <v>0</v>
      </c>
    </row>
    <row r="502" spans="1:17" s="12" customFormat="1" ht="30" customHeight="1" x14ac:dyDescent="0.25">
      <c r="A502" s="930"/>
      <c r="B502" s="924"/>
      <c r="C502" s="717" t="s">
        <v>7</v>
      </c>
      <c r="D502" s="717"/>
      <c r="E502" s="714" t="s">
        <v>393</v>
      </c>
      <c r="F502" s="706">
        <v>1858396.7</v>
      </c>
      <c r="G502" s="761">
        <v>1882616.1540000001</v>
      </c>
      <c r="H502" s="706">
        <v>1915837.9</v>
      </c>
      <c r="I502" s="706">
        <v>1915837.9</v>
      </c>
      <c r="J502" s="706">
        <v>1986821.1</v>
      </c>
      <c r="K502" s="490" t="s">
        <v>392</v>
      </c>
      <c r="L502" s="704" t="s">
        <v>173</v>
      </c>
      <c r="M502" s="704">
        <v>0</v>
      </c>
      <c r="N502" s="704">
        <v>0</v>
      </c>
      <c r="O502" s="704">
        <v>0</v>
      </c>
      <c r="P502" s="704">
        <v>0</v>
      </c>
      <c r="Q502" s="704">
        <v>0</v>
      </c>
    </row>
    <row r="503" spans="1:17" s="12" customFormat="1" ht="45" x14ac:dyDescent="0.25">
      <c r="A503" s="930"/>
      <c r="B503" s="924"/>
      <c r="C503" s="717" t="s">
        <v>9</v>
      </c>
      <c r="D503" s="717"/>
      <c r="E503" s="714" t="s">
        <v>394</v>
      </c>
      <c r="F503" s="706">
        <f>2481943.367+20125.257</f>
        <v>2502068.6240000003</v>
      </c>
      <c r="G503" s="761">
        <v>2760914.5</v>
      </c>
      <c r="H503" s="706">
        <f>3054264+24000-4000</f>
        <v>3074264</v>
      </c>
      <c r="I503" s="706">
        <f>3054264+24000</f>
        <v>3078264</v>
      </c>
      <c r="J503" s="706">
        <f>3517990.68+26000</f>
        <v>3543990.68</v>
      </c>
      <c r="K503" s="490" t="s">
        <v>392</v>
      </c>
      <c r="L503" s="704" t="s">
        <v>173</v>
      </c>
      <c r="M503" s="704">
        <v>0</v>
      </c>
      <c r="N503" s="704">
        <v>0</v>
      </c>
      <c r="O503" s="704">
        <v>0</v>
      </c>
      <c r="P503" s="704">
        <v>0</v>
      </c>
      <c r="Q503" s="704">
        <v>0</v>
      </c>
    </row>
    <row r="504" spans="1:17" s="12" customFormat="1" ht="45" x14ac:dyDescent="0.25">
      <c r="A504" s="930"/>
      <c r="B504" s="924"/>
      <c r="C504" s="717" t="s">
        <v>11</v>
      </c>
      <c r="D504" s="717"/>
      <c r="E504" s="714" t="s">
        <v>395</v>
      </c>
      <c r="F504" s="706">
        <f>1310428.5+200495.5+1514087.1+8126.5+33952.1+3767.9+593846.7+213078.598-146.4</f>
        <v>3877636.4980000001</v>
      </c>
      <c r="G504" s="761">
        <v>4013248.8930000002</v>
      </c>
      <c r="H504" s="706">
        <v>3762544.6</v>
      </c>
      <c r="I504" s="706">
        <v>3762544.6</v>
      </c>
      <c r="J504" s="706">
        <v>3943474.6</v>
      </c>
      <c r="K504" s="490" t="s">
        <v>392</v>
      </c>
      <c r="L504" s="704" t="s">
        <v>173</v>
      </c>
      <c r="M504" s="704">
        <v>0</v>
      </c>
      <c r="N504" s="704">
        <v>0</v>
      </c>
      <c r="O504" s="704">
        <v>0</v>
      </c>
      <c r="P504" s="704">
        <v>0</v>
      </c>
      <c r="Q504" s="704">
        <v>0</v>
      </c>
    </row>
    <row r="505" spans="1:17" s="12" customFormat="1" x14ac:dyDescent="0.25">
      <c r="A505" s="930"/>
      <c r="B505" s="70">
        <v>3</v>
      </c>
      <c r="C505" s="835"/>
      <c r="D505" s="83"/>
      <c r="E505" s="81" t="s">
        <v>396</v>
      </c>
      <c r="F505" s="78">
        <f>SUM(F506:F520)</f>
        <v>10859174.248000002</v>
      </c>
      <c r="G505" s="78">
        <f t="shared" ref="G505:J505" si="66">SUM(G506:G520)</f>
        <v>14161066.600000001</v>
      </c>
      <c r="H505" s="78">
        <f t="shared" si="66"/>
        <v>30612816.899999999</v>
      </c>
      <c r="I505" s="78">
        <f t="shared" si="66"/>
        <v>14453108.399999999</v>
      </c>
      <c r="J505" s="78">
        <f t="shared" si="66"/>
        <v>16005692.000000002</v>
      </c>
      <c r="K505" s="25"/>
      <c r="L505" s="29"/>
      <c r="M505" s="29"/>
      <c r="N505" s="29"/>
      <c r="O505" s="29"/>
      <c r="P505" s="29"/>
      <c r="Q505" s="29"/>
    </row>
    <row r="506" spans="1:17" s="12" customFormat="1" ht="30" x14ac:dyDescent="0.25">
      <c r="A506" s="80"/>
      <c r="B506" s="76"/>
      <c r="C506" s="835" t="s">
        <v>5</v>
      </c>
      <c r="D506" s="83"/>
      <c r="E506" s="841" t="s">
        <v>397</v>
      </c>
      <c r="F506" s="79">
        <v>29755.1</v>
      </c>
      <c r="G506" s="761">
        <v>165100</v>
      </c>
      <c r="H506" s="79"/>
      <c r="I506" s="79">
        <v>165244</v>
      </c>
      <c r="J506" s="79">
        <v>165566.1</v>
      </c>
      <c r="K506" s="25"/>
      <c r="L506" s="29"/>
      <c r="M506" s="29"/>
      <c r="N506" s="29"/>
      <c r="O506" s="29"/>
      <c r="P506" s="29"/>
      <c r="Q506" s="29"/>
    </row>
    <row r="507" spans="1:17" s="12" customFormat="1" ht="30" x14ac:dyDescent="0.25">
      <c r="A507" s="930"/>
      <c r="B507" s="76"/>
      <c r="C507" s="835" t="s">
        <v>7</v>
      </c>
      <c r="D507" s="83"/>
      <c r="E507" s="841" t="s">
        <v>1162</v>
      </c>
      <c r="F507" s="79">
        <v>14100</v>
      </c>
      <c r="G507" s="761">
        <v>14100</v>
      </c>
      <c r="H507" s="79">
        <v>14100</v>
      </c>
      <c r="I507" s="79">
        <v>14100</v>
      </c>
      <c r="J507" s="79">
        <v>14100</v>
      </c>
      <c r="K507" s="25"/>
      <c r="L507" s="29"/>
      <c r="M507" s="29"/>
      <c r="N507" s="29"/>
      <c r="O507" s="29"/>
      <c r="P507" s="29"/>
      <c r="Q507" s="29"/>
    </row>
    <row r="508" spans="1:17" s="12" customFormat="1" ht="45" x14ac:dyDescent="0.25">
      <c r="A508" s="930"/>
      <c r="B508" s="76"/>
      <c r="C508" s="835" t="s">
        <v>9</v>
      </c>
      <c r="D508" s="83"/>
      <c r="E508" s="841" t="s">
        <v>398</v>
      </c>
      <c r="F508" s="79"/>
      <c r="G508" s="761">
        <v>200000</v>
      </c>
      <c r="H508" s="79"/>
      <c r="I508" s="79">
        <v>120104.6</v>
      </c>
      <c r="J508" s="79">
        <v>120104.6</v>
      </c>
      <c r="K508" s="25"/>
      <c r="L508" s="29"/>
      <c r="M508" s="29"/>
      <c r="N508" s="29"/>
      <c r="O508" s="29"/>
      <c r="P508" s="29"/>
      <c r="Q508" s="29"/>
    </row>
    <row r="509" spans="1:17" s="12" customFormat="1" x14ac:dyDescent="0.25">
      <c r="A509" s="930"/>
      <c r="B509" s="76"/>
      <c r="C509" s="835" t="s">
        <v>11</v>
      </c>
      <c r="D509" s="83"/>
      <c r="E509" s="841" t="s">
        <v>399</v>
      </c>
      <c r="F509" s="79"/>
      <c r="G509" s="761">
        <v>500000</v>
      </c>
      <c r="H509" s="79"/>
      <c r="I509" s="79">
        <v>500436</v>
      </c>
      <c r="J509" s="79">
        <v>500436</v>
      </c>
      <c r="K509" s="25"/>
      <c r="L509" s="29"/>
      <c r="M509" s="29"/>
      <c r="N509" s="29"/>
      <c r="O509" s="29"/>
      <c r="P509" s="29"/>
      <c r="Q509" s="29"/>
    </row>
    <row r="510" spans="1:17" s="12" customFormat="1" x14ac:dyDescent="0.25">
      <c r="A510" s="930"/>
      <c r="B510" s="76"/>
      <c r="C510" s="835" t="s">
        <v>127</v>
      </c>
      <c r="D510" s="83"/>
      <c r="E510" s="841" t="s">
        <v>400</v>
      </c>
      <c r="F510" s="79"/>
      <c r="G510" s="761">
        <v>2000000</v>
      </c>
      <c r="H510" s="79"/>
      <c r="I510" s="79">
        <v>1000872.1</v>
      </c>
      <c r="J510" s="79">
        <v>1000872.1</v>
      </c>
      <c r="K510" s="25"/>
      <c r="L510" s="29"/>
      <c r="M510" s="29"/>
      <c r="N510" s="29"/>
      <c r="O510" s="29"/>
      <c r="P510" s="29"/>
      <c r="Q510" s="29"/>
    </row>
    <row r="511" spans="1:17" s="12" customFormat="1" x14ac:dyDescent="0.25">
      <c r="A511" s="930"/>
      <c r="B511" s="76"/>
      <c r="C511" s="835" t="s">
        <v>129</v>
      </c>
      <c r="D511" s="83"/>
      <c r="E511" s="841" t="s">
        <v>401</v>
      </c>
      <c r="F511" s="79"/>
      <c r="G511" s="761">
        <v>140111.20000000001</v>
      </c>
      <c r="H511" s="79"/>
      <c r="I511" s="79">
        <v>1196200</v>
      </c>
      <c r="J511" s="79">
        <v>2062100</v>
      </c>
      <c r="K511" s="25"/>
      <c r="L511" s="29"/>
      <c r="M511" s="29"/>
      <c r="N511" s="29"/>
      <c r="O511" s="29"/>
      <c r="P511" s="29"/>
      <c r="Q511" s="29"/>
    </row>
    <row r="512" spans="1:17" s="12" customFormat="1" x14ac:dyDescent="0.25">
      <c r="A512" s="930"/>
      <c r="B512" s="76"/>
      <c r="C512" s="835" t="s">
        <v>131</v>
      </c>
      <c r="D512" s="83"/>
      <c r="E512" s="841" t="s">
        <v>402</v>
      </c>
      <c r="F512" s="79">
        <v>566926.66500000004</v>
      </c>
      <c r="G512" s="761">
        <v>635000</v>
      </c>
      <c r="H512" s="79">
        <v>635000</v>
      </c>
      <c r="I512" s="79">
        <v>636100</v>
      </c>
      <c r="J512" s="79">
        <v>712600</v>
      </c>
      <c r="K512" s="25"/>
      <c r="L512" s="29"/>
      <c r="M512" s="29"/>
      <c r="N512" s="29"/>
      <c r="O512" s="29"/>
      <c r="P512" s="29"/>
      <c r="Q512" s="29"/>
    </row>
    <row r="513" spans="1:17" s="12" customFormat="1" x14ac:dyDescent="0.25">
      <c r="A513" s="930"/>
      <c r="B513" s="76"/>
      <c r="C513" s="835" t="s">
        <v>134</v>
      </c>
      <c r="D513" s="83"/>
      <c r="E513" s="830" t="s">
        <v>403</v>
      </c>
      <c r="F513" s="79">
        <f>3697309.575+154585.394+3230902.696+14.25</f>
        <v>7082811.915</v>
      </c>
      <c r="G513" s="761">
        <v>8048193.2000000002</v>
      </c>
      <c r="H513" s="79">
        <v>28818716.899999999</v>
      </c>
      <c r="I513" s="79">
        <f>4440483.5+4738137.2</f>
        <v>9178620.6999999993</v>
      </c>
      <c r="J513" s="79">
        <f>4508551.3+5276731.2</f>
        <v>9785282.5</v>
      </c>
      <c r="K513" s="25"/>
      <c r="L513" s="29"/>
      <c r="M513" s="29"/>
      <c r="N513" s="29"/>
      <c r="O513" s="29"/>
      <c r="P513" s="29"/>
      <c r="Q513" s="29"/>
    </row>
    <row r="514" spans="1:17" s="12" customFormat="1" x14ac:dyDescent="0.25">
      <c r="A514" s="930"/>
      <c r="B514" s="76"/>
      <c r="C514" s="835" t="s">
        <v>137</v>
      </c>
      <c r="D514" s="83"/>
      <c r="E514" s="830" t="s">
        <v>404</v>
      </c>
      <c r="F514" s="79">
        <v>553453.90800000005</v>
      </c>
      <c r="G514" s="761">
        <v>500000</v>
      </c>
      <c r="H514" s="79">
        <v>500000</v>
      </c>
      <c r="I514" s="79">
        <v>500436</v>
      </c>
      <c r="J514" s="79">
        <v>501411.6</v>
      </c>
      <c r="K514" s="25"/>
      <c r="L514" s="29"/>
      <c r="M514" s="29"/>
      <c r="N514" s="29"/>
      <c r="O514" s="29"/>
      <c r="P514" s="29"/>
      <c r="Q514" s="29"/>
    </row>
    <row r="515" spans="1:17" s="12" customFormat="1" x14ac:dyDescent="0.25">
      <c r="A515" s="930"/>
      <c r="B515" s="76"/>
      <c r="C515" s="835" t="s">
        <v>405</v>
      </c>
      <c r="D515" s="83"/>
      <c r="E515" s="830" t="s">
        <v>406</v>
      </c>
      <c r="F515" s="79">
        <v>197185.459</v>
      </c>
      <c r="G515" s="761">
        <v>190300.79999999999</v>
      </c>
      <c r="H515" s="79"/>
      <c r="I515" s="79">
        <v>190466.8</v>
      </c>
      <c r="J515" s="79">
        <v>190838</v>
      </c>
      <c r="K515" s="25"/>
      <c r="L515" s="29"/>
      <c r="M515" s="29"/>
      <c r="N515" s="29"/>
      <c r="O515" s="29"/>
      <c r="P515" s="29"/>
      <c r="Q515" s="29"/>
    </row>
    <row r="516" spans="1:17" s="12" customFormat="1" x14ac:dyDescent="0.25">
      <c r="A516" s="930"/>
      <c r="B516" s="76"/>
      <c r="C516" s="835" t="s">
        <v>407</v>
      </c>
      <c r="D516" s="83"/>
      <c r="E516" s="830" t="s">
        <v>408</v>
      </c>
      <c r="F516" s="79">
        <f>30308.314+4.048+74.439</f>
        <v>30386.800999999996</v>
      </c>
      <c r="G516" s="761">
        <v>77861.399999999994</v>
      </c>
      <c r="H516" s="79">
        <v>45000</v>
      </c>
      <c r="I516" s="79">
        <v>45039.199999999997</v>
      </c>
      <c r="J516" s="79">
        <v>45127</v>
      </c>
      <c r="K516" s="25"/>
      <c r="L516" s="29"/>
      <c r="M516" s="29"/>
      <c r="N516" s="29"/>
      <c r="O516" s="29"/>
      <c r="P516" s="29"/>
      <c r="Q516" s="29"/>
    </row>
    <row r="517" spans="1:17" s="12" customFormat="1" x14ac:dyDescent="0.25">
      <c r="A517" s="930"/>
      <c r="B517" s="76"/>
      <c r="C517" s="835" t="s">
        <v>409</v>
      </c>
      <c r="D517" s="83"/>
      <c r="E517" s="830" t="s">
        <v>410</v>
      </c>
      <c r="F517" s="79"/>
      <c r="G517" s="761">
        <v>105500</v>
      </c>
      <c r="H517" s="79"/>
      <c r="I517" s="79">
        <v>0</v>
      </c>
      <c r="J517" s="79">
        <v>0</v>
      </c>
      <c r="K517" s="25"/>
      <c r="L517" s="29"/>
      <c r="M517" s="29"/>
      <c r="N517" s="29"/>
      <c r="O517" s="29"/>
      <c r="P517" s="29"/>
      <c r="Q517" s="29"/>
    </row>
    <row r="518" spans="1:17" s="12" customFormat="1" ht="30" x14ac:dyDescent="0.25">
      <c r="A518" s="930"/>
      <c r="B518" s="76"/>
      <c r="C518" s="835" t="s">
        <v>411</v>
      </c>
      <c r="D518" s="83"/>
      <c r="E518" s="830" t="s">
        <v>412</v>
      </c>
      <c r="F518" s="79">
        <f>309625.4+225572.3+55136.5+55537.8+60977.2+106955.5+34152.8+8138.1+11303.9+1499.8+10845.5+4809.6</f>
        <v>884554.4</v>
      </c>
      <c r="G518" s="761">
        <v>984900</v>
      </c>
      <c r="H518" s="79"/>
      <c r="I518" s="79">
        <v>805401.8</v>
      </c>
      <c r="J518" s="79">
        <v>806971.8</v>
      </c>
      <c r="K518" s="25"/>
      <c r="L518" s="29"/>
      <c r="M518" s="29"/>
      <c r="N518" s="29"/>
      <c r="O518" s="29"/>
      <c r="P518" s="29"/>
      <c r="Q518" s="29"/>
    </row>
    <row r="519" spans="1:17" s="12" customFormat="1" x14ac:dyDescent="0.25">
      <c r="A519" s="930"/>
      <c r="B519" s="76"/>
      <c r="C519" s="835" t="s">
        <v>413</v>
      </c>
      <c r="D519" s="83"/>
      <c r="E519" s="830" t="s">
        <v>414</v>
      </c>
      <c r="F519" s="79">
        <v>0</v>
      </c>
      <c r="G519" s="761">
        <v>100000</v>
      </c>
      <c r="H519" s="79">
        <v>100000</v>
      </c>
      <c r="I519" s="79">
        <v>100087.2</v>
      </c>
      <c r="J519" s="79">
        <v>100282.3</v>
      </c>
      <c r="K519" s="25"/>
      <c r="L519" s="29"/>
      <c r="M519" s="29"/>
      <c r="N519" s="29"/>
      <c r="O519" s="29"/>
      <c r="P519" s="29"/>
      <c r="Q519" s="29"/>
    </row>
    <row r="520" spans="1:17" s="12" customFormat="1" x14ac:dyDescent="0.25">
      <c r="A520" s="930"/>
      <c r="B520" s="76"/>
      <c r="C520" s="835" t="s">
        <v>273</v>
      </c>
      <c r="D520" s="83"/>
      <c r="E520" s="841" t="s">
        <v>415</v>
      </c>
      <c r="F520" s="79">
        <v>1500000</v>
      </c>
      <c r="G520" s="761">
        <v>500000</v>
      </c>
      <c r="H520" s="79">
        <v>500000</v>
      </c>
      <c r="I520" s="79">
        <v>0</v>
      </c>
      <c r="J520" s="79">
        <v>0</v>
      </c>
      <c r="K520" s="25"/>
      <c r="L520" s="29"/>
      <c r="M520" s="29"/>
      <c r="N520" s="29"/>
      <c r="O520" s="29"/>
      <c r="P520" s="29"/>
      <c r="Q520" s="29"/>
    </row>
    <row r="521" spans="1:17" s="12" customFormat="1" ht="28.5" x14ac:dyDescent="0.25">
      <c r="A521" s="930"/>
      <c r="B521" s="70">
        <v>4</v>
      </c>
      <c r="C521" s="835"/>
      <c r="D521" s="83"/>
      <c r="E521" s="81" t="s">
        <v>416</v>
      </c>
      <c r="F521" s="78">
        <f>SUM(F522:F530)</f>
        <v>10647959.464000002</v>
      </c>
      <c r="G521" s="78">
        <f>SUM(G522:G530)</f>
        <v>9124624.9999999981</v>
      </c>
      <c r="H521" s="78">
        <f>SUM(H522:H531)</f>
        <v>12850197.92</v>
      </c>
      <c r="I521" s="78">
        <f>SUM(I522:I531)</f>
        <v>19592133.199999999</v>
      </c>
      <c r="J521" s="78">
        <f t="shared" ref="J521" si="67">SUM(J522:J531)</f>
        <v>23300513.800000001</v>
      </c>
      <c r="K521" s="25"/>
      <c r="L521" s="29"/>
      <c r="M521" s="29"/>
      <c r="N521" s="29"/>
      <c r="O521" s="29"/>
      <c r="P521" s="29"/>
      <c r="Q521" s="29"/>
    </row>
    <row r="522" spans="1:17" s="12" customFormat="1" x14ac:dyDescent="0.25">
      <c r="A522" s="80"/>
      <c r="B522" s="70"/>
      <c r="C522" s="835" t="s">
        <v>5</v>
      </c>
      <c r="D522" s="83"/>
      <c r="E522" s="830" t="s">
        <v>417</v>
      </c>
      <c r="F522" s="79">
        <v>5563595.8540000003</v>
      </c>
      <c r="G522" s="761">
        <v>3139687</v>
      </c>
      <c r="H522" s="79">
        <v>3000000</v>
      </c>
      <c r="I522" s="79">
        <v>2500000</v>
      </c>
      <c r="J522" s="79">
        <v>6000000</v>
      </c>
      <c r="K522" s="25"/>
      <c r="L522" s="29"/>
      <c r="M522" s="29"/>
      <c r="N522" s="29"/>
      <c r="O522" s="29"/>
      <c r="P522" s="29"/>
      <c r="Q522" s="29"/>
    </row>
    <row r="523" spans="1:17" s="12" customFormat="1" x14ac:dyDescent="0.25">
      <c r="A523" s="80"/>
      <c r="B523" s="70"/>
      <c r="C523" s="835" t="s">
        <v>7</v>
      </c>
      <c r="D523" s="83"/>
      <c r="E523" s="830" t="s">
        <v>418</v>
      </c>
      <c r="F523" s="79">
        <f>59650+9674.171</f>
        <v>69324.171000000002</v>
      </c>
      <c r="G523" s="761">
        <v>350000</v>
      </c>
      <c r="H523" s="79">
        <v>150000</v>
      </c>
      <c r="I523" s="79">
        <v>350305.2</v>
      </c>
      <c r="J523" s="79">
        <v>350305.2</v>
      </c>
      <c r="K523" s="25"/>
      <c r="L523" s="29"/>
      <c r="M523" s="29"/>
      <c r="N523" s="29"/>
      <c r="O523" s="29"/>
      <c r="P523" s="29"/>
      <c r="Q523" s="29"/>
    </row>
    <row r="524" spans="1:17" s="12" customFormat="1" x14ac:dyDescent="0.25">
      <c r="A524" s="80"/>
      <c r="B524" s="70"/>
      <c r="C524" s="835" t="s">
        <v>9</v>
      </c>
      <c r="D524" s="83"/>
      <c r="E524" s="830" t="s">
        <v>419</v>
      </c>
      <c r="F524" s="79"/>
      <c r="G524" s="761">
        <v>1059693.8</v>
      </c>
      <c r="H524" s="79">
        <v>4397912.92</v>
      </c>
      <c r="I524" s="79">
        <f>12015173.4-4703.6</f>
        <v>12010469.800000001</v>
      </c>
      <c r="J524" s="79">
        <f>12038599.7-4712.8</f>
        <v>12033886.899999999</v>
      </c>
      <c r="K524" s="25"/>
      <c r="L524" s="29"/>
      <c r="M524" s="29"/>
      <c r="N524" s="29"/>
      <c r="O524" s="29"/>
      <c r="P524" s="29"/>
      <c r="Q524" s="29"/>
    </row>
    <row r="525" spans="1:17" s="12" customFormat="1" x14ac:dyDescent="0.25">
      <c r="A525" s="80"/>
      <c r="B525" s="70"/>
      <c r="C525" s="835" t="s">
        <v>11</v>
      </c>
      <c r="D525" s="83"/>
      <c r="E525" s="830" t="s">
        <v>420</v>
      </c>
      <c r="F525" s="79">
        <v>1847512.0160000001</v>
      </c>
      <c r="G525" s="761">
        <v>2000300</v>
      </c>
      <c r="H525" s="79">
        <v>1967300</v>
      </c>
      <c r="I525" s="79">
        <v>1917400</v>
      </c>
      <c r="J525" s="79">
        <v>1900000</v>
      </c>
      <c r="K525" s="25"/>
      <c r="L525" s="29"/>
      <c r="M525" s="29"/>
      <c r="N525" s="29"/>
      <c r="O525" s="29"/>
      <c r="P525" s="29"/>
      <c r="Q525" s="29"/>
    </row>
    <row r="526" spans="1:17" s="12" customFormat="1" x14ac:dyDescent="0.25">
      <c r="A526" s="80"/>
      <c r="B526" s="70"/>
      <c r="C526" s="835" t="s">
        <v>127</v>
      </c>
      <c r="D526" s="83"/>
      <c r="E526" s="830" t="s">
        <v>421</v>
      </c>
      <c r="F526" s="79">
        <v>2260889.054</v>
      </c>
      <c r="G526" s="761">
        <v>1057000</v>
      </c>
      <c r="H526" s="79">
        <v>1057000</v>
      </c>
      <c r="I526" s="79">
        <v>900000</v>
      </c>
      <c r="J526" s="79">
        <v>850000</v>
      </c>
      <c r="K526" s="25"/>
      <c r="L526" s="29"/>
      <c r="M526" s="29"/>
      <c r="N526" s="29"/>
      <c r="O526" s="29"/>
      <c r="P526" s="29"/>
      <c r="Q526" s="29"/>
    </row>
    <row r="527" spans="1:17" s="12" customFormat="1" x14ac:dyDescent="0.25">
      <c r="A527" s="80"/>
      <c r="B527" s="70"/>
      <c r="C527" s="835" t="s">
        <v>129</v>
      </c>
      <c r="D527" s="83"/>
      <c r="E527" s="830" t="s">
        <v>422</v>
      </c>
      <c r="F527" s="79">
        <v>347975.18599999999</v>
      </c>
      <c r="G527" s="761">
        <v>600000</v>
      </c>
      <c r="H527" s="79">
        <v>600000</v>
      </c>
      <c r="I527" s="79">
        <v>600000</v>
      </c>
      <c r="J527" s="79">
        <v>800000</v>
      </c>
      <c r="K527" s="25"/>
      <c r="L527" s="29"/>
      <c r="M527" s="29"/>
      <c r="N527" s="29"/>
      <c r="O527" s="29"/>
      <c r="P527" s="29"/>
      <c r="Q527" s="29"/>
    </row>
    <row r="528" spans="1:17" s="12" customFormat="1" ht="30" x14ac:dyDescent="0.25">
      <c r="A528" s="80"/>
      <c r="B528" s="85"/>
      <c r="C528" s="835" t="s">
        <v>131</v>
      </c>
      <c r="D528" s="83"/>
      <c r="E528" s="830" t="s">
        <v>423</v>
      </c>
      <c r="F528" s="79">
        <f>196751.429+40.434</f>
        <v>196791.86300000001</v>
      </c>
      <c r="G528" s="761">
        <v>195514.4</v>
      </c>
      <c r="H528" s="79">
        <v>194514.4</v>
      </c>
      <c r="I528" s="79">
        <f>194684+500</f>
        <v>195184</v>
      </c>
      <c r="J528" s="79">
        <f>195063.5+500</f>
        <v>195563.5</v>
      </c>
      <c r="K528" s="25"/>
      <c r="L528" s="29"/>
      <c r="M528" s="29"/>
      <c r="N528" s="29"/>
      <c r="O528" s="29"/>
      <c r="P528" s="29"/>
      <c r="Q528" s="29"/>
    </row>
    <row r="529" spans="1:17" s="12" customFormat="1" ht="30" x14ac:dyDescent="0.25">
      <c r="A529" s="84"/>
      <c r="B529" s="85"/>
      <c r="C529" s="835" t="s">
        <v>134</v>
      </c>
      <c r="D529" s="83"/>
      <c r="E529" s="830" t="s">
        <v>424</v>
      </c>
      <c r="F529" s="79">
        <f>359992.945+1878.375</f>
        <v>361871.32</v>
      </c>
      <c r="G529" s="761">
        <v>356869.2</v>
      </c>
      <c r="H529" s="79">
        <v>355869.2</v>
      </c>
      <c r="I529" s="79">
        <f>351633.2+1000</f>
        <v>352633.2</v>
      </c>
      <c r="J529" s="79">
        <f>352318.6+1000</f>
        <v>353318.6</v>
      </c>
      <c r="K529" s="25"/>
      <c r="L529" s="29"/>
      <c r="M529" s="29"/>
      <c r="N529" s="29"/>
      <c r="O529" s="29"/>
      <c r="P529" s="29"/>
      <c r="Q529" s="29"/>
    </row>
    <row r="530" spans="1:17" s="12" customFormat="1" x14ac:dyDescent="0.25">
      <c r="A530" s="84"/>
      <c r="B530" s="76"/>
      <c r="C530" s="835" t="s">
        <v>137</v>
      </c>
      <c r="D530" s="83"/>
      <c r="E530" s="830" t="s">
        <v>425</v>
      </c>
      <c r="F530" s="738"/>
      <c r="G530" s="761">
        <v>365560.6</v>
      </c>
      <c r="H530" s="79">
        <v>1027601.4</v>
      </c>
      <c r="I530" s="79">
        <v>666141</v>
      </c>
      <c r="J530" s="79">
        <v>667439.6</v>
      </c>
      <c r="K530" s="25"/>
      <c r="L530" s="29"/>
      <c r="M530" s="29"/>
      <c r="N530" s="29"/>
      <c r="O530" s="29"/>
      <c r="P530" s="29"/>
      <c r="Q530" s="29"/>
    </row>
    <row r="531" spans="1:17" s="12" customFormat="1" x14ac:dyDescent="0.25">
      <c r="A531" s="84"/>
      <c r="B531" s="76"/>
      <c r="C531" s="835" t="s">
        <v>405</v>
      </c>
      <c r="D531" s="83"/>
      <c r="E531" s="830" t="s">
        <v>1050</v>
      </c>
      <c r="F531" s="36"/>
      <c r="G531" s="761"/>
      <c r="H531" s="79">
        <v>100000</v>
      </c>
      <c r="I531" s="79">
        <v>100000</v>
      </c>
      <c r="J531" s="79">
        <v>150000</v>
      </c>
      <c r="K531" s="715"/>
      <c r="L531" s="609"/>
      <c r="M531" s="609"/>
      <c r="N531" s="609"/>
      <c r="O531" s="609"/>
      <c r="P531" s="609"/>
      <c r="Q531" s="610"/>
    </row>
    <row r="532" spans="1:17" s="12" customFormat="1" ht="15" customHeight="1" x14ac:dyDescent="0.25">
      <c r="A532" s="2451" t="s">
        <v>85</v>
      </c>
      <c r="B532" s="2417"/>
      <c r="C532" s="2417"/>
      <c r="D532" s="2417"/>
      <c r="E532" s="2418"/>
      <c r="F532" s="317">
        <f>F496+F500+F505+F521</f>
        <v>51995430.912</v>
      </c>
      <c r="G532" s="498">
        <f>59323311.92+2000</f>
        <v>59325311.920000002</v>
      </c>
      <c r="H532" s="498">
        <v>61927383.399999999</v>
      </c>
      <c r="I532" s="498">
        <f>66134556.9+1500</f>
        <v>66136056.899999999</v>
      </c>
      <c r="J532" s="498">
        <f>75715784+1500</f>
        <v>75717284</v>
      </c>
      <c r="K532" s="2577"/>
      <c r="L532" s="2578"/>
      <c r="M532" s="2578"/>
      <c r="N532" s="2578"/>
      <c r="O532" s="2578"/>
      <c r="P532" s="2578"/>
      <c r="Q532" s="2579"/>
    </row>
    <row r="533" spans="1:17" s="12" customFormat="1" x14ac:dyDescent="0.25">
      <c r="A533" s="750"/>
      <c r="B533" s="2398" t="s">
        <v>1016</v>
      </c>
      <c r="C533" s="2398"/>
      <c r="D533" s="2398"/>
      <c r="E533" s="2398"/>
      <c r="F533" s="2398"/>
      <c r="G533" s="2398"/>
      <c r="H533" s="2398"/>
      <c r="I533" s="2398"/>
      <c r="J533" s="2398"/>
      <c r="K533" s="2398"/>
      <c r="L533" s="2398"/>
      <c r="M533" s="2398"/>
      <c r="N533" s="2398"/>
      <c r="O533" s="2398"/>
      <c r="P533" s="2398"/>
      <c r="Q533" s="2398"/>
    </row>
    <row r="534" spans="1:17" s="12" customFormat="1" ht="45" x14ac:dyDescent="0.25">
      <c r="A534" s="1689"/>
      <c r="B534" s="352" t="s">
        <v>516</v>
      </c>
      <c r="C534" s="533"/>
      <c r="D534" s="336"/>
      <c r="E534" s="354" t="s">
        <v>910</v>
      </c>
      <c r="F534" s="595">
        <f>F535+F536</f>
        <v>749</v>
      </c>
      <c r="G534" s="573">
        <f>G535+G536</f>
        <v>1474.5</v>
      </c>
      <c r="H534" s="595">
        <f>H535+H536</f>
        <v>35</v>
      </c>
      <c r="I534" s="595">
        <f>I535+I536</f>
        <v>35</v>
      </c>
      <c r="J534" s="595">
        <f>J535+J536</f>
        <v>35</v>
      </c>
      <c r="K534" s="328" t="s">
        <v>1042</v>
      </c>
      <c r="L534" s="328" t="s">
        <v>35</v>
      </c>
      <c r="M534" s="328">
        <v>6</v>
      </c>
      <c r="N534" s="328">
        <v>6</v>
      </c>
      <c r="O534" s="328">
        <v>6</v>
      </c>
      <c r="P534" s="328">
        <v>6</v>
      </c>
      <c r="Q534" s="328">
        <v>6</v>
      </c>
    </row>
    <row r="535" spans="1:17" s="12" customFormat="1" ht="30" x14ac:dyDescent="0.25">
      <c r="A535" s="1689"/>
      <c r="B535" s="352"/>
      <c r="C535" s="533" t="s">
        <v>131</v>
      </c>
      <c r="D535" s="336"/>
      <c r="E535" s="530" t="s">
        <v>1043</v>
      </c>
      <c r="F535" s="596">
        <v>558</v>
      </c>
      <c r="G535" s="597">
        <v>558</v>
      </c>
      <c r="H535" s="597">
        <v>20</v>
      </c>
      <c r="I535" s="597">
        <v>20</v>
      </c>
      <c r="J535" s="597">
        <v>20</v>
      </c>
      <c r="K535" s="328" t="s">
        <v>1044</v>
      </c>
      <c r="L535" s="328" t="s">
        <v>35</v>
      </c>
      <c r="M535" s="328">
        <v>1</v>
      </c>
      <c r="N535" s="328">
        <v>1</v>
      </c>
      <c r="O535" s="328">
        <v>1</v>
      </c>
      <c r="P535" s="328">
        <v>1</v>
      </c>
      <c r="Q535" s="328">
        <v>1</v>
      </c>
    </row>
    <row r="536" spans="1:17" s="12" customFormat="1" ht="30" x14ac:dyDescent="0.25">
      <c r="A536" s="1689"/>
      <c r="B536" s="521"/>
      <c r="C536" s="505" t="s">
        <v>7</v>
      </c>
      <c r="D536" s="336"/>
      <c r="E536" s="529" t="s">
        <v>8</v>
      </c>
      <c r="F536" s="416">
        <v>191</v>
      </c>
      <c r="G536" s="329">
        <v>916.5</v>
      </c>
      <c r="H536" s="364">
        <v>15</v>
      </c>
      <c r="I536" s="364">
        <v>15</v>
      </c>
      <c r="J536" s="364">
        <v>15</v>
      </c>
      <c r="K536" s="328" t="s">
        <v>38</v>
      </c>
      <c r="L536" s="328" t="s">
        <v>35</v>
      </c>
      <c r="M536" s="328">
        <v>100</v>
      </c>
      <c r="N536" s="328">
        <v>100</v>
      </c>
      <c r="O536" s="328">
        <v>100</v>
      </c>
      <c r="P536" s="328">
        <v>100</v>
      </c>
      <c r="Q536" s="328">
        <v>100</v>
      </c>
    </row>
    <row r="537" spans="1:17" s="12" customFormat="1" ht="147.75" x14ac:dyDescent="0.25">
      <c r="A537" s="1689"/>
      <c r="B537" s="519">
        <v>2</v>
      </c>
      <c r="C537" s="598"/>
      <c r="D537" s="337"/>
      <c r="E537" s="338" t="s">
        <v>1163</v>
      </c>
      <c r="F537" s="366">
        <f>F538+F539+F540+F541+F542</f>
        <v>1298.2</v>
      </c>
      <c r="G537" s="366">
        <f>G538+G539+G540+G541+G542</f>
        <v>1591.6000000000001</v>
      </c>
      <c r="H537" s="366">
        <f>H538+H539+H540+H541+H542</f>
        <v>2854.8</v>
      </c>
      <c r="I537" s="366">
        <f>I538+I539+I540+I541+I542</f>
        <v>2855</v>
      </c>
      <c r="J537" s="366">
        <f>J538+J539+J540+J541+J542</f>
        <v>2855</v>
      </c>
      <c r="K537" s="339" t="s">
        <v>1017</v>
      </c>
      <c r="L537" s="340" t="s">
        <v>35</v>
      </c>
      <c r="M537" s="340">
        <v>40</v>
      </c>
      <c r="N537" s="340">
        <v>40</v>
      </c>
      <c r="O537" s="340">
        <v>40</v>
      </c>
      <c r="P537" s="340">
        <v>40</v>
      </c>
      <c r="Q537" s="340">
        <v>40</v>
      </c>
    </row>
    <row r="538" spans="1:17" s="12" customFormat="1" ht="30" x14ac:dyDescent="0.25">
      <c r="A538" s="1689"/>
      <c r="B538" s="531"/>
      <c r="C538" s="504">
        <v>1</v>
      </c>
      <c r="D538" s="336"/>
      <c r="E538" s="529" t="s">
        <v>1018</v>
      </c>
      <c r="F538" s="329">
        <v>483.2</v>
      </c>
      <c r="G538" s="329">
        <v>1086.4000000000001</v>
      </c>
      <c r="H538" s="329">
        <v>2634.8</v>
      </c>
      <c r="I538" s="329">
        <v>2635</v>
      </c>
      <c r="J538" s="329">
        <v>2635</v>
      </c>
      <c r="K538" s="344" t="s">
        <v>1019</v>
      </c>
      <c r="L538" s="329" t="s">
        <v>35</v>
      </c>
      <c r="M538" s="360">
        <v>25</v>
      </c>
      <c r="N538" s="360">
        <v>25</v>
      </c>
      <c r="O538" s="360">
        <v>25</v>
      </c>
      <c r="P538" s="360">
        <v>25</v>
      </c>
      <c r="Q538" s="360">
        <v>25</v>
      </c>
    </row>
    <row r="539" spans="1:17" s="12" customFormat="1" ht="30" x14ac:dyDescent="0.25">
      <c r="A539" s="1689"/>
      <c r="B539" s="531"/>
      <c r="C539" s="504">
        <v>2</v>
      </c>
      <c r="D539" s="336"/>
      <c r="E539" s="529" t="s">
        <v>1020</v>
      </c>
      <c r="F539" s="416">
        <v>206</v>
      </c>
      <c r="G539" s="599">
        <v>279.2</v>
      </c>
      <c r="H539" s="599">
        <v>50</v>
      </c>
      <c r="I539" s="599">
        <v>50</v>
      </c>
      <c r="J539" s="599">
        <v>50</v>
      </c>
      <c r="K539" s="348" t="s">
        <v>1021</v>
      </c>
      <c r="L539" s="329" t="s">
        <v>40</v>
      </c>
      <c r="M539" s="360">
        <v>188</v>
      </c>
      <c r="N539" s="360">
        <v>190</v>
      </c>
      <c r="O539" s="360">
        <v>192</v>
      </c>
      <c r="P539" s="360">
        <v>194</v>
      </c>
      <c r="Q539" s="360">
        <v>196</v>
      </c>
    </row>
    <row r="540" spans="1:17" s="12" customFormat="1" ht="60" x14ac:dyDescent="0.25">
      <c r="A540" s="1689"/>
      <c r="B540" s="352"/>
      <c r="C540" s="533" t="s">
        <v>9</v>
      </c>
      <c r="D540" s="336"/>
      <c r="E540" s="529" t="s">
        <v>1022</v>
      </c>
      <c r="F540" s="416">
        <v>143</v>
      </c>
      <c r="G540" s="599">
        <v>143</v>
      </c>
      <c r="H540" s="364">
        <v>20</v>
      </c>
      <c r="I540" s="364">
        <v>20</v>
      </c>
      <c r="J540" s="364">
        <v>20</v>
      </c>
      <c r="K540" s="328" t="s">
        <v>1164</v>
      </c>
      <c r="L540" s="328" t="s">
        <v>35</v>
      </c>
      <c r="M540" s="328">
        <v>100</v>
      </c>
      <c r="N540" s="328">
        <v>100</v>
      </c>
      <c r="O540" s="328">
        <v>100</v>
      </c>
      <c r="P540" s="328">
        <v>100</v>
      </c>
      <c r="Q540" s="328">
        <v>100</v>
      </c>
    </row>
    <row r="541" spans="1:17" s="12" customFormat="1" ht="45" x14ac:dyDescent="0.25">
      <c r="A541" s="1689"/>
      <c r="B541" s="352"/>
      <c r="C541" s="533" t="s">
        <v>11</v>
      </c>
      <c r="D541" s="336"/>
      <c r="E541" s="529" t="s">
        <v>1023</v>
      </c>
      <c r="F541" s="416">
        <v>436</v>
      </c>
      <c r="G541" s="599">
        <v>48</v>
      </c>
      <c r="H541" s="364">
        <v>100</v>
      </c>
      <c r="I541" s="364">
        <v>100</v>
      </c>
      <c r="J541" s="364">
        <v>100</v>
      </c>
      <c r="K541" s="328" t="s">
        <v>1024</v>
      </c>
      <c r="L541" s="328" t="s">
        <v>40</v>
      </c>
      <c r="M541" s="328">
        <v>0</v>
      </c>
      <c r="N541" s="328">
        <v>0</v>
      </c>
      <c r="O541" s="328">
        <v>0</v>
      </c>
      <c r="P541" s="328">
        <v>0</v>
      </c>
      <c r="Q541" s="328">
        <v>0</v>
      </c>
    </row>
    <row r="542" spans="1:17" s="12" customFormat="1" ht="30" x14ac:dyDescent="0.25">
      <c r="A542" s="1689"/>
      <c r="B542" s="531"/>
      <c r="C542" s="504">
        <v>5</v>
      </c>
      <c r="D542" s="336"/>
      <c r="E542" s="529" t="s">
        <v>1025</v>
      </c>
      <c r="F542" s="416">
        <v>30</v>
      </c>
      <c r="G542" s="599">
        <v>35</v>
      </c>
      <c r="H542" s="599">
        <v>50</v>
      </c>
      <c r="I542" s="599">
        <v>50</v>
      </c>
      <c r="J542" s="599">
        <v>50</v>
      </c>
      <c r="K542" s="344" t="s">
        <v>1026</v>
      </c>
      <c r="L542" s="329" t="s">
        <v>40</v>
      </c>
      <c r="M542" s="360">
        <v>2</v>
      </c>
      <c r="N542" s="360">
        <v>2</v>
      </c>
      <c r="O542" s="360">
        <v>2</v>
      </c>
      <c r="P542" s="360">
        <v>2</v>
      </c>
      <c r="Q542" s="360">
        <v>2</v>
      </c>
    </row>
    <row r="543" spans="1:17" s="12" customFormat="1" ht="147" x14ac:dyDescent="0.25">
      <c r="A543" s="1689"/>
      <c r="B543" s="352" t="s">
        <v>467</v>
      </c>
      <c r="C543" s="533"/>
      <c r="D543" s="353"/>
      <c r="E543" s="354" t="s">
        <v>1045</v>
      </c>
      <c r="F543" s="359">
        <f>SUM(F545:F546)</f>
        <v>84</v>
      </c>
      <c r="G543" s="359">
        <f>SUM(G545:G546)</f>
        <v>510</v>
      </c>
      <c r="H543" s="359">
        <f>SUM(H545:H546)</f>
        <v>110.19999999999999</v>
      </c>
      <c r="I543" s="359">
        <f>SUM(I545:I546)</f>
        <v>110</v>
      </c>
      <c r="J543" s="359">
        <f>SUM(J545:J546)</f>
        <v>110</v>
      </c>
      <c r="K543" s="365" t="s">
        <v>1027</v>
      </c>
      <c r="L543" s="328" t="s">
        <v>40</v>
      </c>
      <c r="M543" s="328">
        <v>280</v>
      </c>
      <c r="N543" s="328">
        <v>282</v>
      </c>
      <c r="O543" s="328">
        <v>284</v>
      </c>
      <c r="P543" s="328">
        <v>286</v>
      </c>
      <c r="Q543" s="328">
        <v>288</v>
      </c>
    </row>
    <row r="544" spans="1:17" s="12" customFormat="1" ht="30" x14ac:dyDescent="0.25">
      <c r="A544" s="1689"/>
      <c r="B544" s="352"/>
      <c r="C544" s="533" t="s">
        <v>5</v>
      </c>
      <c r="D544" s="520"/>
      <c r="E544" s="529" t="s">
        <v>1028</v>
      </c>
      <c r="F544" s="360"/>
      <c r="G544" s="360"/>
      <c r="H544" s="364"/>
      <c r="I544" s="364"/>
      <c r="J544" s="364"/>
      <c r="K544" s="328" t="s">
        <v>1029</v>
      </c>
      <c r="L544" s="328" t="s">
        <v>40</v>
      </c>
      <c r="M544" s="328">
        <v>2</v>
      </c>
      <c r="N544" s="328">
        <v>2</v>
      </c>
      <c r="O544" s="328">
        <v>2</v>
      </c>
      <c r="P544" s="328">
        <v>2</v>
      </c>
      <c r="Q544" s="328">
        <v>2</v>
      </c>
    </row>
    <row r="545" spans="1:17" s="12" customFormat="1" ht="45" x14ac:dyDescent="0.25">
      <c r="A545" s="1689"/>
      <c r="B545" s="352"/>
      <c r="C545" s="533" t="s">
        <v>7</v>
      </c>
      <c r="D545" s="336"/>
      <c r="E545" s="529" t="s">
        <v>1030</v>
      </c>
      <c r="F545" s="416">
        <v>58</v>
      </c>
      <c r="G545" s="599">
        <v>75</v>
      </c>
      <c r="H545" s="364">
        <v>70.3</v>
      </c>
      <c r="I545" s="364">
        <v>70</v>
      </c>
      <c r="J545" s="364">
        <v>70</v>
      </c>
      <c r="K545" s="328" t="s">
        <v>1027</v>
      </c>
      <c r="L545" s="328" t="s">
        <v>40</v>
      </c>
      <c r="M545" s="328">
        <v>280</v>
      </c>
      <c r="N545" s="328">
        <v>282</v>
      </c>
      <c r="O545" s="328">
        <v>284</v>
      </c>
      <c r="P545" s="328">
        <v>286</v>
      </c>
      <c r="Q545" s="328">
        <v>288</v>
      </c>
    </row>
    <row r="546" spans="1:17" s="12" customFormat="1" ht="45" x14ac:dyDescent="0.25">
      <c r="A546" s="1689"/>
      <c r="B546" s="352"/>
      <c r="C546" s="533" t="s">
        <v>9</v>
      </c>
      <c r="D546" s="336"/>
      <c r="E546" s="529" t="s">
        <v>1031</v>
      </c>
      <c r="F546" s="416">
        <v>26</v>
      </c>
      <c r="G546" s="599">
        <v>435</v>
      </c>
      <c r="H546" s="364">
        <v>39.9</v>
      </c>
      <c r="I546" s="364">
        <v>40</v>
      </c>
      <c r="J546" s="364">
        <v>40</v>
      </c>
      <c r="K546" s="328" t="s">
        <v>1024</v>
      </c>
      <c r="L546" s="328" t="s">
        <v>40</v>
      </c>
      <c r="M546" s="328">
        <v>0</v>
      </c>
      <c r="N546" s="328">
        <v>0</v>
      </c>
      <c r="O546" s="328">
        <v>0</v>
      </c>
      <c r="P546" s="328">
        <v>0</v>
      </c>
      <c r="Q546" s="328">
        <v>0</v>
      </c>
    </row>
    <row r="547" spans="1:17" s="12" customFormat="1" ht="59.25" x14ac:dyDescent="0.25">
      <c r="A547" s="1689"/>
      <c r="B547" s="352" t="s">
        <v>500</v>
      </c>
      <c r="C547" s="533"/>
      <c r="D547" s="336"/>
      <c r="E547" s="529" t="s">
        <v>1046</v>
      </c>
      <c r="F547" s="600">
        <f>F548</f>
        <v>330</v>
      </c>
      <c r="G547" s="600">
        <f>G548</f>
        <v>468</v>
      </c>
      <c r="H547" s="600">
        <f>H548</f>
        <v>0</v>
      </c>
      <c r="I547" s="600">
        <f>I548</f>
        <v>0</v>
      </c>
      <c r="J547" s="600">
        <f>J548</f>
        <v>0</v>
      </c>
      <c r="K547" s="328" t="s">
        <v>1032</v>
      </c>
      <c r="L547" s="328" t="s">
        <v>35</v>
      </c>
      <c r="M547" s="328">
        <v>100</v>
      </c>
      <c r="N547" s="328">
        <v>100</v>
      </c>
      <c r="O547" s="328">
        <v>100</v>
      </c>
      <c r="P547" s="328">
        <v>100</v>
      </c>
      <c r="Q547" s="328">
        <v>100</v>
      </c>
    </row>
    <row r="548" spans="1:17" s="12" customFormat="1" ht="60" x14ac:dyDescent="0.25">
      <c r="A548" s="1689"/>
      <c r="B548" s="352"/>
      <c r="C548" s="533" t="s">
        <v>5</v>
      </c>
      <c r="D548" s="336"/>
      <c r="E548" s="529" t="s">
        <v>1165</v>
      </c>
      <c r="F548" s="420">
        <v>330</v>
      </c>
      <c r="G548" s="599">
        <v>468</v>
      </c>
      <c r="H548" s="364"/>
      <c r="I548" s="364"/>
      <c r="J548" s="364"/>
      <c r="K548" s="328" t="s">
        <v>1032</v>
      </c>
      <c r="L548" s="328" t="s">
        <v>35</v>
      </c>
      <c r="M548" s="328">
        <v>100</v>
      </c>
      <c r="N548" s="328">
        <v>100</v>
      </c>
      <c r="O548" s="328">
        <v>100</v>
      </c>
      <c r="P548" s="328">
        <v>100</v>
      </c>
      <c r="Q548" s="328">
        <v>100</v>
      </c>
    </row>
    <row r="549" spans="1:17" s="12" customFormat="1" ht="235.5" x14ac:dyDescent="0.25">
      <c r="A549" s="1689"/>
      <c r="B549" s="352" t="s">
        <v>508</v>
      </c>
      <c r="C549" s="533"/>
      <c r="D549" s="336"/>
      <c r="E549" s="354" t="s">
        <v>1047</v>
      </c>
      <c r="F549" s="359">
        <f>F550+F551+F552+F553+F554</f>
        <v>2277</v>
      </c>
      <c r="G549" s="359">
        <f>G550+G551+G552+G553+G554</f>
        <v>3654.1000000000004</v>
      </c>
      <c r="H549" s="359">
        <f>H550+H551+H552+H553+H554</f>
        <v>0</v>
      </c>
      <c r="I549" s="359">
        <f>I550+I551+I552+I553+I554</f>
        <v>0</v>
      </c>
      <c r="J549" s="359">
        <f>J550+J551+J552+J553+J554</f>
        <v>0</v>
      </c>
      <c r="K549" s="328" t="s">
        <v>1033</v>
      </c>
      <c r="L549" s="328" t="s">
        <v>35</v>
      </c>
      <c r="M549" s="328">
        <v>99</v>
      </c>
      <c r="N549" s="355">
        <v>99</v>
      </c>
      <c r="O549" s="328">
        <v>99</v>
      </c>
      <c r="P549" s="328">
        <v>99</v>
      </c>
      <c r="Q549" s="328">
        <v>99</v>
      </c>
    </row>
    <row r="550" spans="1:17" s="12" customFormat="1" ht="45" x14ac:dyDescent="0.25">
      <c r="A550" s="1689"/>
      <c r="B550" s="352"/>
      <c r="C550" s="533" t="s">
        <v>5</v>
      </c>
      <c r="D550" s="336"/>
      <c r="E550" s="529" t="s">
        <v>1034</v>
      </c>
      <c r="F550" s="420">
        <v>895</v>
      </c>
      <c r="G550" s="329">
        <v>1180.8</v>
      </c>
      <c r="H550" s="364"/>
      <c r="I550" s="364"/>
      <c r="J550" s="364"/>
      <c r="K550" s="328" t="s">
        <v>1033</v>
      </c>
      <c r="L550" s="328" t="s">
        <v>35</v>
      </c>
      <c r="M550" s="328">
        <v>99</v>
      </c>
      <c r="N550" s="328">
        <v>99</v>
      </c>
      <c r="O550" s="328">
        <v>99</v>
      </c>
      <c r="P550" s="331"/>
      <c r="Q550" s="331"/>
    </row>
    <row r="551" spans="1:17" s="12" customFormat="1" ht="75" x14ac:dyDescent="0.25">
      <c r="A551" s="1689"/>
      <c r="B551" s="352"/>
      <c r="C551" s="533" t="s">
        <v>7</v>
      </c>
      <c r="D551" s="336"/>
      <c r="E551" s="529" t="s">
        <v>1035</v>
      </c>
      <c r="F551" s="420">
        <v>747</v>
      </c>
      <c r="G551" s="599">
        <v>984</v>
      </c>
      <c r="H551" s="364"/>
      <c r="I551" s="364"/>
      <c r="J551" s="364"/>
      <c r="K551" s="328" t="s">
        <v>1036</v>
      </c>
      <c r="L551" s="328" t="s">
        <v>40</v>
      </c>
      <c r="M551" s="328">
        <v>2</v>
      </c>
      <c r="N551" s="328">
        <v>3</v>
      </c>
      <c r="O551" s="328">
        <v>4</v>
      </c>
      <c r="P551" s="328">
        <v>5</v>
      </c>
      <c r="Q551" s="328">
        <v>6</v>
      </c>
    </row>
    <row r="552" spans="1:17" s="12" customFormat="1" ht="60" x14ac:dyDescent="0.25">
      <c r="A552" s="1689"/>
      <c r="B552" s="352"/>
      <c r="C552" s="533" t="s">
        <v>9</v>
      </c>
      <c r="D552" s="336"/>
      <c r="E552" s="529" t="s">
        <v>1166</v>
      </c>
      <c r="F552" s="420">
        <v>635</v>
      </c>
      <c r="G552" s="329">
        <v>836.4</v>
      </c>
      <c r="H552" s="364"/>
      <c r="I552" s="364"/>
      <c r="J552" s="364"/>
      <c r="K552" s="328" t="s">
        <v>1037</v>
      </c>
      <c r="L552" s="328" t="s">
        <v>40</v>
      </c>
      <c r="M552" s="328">
        <v>0</v>
      </c>
      <c r="N552" s="328">
        <v>1</v>
      </c>
      <c r="O552" s="328">
        <v>2</v>
      </c>
      <c r="P552" s="328">
        <v>3</v>
      </c>
      <c r="Q552" s="328">
        <v>4</v>
      </c>
    </row>
    <row r="553" spans="1:17" s="12" customFormat="1" ht="45" x14ac:dyDescent="0.25">
      <c r="A553" s="1689"/>
      <c r="B553" s="352"/>
      <c r="C553" s="533" t="s">
        <v>11</v>
      </c>
      <c r="D553" s="336"/>
      <c r="E553" s="529" t="s">
        <v>1038</v>
      </c>
      <c r="F553" s="420"/>
      <c r="G553" s="329">
        <v>183.9</v>
      </c>
      <c r="H553" s="364"/>
      <c r="I553" s="364"/>
      <c r="J553" s="364"/>
      <c r="K553" s="344" t="s">
        <v>1039</v>
      </c>
      <c r="L553" s="328" t="s">
        <v>40</v>
      </c>
      <c r="M553" s="328">
        <v>2</v>
      </c>
      <c r="N553" s="328">
        <v>2</v>
      </c>
      <c r="O553" s="328">
        <v>2</v>
      </c>
      <c r="P553" s="331"/>
      <c r="Q553" s="331"/>
    </row>
    <row r="554" spans="1:17" s="12" customFormat="1" ht="60" x14ac:dyDescent="0.25">
      <c r="A554" s="1689"/>
      <c r="B554" s="352"/>
      <c r="C554" s="533" t="s">
        <v>127</v>
      </c>
      <c r="D554" s="350"/>
      <c r="E554" s="601" t="s">
        <v>1040</v>
      </c>
      <c r="F554" s="597"/>
      <c r="G554" s="330">
        <v>469</v>
      </c>
      <c r="H554" s="368"/>
      <c r="I554" s="368"/>
      <c r="J554" s="368"/>
      <c r="K554" s="356" t="s">
        <v>1041</v>
      </c>
      <c r="L554" s="356" t="s">
        <v>40</v>
      </c>
      <c r="M554" s="356">
        <v>20</v>
      </c>
      <c r="N554" s="356">
        <v>20</v>
      </c>
      <c r="O554" s="356">
        <v>20</v>
      </c>
      <c r="P554" s="356">
        <v>20</v>
      </c>
      <c r="Q554" s="356">
        <v>20</v>
      </c>
    </row>
    <row r="555" spans="1:17" s="12" customFormat="1" x14ac:dyDescent="0.25">
      <c r="A555" s="859"/>
      <c r="B555" s="1738" t="s">
        <v>85</v>
      </c>
      <c r="C555" s="1738"/>
      <c r="D555" s="1738"/>
      <c r="E555" s="1738"/>
      <c r="F555" s="735">
        <f>F537+F543+F547+F549+F534</f>
        <v>4738.2</v>
      </c>
      <c r="G555" s="735">
        <f>G537+G543+G547+G549+G534</f>
        <v>7698.2000000000007</v>
      </c>
      <c r="H555" s="735">
        <f>H537+H543+H547+H549+H534</f>
        <v>3000</v>
      </c>
      <c r="I555" s="735">
        <f>I537+I543+I547+I549+I534</f>
        <v>3000</v>
      </c>
      <c r="J555" s="735">
        <f>J537+J543+J547+J549+J534</f>
        <v>3000</v>
      </c>
      <c r="K555" s="506"/>
      <c r="L555" s="2270"/>
      <c r="M555" s="2270"/>
      <c r="N555" s="2270"/>
      <c r="O555" s="2270"/>
      <c r="P555" s="2270"/>
      <c r="Q555" s="2270"/>
    </row>
    <row r="556" spans="1:17" s="12" customFormat="1" x14ac:dyDescent="0.25">
      <c r="A556" s="2595" t="s">
        <v>480</v>
      </c>
      <c r="B556" s="2596"/>
      <c r="C556" s="2596"/>
      <c r="D556" s="2596"/>
      <c r="E556" s="2596"/>
      <c r="F556" s="2596"/>
      <c r="G556" s="2596"/>
      <c r="H556" s="2596"/>
      <c r="I556" s="2596"/>
      <c r="J556" s="2596"/>
      <c r="K556" s="2596"/>
      <c r="L556" s="2596"/>
      <c r="M556" s="2596"/>
      <c r="N556" s="2596"/>
      <c r="O556" s="2596"/>
      <c r="P556" s="2596"/>
      <c r="Q556" s="2679"/>
    </row>
    <row r="557" spans="1:17" ht="28.5" x14ac:dyDescent="0.25">
      <c r="B557" s="2637">
        <v>1</v>
      </c>
      <c r="C557" s="2566"/>
      <c r="D557" s="2639"/>
      <c r="E557" s="568" t="s">
        <v>971</v>
      </c>
      <c r="F557" s="2712">
        <f>F559+F560+F565</f>
        <v>57804.1</v>
      </c>
      <c r="G557" s="2669">
        <f t="shared" ref="G557:I557" si="68">G559+G560+G565</f>
        <v>62822.2</v>
      </c>
      <c r="H557" s="2669">
        <f t="shared" si="68"/>
        <v>80201.399999999994</v>
      </c>
      <c r="I557" s="2669">
        <f t="shared" si="68"/>
        <v>76691.100000000006</v>
      </c>
      <c r="J557" s="2669">
        <f>J559+J560+J565</f>
        <v>76378.2</v>
      </c>
      <c r="K557" s="2606" t="s">
        <v>28</v>
      </c>
      <c r="L557" s="2399"/>
      <c r="M557" s="2400"/>
      <c r="N557" s="2400"/>
      <c r="O557" s="2400"/>
      <c r="P557" s="2400"/>
      <c r="Q557" s="2401"/>
    </row>
    <row r="558" spans="1:17" ht="83.25" customHeight="1" x14ac:dyDescent="0.25">
      <c r="B558" s="2638"/>
      <c r="C558" s="2422"/>
      <c r="D558" s="2640"/>
      <c r="E558" s="569" t="s">
        <v>105</v>
      </c>
      <c r="F558" s="2713"/>
      <c r="G558" s="2670"/>
      <c r="H558" s="2670"/>
      <c r="I558" s="2670"/>
      <c r="J558" s="2670"/>
      <c r="K558" s="2607"/>
      <c r="L558" s="2402"/>
      <c r="M558" s="2403"/>
      <c r="N558" s="2403"/>
      <c r="O558" s="2403"/>
      <c r="P558" s="2403"/>
      <c r="Q558" s="2404"/>
    </row>
    <row r="559" spans="1:17" x14ac:dyDescent="0.25">
      <c r="B559" s="501"/>
      <c r="C559" s="837" t="s">
        <v>5</v>
      </c>
      <c r="D559" s="906"/>
      <c r="E559" s="894" t="s">
        <v>909</v>
      </c>
      <c r="F559" s="891">
        <v>5463.1</v>
      </c>
      <c r="G559" s="891">
        <v>5463.1</v>
      </c>
      <c r="H559" s="885">
        <v>5535.6</v>
      </c>
      <c r="I559" s="885">
        <v>5535.6</v>
      </c>
      <c r="J559" s="885">
        <v>5535.6</v>
      </c>
      <c r="K559" s="34" t="s">
        <v>36</v>
      </c>
      <c r="L559" s="898" t="s">
        <v>37</v>
      </c>
      <c r="M559" s="898" t="s">
        <v>106</v>
      </c>
      <c r="N559" s="898" t="s">
        <v>107</v>
      </c>
      <c r="O559" s="898" t="s">
        <v>108</v>
      </c>
      <c r="P559" s="898" t="s">
        <v>108</v>
      </c>
      <c r="Q559" s="898" t="s">
        <v>108</v>
      </c>
    </row>
    <row r="560" spans="1:17" ht="30" x14ac:dyDescent="0.25">
      <c r="B560" s="2568"/>
      <c r="C560" s="2592" t="s">
        <v>7</v>
      </c>
      <c r="D560" s="2609"/>
      <c r="E560" s="2526" t="s">
        <v>972</v>
      </c>
      <c r="F560" s="2370">
        <v>16972.099999999999</v>
      </c>
      <c r="G560" s="2370">
        <v>16972.099999999999</v>
      </c>
      <c r="H560" s="2370">
        <f>35157.6-1510.8</f>
        <v>33646.799999999996</v>
      </c>
      <c r="I560" s="2370">
        <v>30136.5</v>
      </c>
      <c r="J560" s="2370">
        <f>36736.5-6912.9</f>
        <v>29823.599999999999</v>
      </c>
      <c r="K560" s="35" t="s">
        <v>109</v>
      </c>
      <c r="L560" s="915" t="s">
        <v>35</v>
      </c>
      <c r="M560" s="915">
        <v>100</v>
      </c>
      <c r="N560" s="29">
        <v>100</v>
      </c>
      <c r="O560" s="29">
        <v>100</v>
      </c>
      <c r="P560" s="29">
        <v>100</v>
      </c>
      <c r="Q560" s="36">
        <v>100</v>
      </c>
    </row>
    <row r="561" spans="1:17" ht="30" customHeight="1" x14ac:dyDescent="0.25">
      <c r="B561" s="2608"/>
      <c r="C561" s="2593"/>
      <c r="D561" s="2610"/>
      <c r="E561" s="2527"/>
      <c r="F561" s="2371"/>
      <c r="G561" s="2371"/>
      <c r="H561" s="2371"/>
      <c r="I561" s="2371"/>
      <c r="J561" s="2371"/>
      <c r="K561" s="35" t="s">
        <v>110</v>
      </c>
      <c r="L561" s="915" t="s">
        <v>35</v>
      </c>
      <c r="M561" s="915">
        <v>100</v>
      </c>
      <c r="N561" s="29">
        <v>100</v>
      </c>
      <c r="O561" s="29">
        <v>100</v>
      </c>
      <c r="P561" s="29">
        <v>100</v>
      </c>
      <c r="Q561" s="29">
        <v>100</v>
      </c>
    </row>
    <row r="562" spans="1:17" ht="30" x14ac:dyDescent="0.25">
      <c r="B562" s="2608"/>
      <c r="C562" s="2593"/>
      <c r="D562" s="2610"/>
      <c r="E562" s="2527"/>
      <c r="F562" s="2371"/>
      <c r="G562" s="2371"/>
      <c r="H562" s="2371"/>
      <c r="I562" s="2371"/>
      <c r="J562" s="2371"/>
      <c r="K562" s="35" t="s">
        <v>111</v>
      </c>
      <c r="L562" s="37" t="s">
        <v>35</v>
      </c>
      <c r="M562" s="664">
        <v>100</v>
      </c>
      <c r="N562" s="32">
        <v>100</v>
      </c>
      <c r="O562" s="32">
        <v>100</v>
      </c>
      <c r="P562" s="32">
        <v>100</v>
      </c>
      <c r="Q562" s="36">
        <v>100</v>
      </c>
    </row>
    <row r="563" spans="1:17" ht="60" x14ac:dyDescent="0.25">
      <c r="B563" s="2608"/>
      <c r="C563" s="2593"/>
      <c r="D563" s="2610"/>
      <c r="E563" s="2527"/>
      <c r="F563" s="2371"/>
      <c r="G563" s="2371"/>
      <c r="H563" s="2371"/>
      <c r="I563" s="2371"/>
      <c r="J563" s="2371"/>
      <c r="K563" s="700" t="s">
        <v>112</v>
      </c>
      <c r="L563" s="37" t="s">
        <v>35</v>
      </c>
      <c r="M563" s="664">
        <v>100</v>
      </c>
      <c r="N563" s="32">
        <v>100</v>
      </c>
      <c r="O563" s="32">
        <v>100</v>
      </c>
      <c r="P563" s="32">
        <v>100</v>
      </c>
      <c r="Q563" s="38">
        <v>100</v>
      </c>
    </row>
    <row r="564" spans="1:17" ht="30" x14ac:dyDescent="0.25">
      <c r="B564" s="2569"/>
      <c r="C564" s="2594"/>
      <c r="D564" s="2611"/>
      <c r="E564" s="2528"/>
      <c r="F564" s="2529"/>
      <c r="G564" s="2529"/>
      <c r="H564" s="2529"/>
      <c r="I564" s="2529"/>
      <c r="J564" s="2529"/>
      <c r="K564" s="700" t="s">
        <v>113</v>
      </c>
      <c r="L564" s="37" t="s">
        <v>35</v>
      </c>
      <c r="M564" s="664">
        <v>100</v>
      </c>
      <c r="N564" s="32">
        <v>100</v>
      </c>
      <c r="O564" s="32">
        <v>100</v>
      </c>
      <c r="P564" s="32">
        <v>100</v>
      </c>
      <c r="Q564" s="32">
        <v>100</v>
      </c>
    </row>
    <row r="565" spans="1:17" ht="45" x14ac:dyDescent="0.25">
      <c r="B565" s="2438"/>
      <c r="C565" s="2566" t="s">
        <v>9</v>
      </c>
      <c r="D565" s="2571"/>
      <c r="E565" s="2573" t="s">
        <v>973</v>
      </c>
      <c r="F565" s="2574">
        <v>35368.9</v>
      </c>
      <c r="G565" s="2574">
        <v>40387</v>
      </c>
      <c r="H565" s="2574">
        <v>41019</v>
      </c>
      <c r="I565" s="2574">
        <v>41019</v>
      </c>
      <c r="J565" s="2574">
        <v>41019</v>
      </c>
      <c r="K565" s="39" t="s">
        <v>114</v>
      </c>
      <c r="L565" s="29" t="s">
        <v>35</v>
      </c>
      <c r="M565" s="29">
        <v>100</v>
      </c>
      <c r="N565" s="29">
        <v>100</v>
      </c>
      <c r="O565" s="29">
        <v>100</v>
      </c>
      <c r="P565" s="36">
        <v>100</v>
      </c>
      <c r="Q565" s="36">
        <v>100</v>
      </c>
    </row>
    <row r="566" spans="1:17" ht="30" x14ac:dyDescent="0.25">
      <c r="B566" s="2439"/>
      <c r="C566" s="2567"/>
      <c r="D566" s="2572"/>
      <c r="E566" s="2559"/>
      <c r="F566" s="2495"/>
      <c r="G566" s="2495"/>
      <c r="H566" s="2495"/>
      <c r="I566" s="2495"/>
      <c r="J566" s="2495"/>
      <c r="K566" s="39" t="s">
        <v>115</v>
      </c>
      <c r="L566" s="36" t="s">
        <v>35</v>
      </c>
      <c r="M566" s="36">
        <v>34</v>
      </c>
      <c r="N566" s="36">
        <v>50</v>
      </c>
      <c r="O566" s="36">
        <v>50</v>
      </c>
      <c r="P566" s="36">
        <v>50</v>
      </c>
      <c r="Q566" s="36">
        <v>50</v>
      </c>
    </row>
    <row r="567" spans="1:17" ht="60" x14ac:dyDescent="0.25">
      <c r="B567" s="2438"/>
      <c r="C567" s="2566" t="s">
        <v>11</v>
      </c>
      <c r="D567" s="2566"/>
      <c r="E567" s="2683" t="s">
        <v>974</v>
      </c>
      <c r="F567" s="2574">
        <v>0</v>
      </c>
      <c r="G567" s="2574">
        <v>0</v>
      </c>
      <c r="H567" s="2574">
        <v>0</v>
      </c>
      <c r="I567" s="2574">
        <v>0</v>
      </c>
      <c r="J567" s="2574">
        <v>0</v>
      </c>
      <c r="K567" s="40" t="s">
        <v>1167</v>
      </c>
      <c r="L567" s="38" t="s">
        <v>116</v>
      </c>
      <c r="M567" s="36"/>
      <c r="N567" s="36">
        <v>2</v>
      </c>
      <c r="O567" s="36">
        <v>4</v>
      </c>
      <c r="P567" s="36">
        <v>6</v>
      </c>
      <c r="Q567" s="36">
        <v>6</v>
      </c>
    </row>
    <row r="568" spans="1:17" x14ac:dyDescent="0.25">
      <c r="B568" s="2440"/>
      <c r="C568" s="2422"/>
      <c r="D568" s="2567"/>
      <c r="E568" s="2573"/>
      <c r="F568" s="2495"/>
      <c r="G568" s="2495"/>
      <c r="H568" s="2495"/>
      <c r="I568" s="2495"/>
      <c r="J568" s="2495"/>
      <c r="K568" s="40" t="s">
        <v>117</v>
      </c>
      <c r="L568" s="38" t="s">
        <v>116</v>
      </c>
      <c r="M568" s="36"/>
      <c r="N568" s="36">
        <v>1</v>
      </c>
      <c r="O568" s="36">
        <v>2</v>
      </c>
      <c r="P568" s="36">
        <v>4</v>
      </c>
      <c r="Q568" s="36">
        <v>4</v>
      </c>
    </row>
    <row r="569" spans="1:17" ht="32.25" customHeight="1" x14ac:dyDescent="0.25">
      <c r="B569" s="2084" t="s">
        <v>467</v>
      </c>
      <c r="C569" s="2397"/>
      <c r="D569" s="2597"/>
      <c r="E569" s="568" t="s">
        <v>975</v>
      </c>
      <c r="F569" s="2604">
        <f>F571+F572+F573+F574+F575+F576+F577+F578+F579+F580+F581</f>
        <v>53358.799999999996</v>
      </c>
      <c r="G569" s="2378">
        <f>G571+G572+G573+G574+G575+G576+G577+G578+G579+G580+G581</f>
        <v>53359.799999999996</v>
      </c>
      <c r="H569" s="2378">
        <f>H571+H572+H573+H574+H575+H576+H577+H578+H579+H580+H581</f>
        <v>34868.899999999994</v>
      </c>
      <c r="I569" s="2378">
        <f>I571+I572+I573+I574+I575+I576+I577+I578+I579+I580+I581</f>
        <v>45875</v>
      </c>
      <c r="J569" s="2378">
        <f>J571+J572+J573+J574+J575+J576+J577+J578+J579+J580+J581</f>
        <v>45801</v>
      </c>
      <c r="K569" s="2606" t="s">
        <v>28</v>
      </c>
      <c r="L569" s="2319"/>
      <c r="M569" s="2320"/>
      <c r="N569" s="2320"/>
      <c r="O569" s="2320"/>
      <c r="P569" s="2320"/>
      <c r="Q569" s="2321"/>
    </row>
    <row r="570" spans="1:17" ht="135" x14ac:dyDescent="0.25">
      <c r="A570" s="11"/>
      <c r="B570" s="2086"/>
      <c r="C570" s="2397"/>
      <c r="D570" s="2598"/>
      <c r="E570" s="569" t="s">
        <v>118</v>
      </c>
      <c r="F570" s="2605"/>
      <c r="G570" s="2601"/>
      <c r="H570" s="2601"/>
      <c r="I570" s="2601"/>
      <c r="J570" s="2601"/>
      <c r="K570" s="2607"/>
      <c r="L570" s="2322"/>
      <c r="M570" s="2323"/>
      <c r="N570" s="2323"/>
      <c r="O570" s="2323"/>
      <c r="P570" s="2323"/>
      <c r="Q570" s="2324"/>
    </row>
    <row r="571" spans="1:17" ht="60" x14ac:dyDescent="0.25">
      <c r="A571" s="11"/>
      <c r="B571" s="41"/>
      <c r="C571" s="837" t="s">
        <v>5</v>
      </c>
      <c r="D571" s="837"/>
      <c r="E571" s="894" t="s">
        <v>976</v>
      </c>
      <c r="F571" s="838">
        <v>4000</v>
      </c>
      <c r="G571" s="838">
        <v>4000</v>
      </c>
      <c r="H571" s="838">
        <v>4000</v>
      </c>
      <c r="I571" s="838">
        <v>4000</v>
      </c>
      <c r="J571" s="838">
        <v>4000</v>
      </c>
      <c r="K571" s="39" t="s">
        <v>119</v>
      </c>
      <c r="L571" s="29" t="s">
        <v>40</v>
      </c>
      <c r="M571" s="42">
        <v>14</v>
      </c>
      <c r="N571" s="42">
        <v>14</v>
      </c>
      <c r="O571" s="42">
        <v>14</v>
      </c>
      <c r="P571" s="42">
        <v>14</v>
      </c>
      <c r="Q571" s="36">
        <v>14</v>
      </c>
    </row>
    <row r="572" spans="1:17" ht="30" x14ac:dyDescent="0.25">
      <c r="A572" s="11"/>
      <c r="B572" s="41"/>
      <c r="C572" s="837" t="s">
        <v>7</v>
      </c>
      <c r="D572" s="837"/>
      <c r="E572" s="373" t="s">
        <v>977</v>
      </c>
      <c r="F572" s="311">
        <v>3800</v>
      </c>
      <c r="G572" s="311">
        <v>3800</v>
      </c>
      <c r="H572" s="311">
        <v>2066.3000000000002</v>
      </c>
      <c r="I572" s="311">
        <v>2166.3000000000002</v>
      </c>
      <c r="J572" s="311">
        <v>2266.3000000000002</v>
      </c>
      <c r="K572" s="39" t="s">
        <v>120</v>
      </c>
      <c r="L572" s="36" t="s">
        <v>40</v>
      </c>
      <c r="M572" s="36">
        <v>6</v>
      </c>
      <c r="N572" s="36">
        <v>10</v>
      </c>
      <c r="O572" s="36">
        <v>10</v>
      </c>
      <c r="P572" s="36">
        <v>10</v>
      </c>
      <c r="Q572" s="36">
        <v>10</v>
      </c>
    </row>
    <row r="573" spans="1:17" ht="60" x14ac:dyDescent="0.25">
      <c r="A573" s="11"/>
      <c r="B573" s="837"/>
      <c r="C573" s="837" t="s">
        <v>9</v>
      </c>
      <c r="D573" s="837"/>
      <c r="E573" s="39" t="s">
        <v>978</v>
      </c>
      <c r="F573" s="838">
        <v>2350</v>
      </c>
      <c r="G573" s="838">
        <v>2350</v>
      </c>
      <c r="H573" s="838">
        <v>2155.5</v>
      </c>
      <c r="I573" s="838">
        <v>2255.5</v>
      </c>
      <c r="J573" s="838">
        <v>2355.5</v>
      </c>
      <c r="K573" s="39" t="s">
        <v>121</v>
      </c>
      <c r="L573" s="29" t="s">
        <v>122</v>
      </c>
      <c r="M573" s="42">
        <v>3</v>
      </c>
      <c r="N573" s="42">
        <v>3</v>
      </c>
      <c r="O573" s="42">
        <v>3</v>
      </c>
      <c r="P573" s="42">
        <v>3</v>
      </c>
      <c r="Q573" s="36">
        <v>3</v>
      </c>
    </row>
    <row r="574" spans="1:17" ht="45" x14ac:dyDescent="0.25">
      <c r="A574" s="11"/>
      <c r="B574" s="837"/>
      <c r="C574" s="837" t="s">
        <v>11</v>
      </c>
      <c r="D574" s="837"/>
      <c r="E574" s="901" t="s">
        <v>1168</v>
      </c>
      <c r="F574" s="838">
        <v>2300</v>
      </c>
      <c r="G574" s="838">
        <v>2300</v>
      </c>
      <c r="H574" s="838">
        <v>2300</v>
      </c>
      <c r="I574" s="838">
        <v>2300</v>
      </c>
      <c r="J574" s="838">
        <v>2300</v>
      </c>
      <c r="K574" s="39" t="s">
        <v>123</v>
      </c>
      <c r="L574" s="29" t="s">
        <v>40</v>
      </c>
      <c r="M574" s="361" t="s">
        <v>124</v>
      </c>
      <c r="N574" s="361" t="s">
        <v>125</v>
      </c>
      <c r="O574" s="361" t="s">
        <v>125</v>
      </c>
      <c r="P574" s="361" t="s">
        <v>125</v>
      </c>
      <c r="Q574" s="361" t="s">
        <v>126</v>
      </c>
    </row>
    <row r="575" spans="1:17" ht="45" x14ac:dyDescent="0.25">
      <c r="A575" s="11"/>
      <c r="B575" s="897"/>
      <c r="C575" s="897" t="s">
        <v>134</v>
      </c>
      <c r="D575" s="897"/>
      <c r="E575" s="901" t="s">
        <v>979</v>
      </c>
      <c r="F575" s="845">
        <v>14400</v>
      </c>
      <c r="G575" s="845">
        <v>14400</v>
      </c>
      <c r="H575" s="845">
        <v>3811.4</v>
      </c>
      <c r="I575" s="845">
        <v>3911.4</v>
      </c>
      <c r="J575" s="845">
        <v>4011.4</v>
      </c>
      <c r="K575" s="39" t="s">
        <v>128</v>
      </c>
      <c r="L575" s="362" t="s">
        <v>40</v>
      </c>
      <c r="M575" s="44">
        <v>0</v>
      </c>
      <c r="N575" s="44">
        <v>1</v>
      </c>
      <c r="O575" s="44">
        <v>1</v>
      </c>
      <c r="P575" s="44">
        <v>1</v>
      </c>
      <c r="Q575" s="36">
        <v>1</v>
      </c>
    </row>
    <row r="576" spans="1:17" ht="45.75" customHeight="1" x14ac:dyDescent="0.25">
      <c r="A576" s="11"/>
      <c r="B576" s="892"/>
      <c r="C576" s="892" t="s">
        <v>131</v>
      </c>
      <c r="D576" s="892"/>
      <c r="E576" s="855" t="s">
        <v>980</v>
      </c>
      <c r="F576" s="843">
        <v>6535.7</v>
      </c>
      <c r="G576" s="843">
        <v>6535.7</v>
      </c>
      <c r="H576" s="843">
        <v>6535.7</v>
      </c>
      <c r="I576" s="843">
        <v>6709.5</v>
      </c>
      <c r="J576" s="843">
        <v>6709.5</v>
      </c>
      <c r="K576" s="35" t="s">
        <v>130</v>
      </c>
      <c r="L576" s="915" t="s">
        <v>40</v>
      </c>
      <c r="M576" s="45">
        <v>12</v>
      </c>
      <c r="N576" s="45">
        <v>12</v>
      </c>
      <c r="O576" s="45">
        <v>12</v>
      </c>
      <c r="P576" s="46">
        <v>13</v>
      </c>
      <c r="Q576" s="46">
        <v>13</v>
      </c>
    </row>
    <row r="577" spans="1:17" ht="45.75" customHeight="1" x14ac:dyDescent="0.25">
      <c r="A577" s="11"/>
      <c r="B577" s="895"/>
      <c r="C577" s="897"/>
      <c r="D577" s="897"/>
      <c r="E577" s="902" t="s">
        <v>981</v>
      </c>
      <c r="F577" s="891">
        <f>4600+4500+1585.2</f>
        <v>10685.2</v>
      </c>
      <c r="G577" s="891">
        <f>4600+4500+1585.2</f>
        <v>10685.2</v>
      </c>
      <c r="H577" s="838"/>
      <c r="I577" s="2574">
        <v>3674.3</v>
      </c>
      <c r="J577" s="2574">
        <v>3200.3</v>
      </c>
      <c r="K577" s="47" t="s">
        <v>132</v>
      </c>
      <c r="L577" s="32" t="s">
        <v>133</v>
      </c>
      <c r="M577" s="32">
        <v>570</v>
      </c>
      <c r="N577" s="38">
        <v>600</v>
      </c>
      <c r="O577" s="38">
        <v>650</v>
      </c>
      <c r="P577" s="38">
        <v>700</v>
      </c>
      <c r="Q577" s="38">
        <v>750</v>
      </c>
    </row>
    <row r="578" spans="1:17" ht="46.5" customHeight="1" x14ac:dyDescent="0.25">
      <c r="A578" s="11"/>
      <c r="B578" s="41"/>
      <c r="C578" s="837"/>
      <c r="D578" s="837"/>
      <c r="E578" s="901" t="s">
        <v>982</v>
      </c>
      <c r="F578" s="838">
        <v>3187.9</v>
      </c>
      <c r="G578" s="838">
        <v>3188.9</v>
      </c>
      <c r="H578" s="845"/>
      <c r="I578" s="2379"/>
      <c r="J578" s="2379"/>
      <c r="K578" s="39" t="s">
        <v>135</v>
      </c>
      <c r="L578" s="29" t="s">
        <v>136</v>
      </c>
      <c r="M578" s="36">
        <v>74</v>
      </c>
      <c r="N578" s="36">
        <v>71</v>
      </c>
      <c r="O578" s="36">
        <v>68</v>
      </c>
      <c r="P578" s="36">
        <v>65</v>
      </c>
      <c r="Q578" s="36">
        <v>63</v>
      </c>
    </row>
    <row r="579" spans="1:17" ht="105" x14ac:dyDescent="0.25">
      <c r="A579" s="11"/>
      <c r="B579" s="41"/>
      <c r="C579" s="800" t="s">
        <v>137</v>
      </c>
      <c r="D579" s="897"/>
      <c r="E579" s="901" t="s">
        <v>983</v>
      </c>
      <c r="F579" s="891">
        <v>1700</v>
      </c>
      <c r="G579" s="891">
        <v>1700</v>
      </c>
      <c r="H579" s="891"/>
      <c r="I579" s="891">
        <f>6858-I580</f>
        <v>4990</v>
      </c>
      <c r="J579" s="891">
        <f>6958-J580</f>
        <v>5090</v>
      </c>
      <c r="K579" s="40" t="s">
        <v>138</v>
      </c>
      <c r="L579" s="32" t="s">
        <v>40</v>
      </c>
      <c r="M579" s="48">
        <v>3</v>
      </c>
      <c r="N579" s="48">
        <v>3</v>
      </c>
      <c r="O579" s="48">
        <v>3</v>
      </c>
      <c r="P579" s="48">
        <v>3</v>
      </c>
      <c r="Q579" s="48">
        <v>3</v>
      </c>
    </row>
    <row r="580" spans="1:17" ht="60" x14ac:dyDescent="0.25">
      <c r="A580" s="11"/>
      <c r="B580" s="895"/>
      <c r="C580" s="800" t="s">
        <v>405</v>
      </c>
      <c r="D580" s="897"/>
      <c r="E580" s="49" t="s">
        <v>984</v>
      </c>
      <c r="F580" s="891">
        <v>4400</v>
      </c>
      <c r="G580" s="891">
        <v>4400</v>
      </c>
      <c r="H580" s="891"/>
      <c r="I580" s="891">
        <v>1868</v>
      </c>
      <c r="J580" s="891">
        <v>1868</v>
      </c>
      <c r="K580" s="40" t="s">
        <v>138</v>
      </c>
      <c r="L580" s="48" t="s">
        <v>40</v>
      </c>
      <c r="M580" s="48">
        <v>7</v>
      </c>
      <c r="N580" s="48">
        <v>8</v>
      </c>
      <c r="O580" s="48">
        <v>5</v>
      </c>
      <c r="P580" s="48">
        <v>5</v>
      </c>
      <c r="Q580" s="48">
        <v>5</v>
      </c>
    </row>
    <row r="581" spans="1:17" ht="30" x14ac:dyDescent="0.25">
      <c r="A581" s="11"/>
      <c r="B581" s="766"/>
      <c r="C581" s="892"/>
      <c r="D581" s="892"/>
      <c r="E581" s="893" t="s">
        <v>139</v>
      </c>
      <c r="F581" s="885">
        <v>0</v>
      </c>
      <c r="G581" s="885">
        <v>0</v>
      </c>
      <c r="H581" s="885">
        <v>14000</v>
      </c>
      <c r="I581" s="885">
        <v>14000</v>
      </c>
      <c r="J581" s="885">
        <v>14000</v>
      </c>
      <c r="K581" s="700" t="s">
        <v>140</v>
      </c>
      <c r="L581" s="703" t="s">
        <v>116</v>
      </c>
      <c r="M581" s="703"/>
      <c r="N581" s="703">
        <v>3</v>
      </c>
      <c r="O581" s="703">
        <v>5</v>
      </c>
      <c r="P581" s="703">
        <v>8</v>
      </c>
      <c r="Q581" s="703">
        <v>10</v>
      </c>
    </row>
    <row r="582" spans="1:17" ht="42.75" x14ac:dyDescent="0.25">
      <c r="A582" s="11"/>
      <c r="B582" s="2084" t="s">
        <v>500</v>
      </c>
      <c r="C582" s="2397"/>
      <c r="D582" s="2561"/>
      <c r="E582" s="568" t="s">
        <v>985</v>
      </c>
      <c r="F582" s="2372">
        <f t="shared" ref="F582:G582" si="69">F586+F588+F591+F594+F595+F593</f>
        <v>37181.699999999997</v>
      </c>
      <c r="G582" s="2600">
        <f t="shared" si="69"/>
        <v>37481.1</v>
      </c>
      <c r="H582" s="2600">
        <f>H584+H585+H586+H588+H589+H590+H591+H593+H594</f>
        <v>55132.600000000006</v>
      </c>
      <c r="I582" s="2600">
        <f>I586+I588+I591+I594+I595+I593</f>
        <v>45460.5</v>
      </c>
      <c r="J582" s="2600">
        <f t="shared" ref="J582" si="70">J586+J588+J591+J594+J595+J593</f>
        <v>45760.5</v>
      </c>
      <c r="K582" s="2602" t="s">
        <v>28</v>
      </c>
      <c r="L582" s="2319"/>
      <c r="M582" s="2320"/>
      <c r="N582" s="2320"/>
      <c r="O582" s="2320"/>
      <c r="P582" s="2320"/>
      <c r="Q582" s="2321"/>
    </row>
    <row r="583" spans="1:17" ht="150" x14ac:dyDescent="0.25">
      <c r="A583" s="11"/>
      <c r="B583" s="2086"/>
      <c r="C583" s="2397"/>
      <c r="D583" s="2561"/>
      <c r="E583" s="569" t="s">
        <v>141</v>
      </c>
      <c r="F583" s="2372"/>
      <c r="G583" s="2600"/>
      <c r="H583" s="2600"/>
      <c r="I583" s="2600"/>
      <c r="J583" s="2600"/>
      <c r="K583" s="2603"/>
      <c r="L583" s="2322"/>
      <c r="M583" s="2323"/>
      <c r="N583" s="2323"/>
      <c r="O583" s="2323"/>
      <c r="P583" s="2323"/>
      <c r="Q583" s="2324"/>
    </row>
    <row r="584" spans="1:17" ht="30" x14ac:dyDescent="0.25">
      <c r="A584" s="11"/>
      <c r="B584" s="776"/>
      <c r="C584" s="897" t="s">
        <v>5</v>
      </c>
      <c r="D584" s="651"/>
      <c r="E584" s="718" t="s">
        <v>1076</v>
      </c>
      <c r="F584" s="652"/>
      <c r="G584" s="844"/>
      <c r="H584" s="891">
        <v>3640</v>
      </c>
      <c r="I584" s="844"/>
      <c r="J584" s="844"/>
      <c r="K584" s="846"/>
      <c r="L584" s="811"/>
      <c r="M584" s="812"/>
      <c r="N584" s="812"/>
      <c r="O584" s="812"/>
      <c r="P584" s="812"/>
      <c r="Q584" s="813"/>
    </row>
    <row r="585" spans="1:17" ht="30" x14ac:dyDescent="0.25">
      <c r="A585" s="11"/>
      <c r="B585" s="776"/>
      <c r="C585" s="897" t="s">
        <v>137</v>
      </c>
      <c r="D585" s="651"/>
      <c r="E585" s="718" t="s">
        <v>1077</v>
      </c>
      <c r="F585" s="652"/>
      <c r="G585" s="844"/>
      <c r="H585" s="891">
        <v>3307.1</v>
      </c>
      <c r="I585" s="844"/>
      <c r="J585" s="844"/>
      <c r="K585" s="846"/>
      <c r="L585" s="811"/>
      <c r="M585" s="812"/>
      <c r="N585" s="812"/>
      <c r="O585" s="812"/>
      <c r="P585" s="812"/>
      <c r="Q585" s="813"/>
    </row>
    <row r="586" spans="1:17" ht="45" x14ac:dyDescent="0.25">
      <c r="A586" s="11"/>
      <c r="B586" s="2568"/>
      <c r="C586" s="2274" t="s">
        <v>407</v>
      </c>
      <c r="D586" s="2566"/>
      <c r="E586" s="2559" t="s">
        <v>1075</v>
      </c>
      <c r="F586" s="2574">
        <v>3600</v>
      </c>
      <c r="G586" s="2574">
        <v>3600</v>
      </c>
      <c r="H586" s="2370">
        <v>2043.3</v>
      </c>
      <c r="I586" s="2574">
        <v>2143.3000000000002</v>
      </c>
      <c r="J586" s="2574">
        <v>2243.3000000000002</v>
      </c>
      <c r="K586" s="39" t="s">
        <v>142</v>
      </c>
      <c r="L586" s="29" t="s">
        <v>143</v>
      </c>
      <c r="M586" s="29">
        <v>1.1000000000000001</v>
      </c>
      <c r="N586" s="29" t="s">
        <v>144</v>
      </c>
      <c r="O586" s="29" t="s">
        <v>144</v>
      </c>
      <c r="P586" s="29" t="s">
        <v>144</v>
      </c>
      <c r="Q586" s="29" t="s">
        <v>144</v>
      </c>
    </row>
    <row r="587" spans="1:17" ht="60" customHeight="1" x14ac:dyDescent="0.25">
      <c r="A587" s="11"/>
      <c r="B587" s="2569"/>
      <c r="C587" s="2276"/>
      <c r="D587" s="2422"/>
      <c r="E587" s="2560"/>
      <c r="F587" s="2379"/>
      <c r="G587" s="2379"/>
      <c r="H587" s="2529"/>
      <c r="I587" s="2379"/>
      <c r="J587" s="2379"/>
      <c r="K587" s="39" t="s">
        <v>145</v>
      </c>
      <c r="L587" s="50" t="s">
        <v>40</v>
      </c>
      <c r="M587" s="36" t="s">
        <v>146</v>
      </c>
      <c r="N587" s="50">
        <v>2</v>
      </c>
      <c r="O587" s="50">
        <v>1</v>
      </c>
      <c r="P587" s="50">
        <v>0</v>
      </c>
      <c r="Q587" s="271">
        <v>0</v>
      </c>
    </row>
    <row r="588" spans="1:17" ht="81.75" customHeight="1" x14ac:dyDescent="0.25">
      <c r="A588" s="11"/>
      <c r="B588" s="895"/>
      <c r="C588" s="800" t="s">
        <v>409</v>
      </c>
      <c r="D588" s="897"/>
      <c r="E588" s="901" t="s">
        <v>986</v>
      </c>
      <c r="F588" s="891">
        <v>3800</v>
      </c>
      <c r="G588" s="891">
        <v>3800</v>
      </c>
      <c r="H588" s="885">
        <v>3800</v>
      </c>
      <c r="I588" s="891">
        <v>3800</v>
      </c>
      <c r="J588" s="891">
        <v>3800</v>
      </c>
      <c r="K588" s="39" t="s">
        <v>147</v>
      </c>
      <c r="L588" s="29" t="s">
        <v>40</v>
      </c>
      <c r="M588" s="42">
        <v>3</v>
      </c>
      <c r="N588" s="42">
        <v>3</v>
      </c>
      <c r="O588" s="42">
        <v>2</v>
      </c>
      <c r="P588" s="42">
        <v>2</v>
      </c>
      <c r="Q588" s="36">
        <v>2</v>
      </c>
    </row>
    <row r="589" spans="1:17" ht="126" customHeight="1" x14ac:dyDescent="0.25">
      <c r="A589" s="11"/>
      <c r="B589" s="895"/>
      <c r="C589" s="800" t="s">
        <v>413</v>
      </c>
      <c r="D589" s="897"/>
      <c r="E589" s="616" t="s">
        <v>1078</v>
      </c>
      <c r="F589" s="891"/>
      <c r="G589" s="891"/>
      <c r="H589" s="891">
        <v>4890</v>
      </c>
      <c r="I589" s="891"/>
      <c r="J589" s="891"/>
      <c r="K589" s="39"/>
      <c r="L589" s="29"/>
      <c r="M589" s="42"/>
      <c r="N589" s="42"/>
      <c r="O589" s="42"/>
      <c r="P589" s="42"/>
      <c r="Q589" s="36"/>
    </row>
    <row r="590" spans="1:17" ht="88.5" customHeight="1" x14ac:dyDescent="0.25">
      <c r="A590" s="11"/>
      <c r="B590" s="895"/>
      <c r="C590" s="800" t="s">
        <v>273</v>
      </c>
      <c r="D590" s="897"/>
      <c r="E590" s="616" t="s">
        <v>1079</v>
      </c>
      <c r="F590" s="891"/>
      <c r="G590" s="891"/>
      <c r="H590" s="891">
        <v>1868</v>
      </c>
      <c r="I590" s="891"/>
      <c r="J590" s="891"/>
      <c r="K590" s="39"/>
      <c r="L590" s="29"/>
      <c r="M590" s="42"/>
      <c r="N590" s="42"/>
      <c r="O590" s="42"/>
      <c r="P590" s="42"/>
      <c r="Q590" s="36"/>
    </row>
    <row r="591" spans="1:17" ht="30" x14ac:dyDescent="0.25">
      <c r="A591" s="11"/>
      <c r="B591" s="2568"/>
      <c r="C591" s="2363" t="s">
        <v>340</v>
      </c>
      <c r="D591" s="2397"/>
      <c r="E591" s="2573" t="s">
        <v>987</v>
      </c>
      <c r="F591" s="2574">
        <v>2510.1</v>
      </c>
      <c r="G591" s="2574">
        <v>2510.1</v>
      </c>
      <c r="H591" s="2370">
        <v>3013.2</v>
      </c>
      <c r="I591" s="2574">
        <v>3113.2</v>
      </c>
      <c r="J591" s="2574">
        <v>3213.2</v>
      </c>
      <c r="K591" s="901" t="s">
        <v>148</v>
      </c>
      <c r="L591" s="29" t="s">
        <v>40</v>
      </c>
      <c r="M591" s="42">
        <v>2</v>
      </c>
      <c r="N591" s="42">
        <v>2</v>
      </c>
      <c r="O591" s="42">
        <v>2</v>
      </c>
      <c r="P591" s="42">
        <v>2</v>
      </c>
      <c r="Q591" s="36">
        <v>2</v>
      </c>
    </row>
    <row r="592" spans="1:17" ht="36" customHeight="1" x14ac:dyDescent="0.25">
      <c r="A592" s="11"/>
      <c r="B592" s="2569"/>
      <c r="C592" s="2363"/>
      <c r="D592" s="2397"/>
      <c r="E592" s="2560"/>
      <c r="F592" s="2379"/>
      <c r="G592" s="2379"/>
      <c r="H592" s="2529"/>
      <c r="I592" s="2379"/>
      <c r="J592" s="2379"/>
      <c r="K592" s="901" t="s">
        <v>149</v>
      </c>
      <c r="L592" s="29" t="s">
        <v>35</v>
      </c>
      <c r="M592" s="42">
        <v>84</v>
      </c>
      <c r="N592" s="42">
        <v>100</v>
      </c>
      <c r="O592" s="42">
        <v>100</v>
      </c>
      <c r="P592" s="42">
        <v>100</v>
      </c>
      <c r="Q592" s="42">
        <v>100</v>
      </c>
    </row>
    <row r="593" spans="1:17" ht="30" x14ac:dyDescent="0.25">
      <c r="A593" s="11"/>
      <c r="B593" s="41"/>
      <c r="C593" s="835" t="s">
        <v>343</v>
      </c>
      <c r="D593" s="837"/>
      <c r="E593" s="894" t="s">
        <v>988</v>
      </c>
      <c r="F593" s="845">
        <v>0</v>
      </c>
      <c r="G593" s="845">
        <v>0</v>
      </c>
      <c r="H593" s="889">
        <v>5000</v>
      </c>
      <c r="I593" s="845">
        <v>5000</v>
      </c>
      <c r="J593" s="845">
        <v>5000</v>
      </c>
      <c r="K593" s="902" t="s">
        <v>150</v>
      </c>
      <c r="L593" s="32" t="s">
        <v>40</v>
      </c>
      <c r="M593" s="42">
        <v>0</v>
      </c>
      <c r="N593" s="42">
        <v>2</v>
      </c>
      <c r="O593" s="42">
        <v>3</v>
      </c>
      <c r="P593" s="42">
        <v>2</v>
      </c>
      <c r="Q593" s="42">
        <v>4</v>
      </c>
    </row>
    <row r="594" spans="1:17" ht="60" x14ac:dyDescent="0.25">
      <c r="A594" s="11"/>
      <c r="B594" s="41"/>
      <c r="C594" s="793" t="s">
        <v>345</v>
      </c>
      <c r="D594" s="794"/>
      <c r="E594" s="51" t="s">
        <v>989</v>
      </c>
      <c r="F594" s="843">
        <v>27271.599999999999</v>
      </c>
      <c r="G594" s="843">
        <v>27571</v>
      </c>
      <c r="H594" s="843">
        <v>27571</v>
      </c>
      <c r="I594" s="843">
        <v>27996.9</v>
      </c>
      <c r="J594" s="843">
        <v>27996.9</v>
      </c>
      <c r="K594" s="35" t="s">
        <v>151</v>
      </c>
      <c r="L594" s="37" t="s">
        <v>40</v>
      </c>
      <c r="M594" s="703">
        <v>5</v>
      </c>
      <c r="N594" s="42">
        <v>2</v>
      </c>
      <c r="O594" s="42">
        <v>1</v>
      </c>
      <c r="P594" s="42">
        <v>1</v>
      </c>
      <c r="Q594" s="36">
        <v>1</v>
      </c>
    </row>
    <row r="595" spans="1:17" ht="45" x14ac:dyDescent="0.25">
      <c r="A595" s="11"/>
      <c r="B595" s="2568"/>
      <c r="C595" s="2274"/>
      <c r="D595" s="2566"/>
      <c r="E595" s="2087" t="s">
        <v>990</v>
      </c>
      <c r="F595" s="2574">
        <v>0</v>
      </c>
      <c r="G595" s="2574">
        <v>0</v>
      </c>
      <c r="H595" s="2574"/>
      <c r="I595" s="2574">
        <v>3407.1</v>
      </c>
      <c r="J595" s="2574">
        <v>3507.1</v>
      </c>
      <c r="K595" s="13" t="s">
        <v>152</v>
      </c>
      <c r="L595" s="52" t="s">
        <v>40</v>
      </c>
      <c r="M595" s="42">
        <v>0</v>
      </c>
      <c r="N595" s="42">
        <v>0</v>
      </c>
      <c r="O595" s="42">
        <v>1</v>
      </c>
      <c r="P595" s="42">
        <v>0</v>
      </c>
      <c r="Q595" s="42">
        <v>0</v>
      </c>
    </row>
    <row r="596" spans="1:17" ht="60" x14ac:dyDescent="0.25">
      <c r="A596" s="11"/>
      <c r="B596" s="2608"/>
      <c r="C596" s="2275"/>
      <c r="D596" s="2567"/>
      <c r="E596" s="2277"/>
      <c r="F596" s="2495"/>
      <c r="G596" s="2495"/>
      <c r="H596" s="2495"/>
      <c r="I596" s="2495"/>
      <c r="J596" s="2495"/>
      <c r="K596" s="25" t="s">
        <v>153</v>
      </c>
      <c r="L596" s="52" t="s">
        <v>40</v>
      </c>
      <c r="M596" s="42">
        <v>0</v>
      </c>
      <c r="N596" s="42">
        <v>0</v>
      </c>
      <c r="O596" s="42">
        <v>1</v>
      </c>
      <c r="P596" s="42">
        <v>0</v>
      </c>
      <c r="Q596" s="42">
        <v>0</v>
      </c>
    </row>
    <row r="597" spans="1:17" x14ac:dyDescent="0.25">
      <c r="A597" s="11"/>
      <c r="B597" s="2608"/>
      <c r="C597" s="2275"/>
      <c r="D597" s="2567"/>
      <c r="E597" s="2277"/>
      <c r="F597" s="2495"/>
      <c r="G597" s="2495"/>
      <c r="H597" s="2495"/>
      <c r="I597" s="2495"/>
      <c r="J597" s="2495"/>
      <c r="K597" s="25" t="s">
        <v>154</v>
      </c>
      <c r="L597" s="52" t="s">
        <v>40</v>
      </c>
      <c r="M597" s="42">
        <v>0</v>
      </c>
      <c r="N597" s="42">
        <v>1</v>
      </c>
      <c r="O597" s="42">
        <v>1</v>
      </c>
      <c r="P597" s="42">
        <v>1</v>
      </c>
      <c r="Q597" s="42">
        <v>1</v>
      </c>
    </row>
    <row r="598" spans="1:17" x14ac:dyDescent="0.25">
      <c r="A598" s="11"/>
      <c r="B598" s="2569"/>
      <c r="C598" s="2276"/>
      <c r="D598" s="2422"/>
      <c r="E598" s="2277"/>
      <c r="F598" s="2379"/>
      <c r="G598" s="2379"/>
      <c r="H598" s="2379"/>
      <c r="I598" s="2379"/>
      <c r="J598" s="2379"/>
      <c r="K598" s="83" t="s">
        <v>155</v>
      </c>
      <c r="L598" s="29" t="s">
        <v>40</v>
      </c>
      <c r="M598" s="42"/>
      <c r="N598" s="42">
        <v>5</v>
      </c>
      <c r="O598" s="42">
        <v>5</v>
      </c>
      <c r="P598" s="42">
        <v>5</v>
      </c>
      <c r="Q598" s="42">
        <v>5</v>
      </c>
    </row>
    <row r="599" spans="1:17" ht="31.5" customHeight="1" x14ac:dyDescent="0.25">
      <c r="A599" s="11"/>
      <c r="B599" s="2084" t="s">
        <v>508</v>
      </c>
      <c r="C599" s="2397"/>
      <c r="D599" s="2561"/>
      <c r="E599" s="571" t="s">
        <v>991</v>
      </c>
      <c r="F599" s="2372">
        <f>F601+F602+F603+F604+F605+F607+F608+F613</f>
        <v>96355.599999999991</v>
      </c>
      <c r="G599" s="2600">
        <f t="shared" ref="G599:H599" si="71">G601+G602+G603+G604+G605+G607+G608+G613</f>
        <v>95322.2</v>
      </c>
      <c r="H599" s="2600">
        <f t="shared" si="71"/>
        <v>96260.599999999991</v>
      </c>
      <c r="I599" s="2600">
        <f>I601+I602+I603+I604+I605+I607+I608+I613</f>
        <v>84750.799999999988</v>
      </c>
      <c r="J599" s="2600">
        <f>J601+J602+J603+J604+J605+J607+J608+J613</f>
        <v>85620.4</v>
      </c>
      <c r="K599" s="2602" t="s">
        <v>28</v>
      </c>
      <c r="L599" s="2319"/>
      <c r="M599" s="2320"/>
      <c r="N599" s="2320"/>
      <c r="O599" s="2320"/>
      <c r="P599" s="2320"/>
      <c r="Q599" s="2321"/>
    </row>
    <row r="600" spans="1:17" ht="45" x14ac:dyDescent="0.25">
      <c r="A600" s="11"/>
      <c r="B600" s="2086"/>
      <c r="C600" s="2397"/>
      <c r="D600" s="2561"/>
      <c r="E600" s="569" t="s">
        <v>156</v>
      </c>
      <c r="F600" s="2372"/>
      <c r="G600" s="2600"/>
      <c r="H600" s="2600"/>
      <c r="I600" s="2600"/>
      <c r="J600" s="2600"/>
      <c r="K600" s="2603"/>
      <c r="L600" s="2322"/>
      <c r="M600" s="2323"/>
      <c r="N600" s="2323"/>
      <c r="O600" s="2323"/>
      <c r="P600" s="2323"/>
      <c r="Q600" s="2324"/>
    </row>
    <row r="601" spans="1:17" ht="30" x14ac:dyDescent="0.25">
      <c r="A601" s="11"/>
      <c r="B601" s="896"/>
      <c r="C601" s="837" t="s">
        <v>11</v>
      </c>
      <c r="D601" s="837"/>
      <c r="E601" s="894" t="s">
        <v>911</v>
      </c>
      <c r="F601" s="838">
        <v>9195.2000000000007</v>
      </c>
      <c r="G601" s="838">
        <v>5094.5</v>
      </c>
      <c r="H601" s="838">
        <v>7561.1</v>
      </c>
      <c r="I601" s="838">
        <v>7661.1</v>
      </c>
      <c r="J601" s="838">
        <v>7761.1</v>
      </c>
      <c r="K601" s="841" t="s">
        <v>157</v>
      </c>
      <c r="L601" s="36" t="s">
        <v>35</v>
      </c>
      <c r="M601" s="36">
        <v>100</v>
      </c>
      <c r="N601" s="36">
        <v>112.2</v>
      </c>
      <c r="O601" s="36">
        <v>106.1</v>
      </c>
      <c r="P601" s="43">
        <v>107.1</v>
      </c>
      <c r="Q601" s="36">
        <v>110</v>
      </c>
    </row>
    <row r="602" spans="1:17" ht="75" x14ac:dyDescent="0.25">
      <c r="A602" s="11"/>
      <c r="B602" s="895"/>
      <c r="C602" s="897" t="s">
        <v>127</v>
      </c>
      <c r="D602" s="897"/>
      <c r="E602" s="902" t="s">
        <v>992</v>
      </c>
      <c r="F602" s="891">
        <v>4500.3999999999996</v>
      </c>
      <c r="G602" s="891">
        <v>4500.3999999999996</v>
      </c>
      <c r="H602" s="891">
        <v>3739.2</v>
      </c>
      <c r="I602" s="891">
        <v>3839.2</v>
      </c>
      <c r="J602" s="891">
        <v>3939.2</v>
      </c>
      <c r="K602" s="841" t="s">
        <v>158</v>
      </c>
      <c r="L602" s="29" t="s">
        <v>35</v>
      </c>
      <c r="M602" s="42">
        <v>40</v>
      </c>
      <c r="N602" s="42">
        <v>40</v>
      </c>
      <c r="O602" s="42">
        <v>40</v>
      </c>
      <c r="P602" s="36">
        <v>40</v>
      </c>
      <c r="Q602" s="36">
        <v>40</v>
      </c>
    </row>
    <row r="603" spans="1:17" ht="60" x14ac:dyDescent="0.25">
      <c r="A603" s="11"/>
      <c r="B603" s="837"/>
      <c r="C603" s="837" t="s">
        <v>129</v>
      </c>
      <c r="D603" s="837"/>
      <c r="E603" s="901" t="s">
        <v>993</v>
      </c>
      <c r="F603" s="838">
        <v>8900.7999999999993</v>
      </c>
      <c r="G603" s="838">
        <v>8900.7999999999993</v>
      </c>
      <c r="H603" s="838">
        <v>7418</v>
      </c>
      <c r="I603" s="838">
        <v>7518</v>
      </c>
      <c r="J603" s="838">
        <v>7618</v>
      </c>
      <c r="K603" s="841" t="s">
        <v>159</v>
      </c>
      <c r="L603" s="29" t="s">
        <v>40</v>
      </c>
      <c r="M603" s="42">
        <v>15</v>
      </c>
      <c r="N603" s="42">
        <v>8</v>
      </c>
      <c r="O603" s="42">
        <v>8</v>
      </c>
      <c r="P603" s="42">
        <v>8</v>
      </c>
      <c r="Q603" s="36">
        <v>8</v>
      </c>
    </row>
    <row r="604" spans="1:17" ht="75" x14ac:dyDescent="0.25">
      <c r="A604" s="11"/>
      <c r="B604" s="794"/>
      <c r="C604" s="794" t="s">
        <v>11</v>
      </c>
      <c r="D604" s="794"/>
      <c r="E604" s="855" t="s">
        <v>1169</v>
      </c>
      <c r="F604" s="843">
        <v>1635</v>
      </c>
      <c r="G604" s="843">
        <v>2150.3000000000002</v>
      </c>
      <c r="H604" s="838">
        <v>2150.3000000000002</v>
      </c>
      <c r="I604" s="843">
        <v>2150.3000000000002</v>
      </c>
      <c r="J604" s="843">
        <v>2150.3000000000002</v>
      </c>
      <c r="K604" s="774" t="s">
        <v>160</v>
      </c>
      <c r="L604" s="915" t="s">
        <v>40</v>
      </c>
      <c r="M604" s="45">
        <v>3</v>
      </c>
      <c r="N604" s="45">
        <v>3</v>
      </c>
      <c r="O604" s="45">
        <v>3</v>
      </c>
      <c r="P604" s="42">
        <v>3</v>
      </c>
      <c r="Q604" s="36">
        <v>3</v>
      </c>
    </row>
    <row r="605" spans="1:17" ht="30" x14ac:dyDescent="0.25">
      <c r="A605" s="11"/>
      <c r="B605" s="1938"/>
      <c r="C605" s="2588" t="s">
        <v>7</v>
      </c>
      <c r="D605" s="2588"/>
      <c r="E605" s="2590" t="s">
        <v>1170</v>
      </c>
      <c r="F605" s="2373">
        <v>19665.5</v>
      </c>
      <c r="G605" s="2370">
        <v>17403</v>
      </c>
      <c r="H605" s="2574">
        <v>17403</v>
      </c>
      <c r="I605" s="2370">
        <v>16372</v>
      </c>
      <c r="J605" s="2370">
        <v>16372</v>
      </c>
      <c r="K605" s="700" t="s">
        <v>161</v>
      </c>
      <c r="L605" s="664" t="s">
        <v>40</v>
      </c>
      <c r="M605" s="664">
        <v>63</v>
      </c>
      <c r="N605" s="915" t="s">
        <v>162</v>
      </c>
      <c r="O605" s="915" t="s">
        <v>162</v>
      </c>
      <c r="P605" s="29" t="s">
        <v>162</v>
      </c>
      <c r="Q605" s="29" t="s">
        <v>162</v>
      </c>
    </row>
    <row r="606" spans="1:17" ht="59.25" customHeight="1" x14ac:dyDescent="0.25">
      <c r="A606" s="11"/>
      <c r="B606" s="1959"/>
      <c r="C606" s="2589"/>
      <c r="D606" s="2589"/>
      <c r="E606" s="2591"/>
      <c r="F606" s="2373"/>
      <c r="G606" s="2529"/>
      <c r="H606" s="2379"/>
      <c r="I606" s="2529"/>
      <c r="J606" s="2529"/>
      <c r="K606" s="700" t="s">
        <v>163</v>
      </c>
      <c r="L606" s="664" t="s">
        <v>40</v>
      </c>
      <c r="M606" s="664">
        <v>68</v>
      </c>
      <c r="N606" s="915" t="s">
        <v>164</v>
      </c>
      <c r="O606" s="915" t="s">
        <v>164</v>
      </c>
      <c r="P606" s="29" t="s">
        <v>164</v>
      </c>
      <c r="Q606" s="29" t="s">
        <v>164</v>
      </c>
    </row>
    <row r="607" spans="1:17" ht="60" x14ac:dyDescent="0.25">
      <c r="A607" s="11"/>
      <c r="B607" s="53"/>
      <c r="C607" s="793" t="s">
        <v>134</v>
      </c>
      <c r="D607" s="794"/>
      <c r="E607" s="774" t="s">
        <v>1171</v>
      </c>
      <c r="F607" s="843">
        <v>15207.3</v>
      </c>
      <c r="G607" s="843">
        <v>9037.6</v>
      </c>
      <c r="H607" s="838">
        <v>9037.6</v>
      </c>
      <c r="I607" s="843">
        <v>9037.6</v>
      </c>
      <c r="J607" s="843">
        <v>9037.6</v>
      </c>
      <c r="K607" s="35" t="s">
        <v>165</v>
      </c>
      <c r="L607" s="915" t="s">
        <v>35</v>
      </c>
      <c r="M607" s="45">
        <v>15</v>
      </c>
      <c r="N607" s="45">
        <v>20</v>
      </c>
      <c r="O607" s="45">
        <v>30</v>
      </c>
      <c r="P607" s="36">
        <v>30</v>
      </c>
      <c r="Q607" s="36">
        <v>30</v>
      </c>
    </row>
    <row r="608" spans="1:17" ht="45" x14ac:dyDescent="0.25">
      <c r="A608" s="11"/>
      <c r="B608" s="2084"/>
      <c r="C608" s="2592" t="s">
        <v>137</v>
      </c>
      <c r="D608" s="2585"/>
      <c r="E608" s="1838" t="s">
        <v>994</v>
      </c>
      <c r="F608" s="2346">
        <v>26540.1</v>
      </c>
      <c r="G608" s="2370">
        <v>31524.3</v>
      </c>
      <c r="H608" s="2389">
        <f>26540.1+5500</f>
        <v>32040.1</v>
      </c>
      <c r="I608" s="2346">
        <v>30545.200000000001</v>
      </c>
      <c r="J608" s="2346">
        <v>30746</v>
      </c>
      <c r="K608" s="700" t="s">
        <v>166</v>
      </c>
      <c r="L608" s="664" t="s">
        <v>35</v>
      </c>
      <c r="M608" s="54" t="s">
        <v>167</v>
      </c>
      <c r="N608" s="55" t="s">
        <v>167</v>
      </c>
      <c r="O608" s="55" t="s">
        <v>167</v>
      </c>
      <c r="P608" s="56" t="s">
        <v>167</v>
      </c>
      <c r="Q608" s="56" t="s">
        <v>167</v>
      </c>
    </row>
    <row r="609" spans="1:17" ht="60" x14ac:dyDescent="0.25">
      <c r="A609" s="11"/>
      <c r="B609" s="2085"/>
      <c r="C609" s="2593"/>
      <c r="D609" s="2586"/>
      <c r="E609" s="2271"/>
      <c r="F609" s="2347"/>
      <c r="G609" s="2371"/>
      <c r="H609" s="2392"/>
      <c r="I609" s="2347"/>
      <c r="J609" s="2347"/>
      <c r="K609" s="57" t="s">
        <v>168</v>
      </c>
      <c r="L609" s="46" t="s">
        <v>40</v>
      </c>
      <c r="M609" s="46" t="s">
        <v>169</v>
      </c>
      <c r="N609" s="46" t="s">
        <v>169</v>
      </c>
      <c r="O609" s="46">
        <v>17</v>
      </c>
      <c r="P609" s="36">
        <v>15</v>
      </c>
      <c r="Q609" s="36">
        <v>15</v>
      </c>
    </row>
    <row r="610" spans="1:17" ht="135" x14ac:dyDescent="0.25">
      <c r="A610" s="11"/>
      <c r="B610" s="2085"/>
      <c r="C610" s="2593"/>
      <c r="D610" s="2586"/>
      <c r="E610" s="2271"/>
      <c r="F610" s="2347"/>
      <c r="G610" s="2371"/>
      <c r="H610" s="2392"/>
      <c r="I610" s="2347"/>
      <c r="J610" s="2347"/>
      <c r="K610" s="700" t="s">
        <v>1172</v>
      </c>
      <c r="L610" s="664" t="s">
        <v>35</v>
      </c>
      <c r="M610" s="703" t="s">
        <v>169</v>
      </c>
      <c r="N610" s="45" t="s">
        <v>169</v>
      </c>
      <c r="O610" s="45">
        <v>60</v>
      </c>
      <c r="P610" s="42">
        <v>65</v>
      </c>
      <c r="Q610" s="42">
        <v>70</v>
      </c>
    </row>
    <row r="611" spans="1:17" ht="30" x14ac:dyDescent="0.25">
      <c r="A611" s="11"/>
      <c r="B611" s="2085"/>
      <c r="C611" s="2593"/>
      <c r="D611" s="2586"/>
      <c r="E611" s="2271"/>
      <c r="F611" s="2347"/>
      <c r="G611" s="2371"/>
      <c r="H611" s="2392"/>
      <c r="I611" s="2347"/>
      <c r="J611" s="2347"/>
      <c r="K611" s="700" t="s">
        <v>170</v>
      </c>
      <c r="L611" s="664" t="s">
        <v>35</v>
      </c>
      <c r="M611" s="58">
        <v>54</v>
      </c>
      <c r="N611" s="59">
        <v>56</v>
      </c>
      <c r="O611" s="59">
        <v>57</v>
      </c>
      <c r="P611" s="60">
        <v>58</v>
      </c>
      <c r="Q611" s="60">
        <v>59</v>
      </c>
    </row>
    <row r="612" spans="1:17" ht="75" x14ac:dyDescent="0.25">
      <c r="A612" s="11"/>
      <c r="B612" s="2086"/>
      <c r="C612" s="2594"/>
      <c r="D612" s="2587"/>
      <c r="E612" s="1839"/>
      <c r="F612" s="2348"/>
      <c r="G612" s="2529"/>
      <c r="H612" s="2390"/>
      <c r="I612" s="2348"/>
      <c r="J612" s="2348"/>
      <c r="K612" s="700" t="s">
        <v>171</v>
      </c>
      <c r="L612" s="664" t="s">
        <v>40</v>
      </c>
      <c r="M612" s="703" t="s">
        <v>169</v>
      </c>
      <c r="N612" s="45" t="s">
        <v>169</v>
      </c>
      <c r="O612" s="45">
        <v>2</v>
      </c>
      <c r="P612" s="42">
        <v>6</v>
      </c>
      <c r="Q612" s="42">
        <v>10</v>
      </c>
    </row>
    <row r="613" spans="1:17" ht="75" x14ac:dyDescent="0.25">
      <c r="A613" s="11"/>
      <c r="B613" s="2407"/>
      <c r="C613" s="2151" t="s">
        <v>405</v>
      </c>
      <c r="D613" s="1977"/>
      <c r="E613" s="2034" t="s">
        <v>995</v>
      </c>
      <c r="F613" s="2373">
        <v>10711.3</v>
      </c>
      <c r="G613" s="2373">
        <v>16711.3</v>
      </c>
      <c r="H613" s="2408">
        <f>10711.3+6200</f>
        <v>16911.3</v>
      </c>
      <c r="I613" s="2373">
        <f>17496.2-9868.8</f>
        <v>7627.4000000000015</v>
      </c>
      <c r="J613" s="2373">
        <v>7996.2</v>
      </c>
      <c r="K613" s="35" t="s">
        <v>172</v>
      </c>
      <c r="L613" s="915" t="s">
        <v>173</v>
      </c>
      <c r="M613" s="45">
        <v>92</v>
      </c>
      <c r="N613" s="45">
        <v>93</v>
      </c>
      <c r="O613" s="45">
        <v>93</v>
      </c>
      <c r="P613" s="36">
        <v>94</v>
      </c>
      <c r="Q613" s="36">
        <v>94</v>
      </c>
    </row>
    <row r="614" spans="1:17" ht="105" x14ac:dyDescent="0.25">
      <c r="A614" s="11"/>
      <c r="B614" s="2407"/>
      <c r="C614" s="2151"/>
      <c r="D614" s="1977"/>
      <c r="E614" s="1838"/>
      <c r="F614" s="2373"/>
      <c r="G614" s="2373"/>
      <c r="H614" s="2408"/>
      <c r="I614" s="2373"/>
      <c r="J614" s="2373"/>
      <c r="K614" s="35" t="s">
        <v>174</v>
      </c>
      <c r="L614" s="915" t="s">
        <v>173</v>
      </c>
      <c r="M614" s="45">
        <v>33</v>
      </c>
      <c r="N614" s="45">
        <v>35</v>
      </c>
      <c r="O614" s="45">
        <v>35</v>
      </c>
      <c r="P614" s="36">
        <v>36</v>
      </c>
      <c r="Q614" s="36">
        <v>36</v>
      </c>
    </row>
    <row r="615" spans="1:17" ht="85.5" x14ac:dyDescent="0.25">
      <c r="A615" s="11"/>
      <c r="B615" s="2405" t="s">
        <v>601</v>
      </c>
      <c r="C615" s="2397"/>
      <c r="D615" s="2561"/>
      <c r="E615" s="568" t="s">
        <v>1080</v>
      </c>
      <c r="F615" s="2372">
        <f>F617+F620</f>
        <v>6089.9</v>
      </c>
      <c r="G615" s="2600">
        <f>G617+G620</f>
        <v>6089.9</v>
      </c>
      <c r="H615" s="2600">
        <f t="shared" ref="H615:J615" si="72">H617+H620</f>
        <v>2990</v>
      </c>
      <c r="I615" s="2600">
        <f t="shared" si="72"/>
        <v>3090</v>
      </c>
      <c r="J615" s="2600">
        <f t="shared" si="72"/>
        <v>3190</v>
      </c>
      <c r="K615" s="2602" t="s">
        <v>28</v>
      </c>
      <c r="L615" s="2319"/>
      <c r="M615" s="2320"/>
      <c r="N615" s="2320"/>
      <c r="O615" s="2320"/>
      <c r="P615" s="2320"/>
      <c r="Q615" s="2321"/>
    </row>
    <row r="616" spans="1:17" ht="90" x14ac:dyDescent="0.25">
      <c r="A616" s="11"/>
      <c r="B616" s="2406"/>
      <c r="C616" s="2397"/>
      <c r="D616" s="2561"/>
      <c r="E616" s="569" t="s">
        <v>175</v>
      </c>
      <c r="F616" s="2372"/>
      <c r="G616" s="2600"/>
      <c r="H616" s="2600"/>
      <c r="I616" s="2600"/>
      <c r="J616" s="2600"/>
      <c r="K616" s="2603"/>
      <c r="L616" s="2322"/>
      <c r="M616" s="2323"/>
      <c r="N616" s="2323"/>
      <c r="O616" s="2323"/>
      <c r="P616" s="2323"/>
      <c r="Q616" s="2324"/>
    </row>
    <row r="617" spans="1:17" ht="45" x14ac:dyDescent="0.25">
      <c r="A617" s="11"/>
      <c r="B617" s="2438"/>
      <c r="C617" s="2363" t="s">
        <v>5</v>
      </c>
      <c r="D617" s="2397"/>
      <c r="E617" s="2599" t="s">
        <v>997</v>
      </c>
      <c r="F617" s="2408">
        <v>4525.2</v>
      </c>
      <c r="G617" s="2408">
        <v>4525.2</v>
      </c>
      <c r="H617" s="2408">
        <v>2000</v>
      </c>
      <c r="I617" s="2408">
        <v>2000</v>
      </c>
      <c r="J617" s="2408">
        <v>2000</v>
      </c>
      <c r="K617" s="39" t="s">
        <v>176</v>
      </c>
      <c r="L617" s="29" t="s">
        <v>177</v>
      </c>
      <c r="M617" s="42" t="s">
        <v>169</v>
      </c>
      <c r="N617" s="29" t="s">
        <v>178</v>
      </c>
      <c r="O617" s="29" t="s">
        <v>178</v>
      </c>
      <c r="P617" s="29" t="s">
        <v>178</v>
      </c>
      <c r="Q617" s="29" t="s">
        <v>178</v>
      </c>
    </row>
    <row r="618" spans="1:17" ht="105" x14ac:dyDescent="0.25">
      <c r="A618" s="11"/>
      <c r="B618" s="2439"/>
      <c r="C618" s="2363"/>
      <c r="D618" s="2397"/>
      <c r="E618" s="2599"/>
      <c r="F618" s="2408"/>
      <c r="G618" s="2408"/>
      <c r="H618" s="2408"/>
      <c r="I618" s="2408"/>
      <c r="J618" s="2408"/>
      <c r="K618" s="39" t="s">
        <v>179</v>
      </c>
      <c r="L618" s="29" t="s">
        <v>40</v>
      </c>
      <c r="M618" s="42" t="s">
        <v>169</v>
      </c>
      <c r="N618" s="29">
        <v>4</v>
      </c>
      <c r="O618" s="29">
        <v>4</v>
      </c>
      <c r="P618" s="29">
        <v>4</v>
      </c>
      <c r="Q618" s="29">
        <v>4</v>
      </c>
    </row>
    <row r="619" spans="1:17" ht="60" x14ac:dyDescent="0.25">
      <c r="A619" s="11"/>
      <c r="B619" s="2440"/>
      <c r="C619" s="2363"/>
      <c r="D619" s="2397"/>
      <c r="E619" s="2599"/>
      <c r="F619" s="2408"/>
      <c r="G619" s="2408"/>
      <c r="H619" s="2408"/>
      <c r="I619" s="2408"/>
      <c r="J619" s="2408"/>
      <c r="K619" s="39" t="s">
        <v>180</v>
      </c>
      <c r="L619" s="29" t="s">
        <v>177</v>
      </c>
      <c r="M619" s="42" t="s">
        <v>169</v>
      </c>
      <c r="N619" s="42" t="s">
        <v>169</v>
      </c>
      <c r="O619" s="29" t="s">
        <v>178</v>
      </c>
      <c r="P619" s="29" t="s">
        <v>178</v>
      </c>
      <c r="Q619" s="29" t="s">
        <v>178</v>
      </c>
    </row>
    <row r="620" spans="1:17" ht="120" x14ac:dyDescent="0.25">
      <c r="A620" s="11"/>
      <c r="B620" s="61"/>
      <c r="C620" s="800" t="s">
        <v>7</v>
      </c>
      <c r="D620" s="897"/>
      <c r="E620" s="803" t="s">
        <v>996</v>
      </c>
      <c r="F620" s="884">
        <v>1564.7</v>
      </c>
      <c r="G620" s="884">
        <v>1564.7</v>
      </c>
      <c r="H620" s="884">
        <v>990</v>
      </c>
      <c r="I620" s="884">
        <v>1090</v>
      </c>
      <c r="J620" s="884">
        <v>1190</v>
      </c>
      <c r="K620" s="34" t="s">
        <v>181</v>
      </c>
      <c r="L620" s="362" t="s">
        <v>182</v>
      </c>
      <c r="M620" s="501">
        <v>2</v>
      </c>
      <c r="N620" s="501">
        <v>2</v>
      </c>
      <c r="O620" s="501">
        <v>2</v>
      </c>
      <c r="P620" s="501">
        <v>2</v>
      </c>
      <c r="Q620" s="501">
        <v>2</v>
      </c>
    </row>
    <row r="621" spans="1:17" ht="71.25" x14ac:dyDescent="0.25">
      <c r="A621" s="11"/>
      <c r="B621" s="2557">
        <v>59</v>
      </c>
      <c r="C621" s="2397"/>
      <c r="D621" s="2641"/>
      <c r="E621" s="491" t="s">
        <v>998</v>
      </c>
      <c r="F621" s="2378">
        <f>F623</f>
        <v>2815.5</v>
      </c>
      <c r="G621" s="2378">
        <f t="shared" ref="G621:J621" si="73">G623</f>
        <v>3344.9</v>
      </c>
      <c r="H621" s="2378">
        <f t="shared" si="73"/>
        <v>3682.4</v>
      </c>
      <c r="I621" s="2378">
        <f t="shared" si="73"/>
        <v>3782.4</v>
      </c>
      <c r="J621" s="2378">
        <f t="shared" si="73"/>
        <v>3882.4</v>
      </c>
      <c r="K621" s="2602" t="s">
        <v>28</v>
      </c>
      <c r="L621" s="2319"/>
      <c r="M621" s="2320"/>
      <c r="N621" s="2320"/>
      <c r="O621" s="2320"/>
      <c r="P621" s="2320"/>
      <c r="Q621" s="2321"/>
    </row>
    <row r="622" spans="1:17" ht="75" x14ac:dyDescent="0.25">
      <c r="A622" s="11"/>
      <c r="B622" s="2558"/>
      <c r="C622" s="2397"/>
      <c r="D622" s="2642"/>
      <c r="E622" s="570" t="s">
        <v>183</v>
      </c>
      <c r="F622" s="2379"/>
      <c r="G622" s="2379"/>
      <c r="H622" s="2379"/>
      <c r="I622" s="2379"/>
      <c r="J622" s="2379"/>
      <c r="K622" s="2603"/>
      <c r="L622" s="2322"/>
      <c r="M622" s="2323"/>
      <c r="N622" s="2323"/>
      <c r="O622" s="2323"/>
      <c r="P622" s="2323"/>
      <c r="Q622" s="2324"/>
    </row>
    <row r="623" spans="1:17" ht="45" x14ac:dyDescent="0.25">
      <c r="A623" s="11"/>
      <c r="B623" s="62"/>
      <c r="C623" s="892" t="s">
        <v>5</v>
      </c>
      <c r="D623" s="63"/>
      <c r="E623" s="855" t="s">
        <v>999</v>
      </c>
      <c r="F623" s="2370">
        <v>2815.5</v>
      </c>
      <c r="G623" s="2370">
        <v>3344.9</v>
      </c>
      <c r="H623" s="2370">
        <v>3682.4</v>
      </c>
      <c r="I623" s="2370">
        <v>3782.4</v>
      </c>
      <c r="J623" s="2370">
        <v>3882.4</v>
      </c>
      <c r="K623" s="35" t="s">
        <v>184</v>
      </c>
      <c r="L623" s="46" t="s">
        <v>40</v>
      </c>
      <c r="M623" s="915">
        <v>1</v>
      </c>
      <c r="N623" s="915">
        <v>1</v>
      </c>
      <c r="O623" s="915">
        <v>1</v>
      </c>
      <c r="P623" s="915">
        <v>1</v>
      </c>
      <c r="Q623" s="915">
        <v>1</v>
      </c>
    </row>
    <row r="624" spans="1:17" ht="75" x14ac:dyDescent="0.25">
      <c r="A624" s="11"/>
      <c r="B624" s="62"/>
      <c r="C624" s="794" t="s">
        <v>7</v>
      </c>
      <c r="D624" s="63"/>
      <c r="E624" s="855" t="s">
        <v>1000</v>
      </c>
      <c r="F624" s="2371"/>
      <c r="G624" s="2371"/>
      <c r="H624" s="2371"/>
      <c r="I624" s="2371"/>
      <c r="J624" s="2371"/>
      <c r="K624" s="35" t="s">
        <v>185</v>
      </c>
      <c r="L624" s="46" t="s">
        <v>35</v>
      </c>
      <c r="M624" s="915">
        <v>40</v>
      </c>
      <c r="N624" s="915">
        <v>45</v>
      </c>
      <c r="O624" s="915">
        <v>50</v>
      </c>
      <c r="P624" s="46">
        <v>55</v>
      </c>
      <c r="Q624" s="46">
        <v>60</v>
      </c>
    </row>
    <row r="625" spans="1:17" x14ac:dyDescent="0.25">
      <c r="A625" s="11"/>
      <c r="B625" s="769"/>
      <c r="C625" s="835"/>
      <c r="D625" s="906"/>
      <c r="E625" s="797" t="s">
        <v>260</v>
      </c>
      <c r="F625" s="68">
        <v>0</v>
      </c>
      <c r="G625" s="68">
        <f>G626</f>
        <v>106059.8</v>
      </c>
      <c r="H625" s="68">
        <f>H626</f>
        <v>365084.5</v>
      </c>
      <c r="I625" s="68">
        <v>0</v>
      </c>
      <c r="J625" s="68">
        <v>0</v>
      </c>
      <c r="K625" s="701"/>
      <c r="L625" s="698"/>
      <c r="M625" s="770"/>
      <c r="N625" s="770"/>
      <c r="O625" s="770"/>
      <c r="P625" s="106"/>
      <c r="Q625" s="46"/>
    </row>
    <row r="626" spans="1:17" ht="30" x14ac:dyDescent="0.25">
      <c r="A626" s="11"/>
      <c r="B626" s="769"/>
      <c r="C626" s="835" t="s">
        <v>5</v>
      </c>
      <c r="D626" s="906"/>
      <c r="E626" s="692" t="s">
        <v>261</v>
      </c>
      <c r="F626" s="69"/>
      <c r="G626" s="69">
        <v>106059.8</v>
      </c>
      <c r="H626" s="69">
        <v>365084.5</v>
      </c>
      <c r="I626" s="69"/>
      <c r="J626" s="69"/>
      <c r="K626" s="701"/>
      <c r="L626" s="698"/>
      <c r="M626" s="770"/>
      <c r="N626" s="770"/>
      <c r="O626" s="770"/>
      <c r="P626" s="106"/>
      <c r="Q626" s="46"/>
    </row>
    <row r="627" spans="1:17" ht="15" customHeight="1" x14ac:dyDescent="0.25">
      <c r="A627" s="2581" t="s">
        <v>186</v>
      </c>
      <c r="B627" s="2581"/>
      <c r="C627" s="2581"/>
      <c r="D627" s="2581"/>
      <c r="E627" s="2582"/>
      <c r="F627" s="64">
        <f>F621+F615+F599+F582+F569+F557</f>
        <v>253605.59999999998</v>
      </c>
      <c r="G627" s="64">
        <f>G621+G615+G599+G582+G569+G557+G625</f>
        <v>364479.89999999997</v>
      </c>
      <c r="H627" s="64">
        <f>H621+H615+H599+H582+H569+H557+H625</f>
        <v>638220.39999999991</v>
      </c>
      <c r="I627" s="64">
        <f>I621+I615+I599+I582+I569+I557</f>
        <v>259649.8</v>
      </c>
      <c r="J627" s="64">
        <f>J621+J615+J599+J582+J569+J557</f>
        <v>260632.5</v>
      </c>
      <c r="K627" s="65"/>
      <c r="L627" s="66"/>
      <c r="M627" s="67"/>
      <c r="N627" s="67"/>
      <c r="O627" s="67"/>
      <c r="P627" s="107"/>
      <c r="Q627" s="108"/>
    </row>
    <row r="628" spans="1:17" ht="15" customHeight="1" x14ac:dyDescent="0.25">
      <c r="A628" s="751"/>
      <c r="B628" s="2595" t="s">
        <v>1055</v>
      </c>
      <c r="C628" s="2596"/>
      <c r="D628" s="2596"/>
      <c r="E628" s="2596"/>
      <c r="F628" s="2596"/>
      <c r="G628" s="2596"/>
      <c r="H628" s="2596"/>
      <c r="I628" s="2596"/>
      <c r="J628" s="2596"/>
      <c r="K628" s="2596"/>
      <c r="L628" s="2596"/>
      <c r="M628" s="2596"/>
      <c r="N628" s="2596"/>
      <c r="O628" s="2596"/>
      <c r="P628" s="2596"/>
      <c r="Q628" s="2596"/>
    </row>
    <row r="629" spans="1:17" ht="73.5" x14ac:dyDescent="0.25">
      <c r="A629" s="1688"/>
      <c r="B629" s="840" t="s">
        <v>516</v>
      </c>
      <c r="C629" s="613"/>
      <c r="D629" s="613"/>
      <c r="E629" s="152" t="s">
        <v>71</v>
      </c>
      <c r="F629" s="839"/>
      <c r="G629" s="839"/>
      <c r="H629" s="839">
        <f>H630+H631+H633+H634+H636</f>
        <v>32479.899999999998</v>
      </c>
      <c r="I629" s="839"/>
      <c r="J629" s="839"/>
      <c r="K629" s="611"/>
      <c r="L629" s="500"/>
      <c r="M629" s="612"/>
      <c r="N629" s="612"/>
      <c r="O629" s="612"/>
      <c r="P629" s="612"/>
      <c r="Q629" s="612"/>
    </row>
    <row r="630" spans="1:17" x14ac:dyDescent="0.25">
      <c r="A630" s="1688"/>
      <c r="B630" s="613"/>
      <c r="C630" s="773" t="s">
        <v>5</v>
      </c>
      <c r="D630" s="613"/>
      <c r="E630" s="35" t="s">
        <v>6</v>
      </c>
      <c r="F630" s="839"/>
      <c r="G630" s="839"/>
      <c r="H630" s="843">
        <v>3634.6</v>
      </c>
      <c r="I630" s="839"/>
      <c r="J630" s="839"/>
      <c r="K630" s="611"/>
      <c r="L630" s="500"/>
      <c r="M630" s="612"/>
      <c r="N630" s="612"/>
      <c r="O630" s="612"/>
      <c r="P630" s="612"/>
      <c r="Q630" s="612"/>
    </row>
    <row r="631" spans="1:17" ht="15" customHeight="1" x14ac:dyDescent="0.25">
      <c r="A631" s="1688"/>
      <c r="B631" s="2386"/>
      <c r="C631" s="2033" t="s">
        <v>7</v>
      </c>
      <c r="D631" s="2386"/>
      <c r="E631" s="2612" t="s">
        <v>8</v>
      </c>
      <c r="F631" s="2396"/>
      <c r="G631" s="2396"/>
      <c r="H631" s="2373">
        <v>2292.9</v>
      </c>
      <c r="I631" s="2396"/>
      <c r="J631" s="2396"/>
      <c r="K631" s="611"/>
      <c r="L631" s="500"/>
      <c r="M631" s="612"/>
      <c r="N631" s="612"/>
      <c r="O631" s="612"/>
      <c r="P631" s="612"/>
      <c r="Q631" s="612"/>
    </row>
    <row r="632" spans="1:17" ht="15" customHeight="1" x14ac:dyDescent="0.25">
      <c r="A632" s="1688"/>
      <c r="B632" s="2386"/>
      <c r="C632" s="2033"/>
      <c r="D632" s="2386"/>
      <c r="E632" s="2612"/>
      <c r="F632" s="2396"/>
      <c r="G632" s="2396"/>
      <c r="H632" s="2373"/>
      <c r="I632" s="2396"/>
      <c r="J632" s="2396"/>
      <c r="K632" s="611"/>
      <c r="L632" s="500"/>
      <c r="M632" s="612"/>
      <c r="N632" s="612"/>
      <c r="O632" s="612"/>
      <c r="P632" s="612"/>
      <c r="Q632" s="612"/>
    </row>
    <row r="633" spans="1:17" ht="15" customHeight="1" x14ac:dyDescent="0.25">
      <c r="A633" s="1688"/>
      <c r="B633" s="613"/>
      <c r="C633" s="773" t="s">
        <v>9</v>
      </c>
      <c r="D633" s="613"/>
      <c r="E633" s="614" t="s">
        <v>10</v>
      </c>
      <c r="F633" s="839"/>
      <c r="G633" s="839"/>
      <c r="H633" s="843">
        <v>2055.8000000000002</v>
      </c>
      <c r="I633" s="839"/>
      <c r="J633" s="839"/>
      <c r="K633" s="611"/>
      <c r="L633" s="500"/>
      <c r="M633" s="612"/>
      <c r="N633" s="612"/>
      <c r="O633" s="612"/>
      <c r="P633" s="612"/>
      <c r="Q633" s="612"/>
    </row>
    <row r="634" spans="1:17" ht="15" customHeight="1" x14ac:dyDescent="0.25">
      <c r="A634" s="1688"/>
      <c r="B634" s="2386"/>
      <c r="C634" s="2033" t="s">
        <v>11</v>
      </c>
      <c r="D634" s="2386"/>
      <c r="E634" s="2677" t="s">
        <v>12</v>
      </c>
      <c r="F634" s="2396"/>
      <c r="G634" s="2396"/>
      <c r="H634" s="2370">
        <f>1593.5+240.5</f>
        <v>1834</v>
      </c>
      <c r="I634" s="2396"/>
      <c r="J634" s="2396"/>
      <c r="K634" s="611"/>
      <c r="L634" s="500"/>
      <c r="M634" s="612"/>
      <c r="N634" s="612"/>
      <c r="O634" s="612"/>
      <c r="P634" s="612"/>
      <c r="Q634" s="612"/>
    </row>
    <row r="635" spans="1:17" ht="15" customHeight="1" x14ac:dyDescent="0.25">
      <c r="A635" s="1688"/>
      <c r="B635" s="2386"/>
      <c r="C635" s="2033"/>
      <c r="D635" s="2386"/>
      <c r="E635" s="2677"/>
      <c r="F635" s="2396"/>
      <c r="G635" s="2396"/>
      <c r="H635" s="2529"/>
      <c r="I635" s="2396"/>
      <c r="J635" s="2396"/>
      <c r="K635" s="611"/>
      <c r="L635" s="500"/>
      <c r="M635" s="612"/>
      <c r="N635" s="612"/>
      <c r="O635" s="612"/>
      <c r="P635" s="612"/>
      <c r="Q635" s="612"/>
    </row>
    <row r="636" spans="1:17" ht="15" customHeight="1" x14ac:dyDescent="0.25">
      <c r="A636" s="1688"/>
      <c r="B636" s="613"/>
      <c r="C636" s="773" t="s">
        <v>129</v>
      </c>
      <c r="D636" s="613"/>
      <c r="E636" s="912" t="s">
        <v>14</v>
      </c>
      <c r="F636" s="839"/>
      <c r="G636" s="839"/>
      <c r="H636" s="843">
        <v>22662.6</v>
      </c>
      <c r="I636" s="839"/>
      <c r="J636" s="839"/>
      <c r="K636" s="611"/>
      <c r="L636" s="500"/>
      <c r="M636" s="612"/>
      <c r="N636" s="612"/>
      <c r="O636" s="612"/>
      <c r="P636" s="612"/>
      <c r="Q636" s="612"/>
    </row>
    <row r="637" spans="1:17" ht="42.75" x14ac:dyDescent="0.25">
      <c r="A637" s="1688"/>
      <c r="B637" s="613" t="s">
        <v>467</v>
      </c>
      <c r="C637" s="773"/>
      <c r="D637" s="613"/>
      <c r="E637" s="739" t="s">
        <v>1081</v>
      </c>
      <c r="F637" s="654"/>
      <c r="G637" s="655"/>
      <c r="H637" s="655">
        <f>H638+H639</f>
        <v>33533</v>
      </c>
      <c r="I637" s="839"/>
      <c r="J637" s="839"/>
      <c r="K637" s="611"/>
      <c r="L637" s="500"/>
      <c r="M637" s="612"/>
      <c r="N637" s="612"/>
      <c r="O637" s="612"/>
      <c r="P637" s="612"/>
      <c r="Q637" s="612"/>
    </row>
    <row r="638" spans="1:17" ht="60" x14ac:dyDescent="0.25">
      <c r="A638" s="1688"/>
      <c r="B638" s="613"/>
      <c r="C638" s="773" t="s">
        <v>5</v>
      </c>
      <c r="D638" s="613"/>
      <c r="E638" s="718" t="s">
        <v>1082</v>
      </c>
      <c r="F638" s="729"/>
      <c r="G638" s="839"/>
      <c r="H638" s="729">
        <f>14250.1+2927.2</f>
        <v>17177.3</v>
      </c>
      <c r="I638" s="839"/>
      <c r="J638" s="839"/>
      <c r="K638" s="611"/>
      <c r="L638" s="500"/>
      <c r="M638" s="612"/>
      <c r="N638" s="612"/>
      <c r="O638" s="612"/>
      <c r="P638" s="612"/>
      <c r="Q638" s="612"/>
    </row>
    <row r="639" spans="1:17" ht="30" x14ac:dyDescent="0.25">
      <c r="A639" s="1688"/>
      <c r="B639" s="613"/>
      <c r="C639" s="773" t="s">
        <v>7</v>
      </c>
      <c r="D639" s="613"/>
      <c r="E639" s="718" t="s">
        <v>1083</v>
      </c>
      <c r="F639" s="729"/>
      <c r="G639" s="839"/>
      <c r="H639" s="729">
        <f>13862.1+2493.6</f>
        <v>16355.7</v>
      </c>
      <c r="I639" s="839"/>
      <c r="J639" s="839"/>
      <c r="K639" s="611"/>
      <c r="L639" s="500"/>
      <c r="M639" s="612"/>
      <c r="N639" s="612"/>
      <c r="O639" s="612"/>
      <c r="P639" s="612"/>
      <c r="Q639" s="612"/>
    </row>
    <row r="640" spans="1:17" ht="42.75" x14ac:dyDescent="0.25">
      <c r="A640" s="1688"/>
      <c r="B640" s="613" t="s">
        <v>500</v>
      </c>
      <c r="C640" s="773"/>
      <c r="D640" s="613"/>
      <c r="E640" s="739" t="s">
        <v>1084</v>
      </c>
      <c r="F640" s="653"/>
      <c r="G640" s="839"/>
      <c r="H640" s="839">
        <f>H641</f>
        <v>58735.3</v>
      </c>
      <c r="I640" s="839"/>
      <c r="J640" s="839"/>
      <c r="K640" s="611"/>
      <c r="L640" s="500"/>
      <c r="M640" s="612"/>
      <c r="N640" s="612"/>
      <c r="O640" s="612"/>
      <c r="P640" s="612"/>
      <c r="Q640" s="612"/>
    </row>
    <row r="641" spans="1:17" ht="60" x14ac:dyDescent="0.25">
      <c r="A641" s="1688"/>
      <c r="B641" s="613"/>
      <c r="C641" s="773" t="s">
        <v>5</v>
      </c>
      <c r="D641" s="613"/>
      <c r="E641" s="718" t="s">
        <v>1085</v>
      </c>
      <c r="F641" s="653"/>
      <c r="G641" s="839"/>
      <c r="H641" s="730">
        <v>58735.3</v>
      </c>
      <c r="I641" s="839"/>
      <c r="J641" s="839"/>
      <c r="K641" s="611"/>
      <c r="L641" s="500"/>
      <c r="M641" s="612"/>
      <c r="N641" s="612"/>
      <c r="O641" s="612"/>
      <c r="P641" s="612"/>
      <c r="Q641" s="612"/>
    </row>
    <row r="642" spans="1:17" ht="42.75" x14ac:dyDescent="0.25">
      <c r="A642" s="1688"/>
      <c r="B642" s="613" t="s">
        <v>508</v>
      </c>
      <c r="C642" s="773"/>
      <c r="D642" s="613"/>
      <c r="E642" s="740" t="s">
        <v>1086</v>
      </c>
      <c r="F642" s="653"/>
      <c r="G642" s="839"/>
      <c r="H642" s="731">
        <f>H643+H644</f>
        <v>42577.3</v>
      </c>
      <c r="I642" s="839"/>
      <c r="J642" s="839"/>
      <c r="K642" s="611"/>
      <c r="L642" s="500"/>
      <c r="M642" s="612"/>
      <c r="N642" s="612"/>
      <c r="O642" s="612"/>
      <c r="P642" s="612"/>
      <c r="Q642" s="612"/>
    </row>
    <row r="643" spans="1:17" ht="45" x14ac:dyDescent="0.25">
      <c r="A643" s="1688"/>
      <c r="B643" s="613"/>
      <c r="C643" s="773" t="s">
        <v>5</v>
      </c>
      <c r="D643" s="613"/>
      <c r="E643" s="718" t="s">
        <v>1087</v>
      </c>
      <c r="F643" s="653"/>
      <c r="G643" s="839"/>
      <c r="H643" s="730">
        <v>24059.5</v>
      </c>
      <c r="I643" s="839"/>
      <c r="J643" s="839"/>
      <c r="K643" s="611"/>
      <c r="L643" s="500"/>
      <c r="M643" s="612"/>
      <c r="N643" s="612"/>
      <c r="O643" s="612"/>
      <c r="P643" s="612"/>
      <c r="Q643" s="612"/>
    </row>
    <row r="644" spans="1:17" ht="30" x14ac:dyDescent="0.25">
      <c r="A644" s="1688"/>
      <c r="B644" s="613"/>
      <c r="C644" s="773" t="s">
        <v>7</v>
      </c>
      <c r="D644" s="613"/>
      <c r="E644" s="718" t="s">
        <v>1088</v>
      </c>
      <c r="F644" s="653"/>
      <c r="G644" s="839"/>
      <c r="H644" s="730">
        <v>18517.8</v>
      </c>
      <c r="I644" s="839"/>
      <c r="J644" s="839"/>
      <c r="K644" s="611"/>
      <c r="L644" s="500"/>
      <c r="M644" s="612"/>
      <c r="N644" s="612"/>
      <c r="O644" s="612"/>
      <c r="P644" s="612"/>
      <c r="Q644" s="612"/>
    </row>
    <row r="645" spans="1:17" ht="15" customHeight="1" x14ac:dyDescent="0.25">
      <c r="A645" s="883"/>
      <c r="B645" s="2417" t="s">
        <v>186</v>
      </c>
      <c r="C645" s="2417"/>
      <c r="D645" s="2417"/>
      <c r="E645" s="2417"/>
      <c r="F645" s="2418"/>
      <c r="G645" s="64"/>
      <c r="H645" s="64">
        <f>H629+H637+H640+H642</f>
        <v>167325.5</v>
      </c>
      <c r="I645" s="64"/>
      <c r="J645" s="64"/>
      <c r="K645" s="615"/>
      <c r="L645" s="503"/>
      <c r="M645" s="108"/>
      <c r="N645" s="108"/>
      <c r="O645" s="108"/>
      <c r="P645" s="108"/>
      <c r="Q645" s="108"/>
    </row>
    <row r="646" spans="1:17" ht="15.75" thickBot="1" x14ac:dyDescent="0.3">
      <c r="A646" s="1696" t="s">
        <v>820</v>
      </c>
      <c r="B646" s="1697"/>
      <c r="C646" s="1697"/>
      <c r="D646" s="1697"/>
      <c r="E646" s="1697"/>
      <c r="F646" s="1697"/>
      <c r="G646" s="1697"/>
      <c r="H646" s="1697"/>
      <c r="I646" s="1697"/>
      <c r="J646" s="1697"/>
      <c r="K646" s="1697"/>
      <c r="L646" s="1697"/>
      <c r="M646" s="1697"/>
      <c r="N646" s="1697"/>
      <c r="O646" s="1697"/>
      <c r="P646" s="1697"/>
      <c r="Q646" s="2302"/>
    </row>
    <row r="647" spans="1:17" ht="58.5" x14ac:dyDescent="0.25">
      <c r="B647" s="335">
        <v>1</v>
      </c>
      <c r="C647" s="336"/>
      <c r="D647" s="337"/>
      <c r="E647" s="338" t="s">
        <v>840</v>
      </c>
      <c r="F647" s="366">
        <f>F648+F649</f>
        <v>108791</v>
      </c>
      <c r="G647" s="366">
        <f>G648+G649</f>
        <v>114791</v>
      </c>
      <c r="H647" s="366">
        <f>H648+H649</f>
        <v>97720.1</v>
      </c>
      <c r="I647" s="366">
        <f>I648+I649</f>
        <v>118194.8</v>
      </c>
      <c r="J647" s="366">
        <f>J648+J649</f>
        <v>118194.8</v>
      </c>
      <c r="K647" s="339" t="s">
        <v>34</v>
      </c>
      <c r="L647" s="340" t="s">
        <v>35</v>
      </c>
      <c r="M647" s="340"/>
      <c r="N647" s="340"/>
      <c r="O647" s="340"/>
      <c r="P647" s="340"/>
      <c r="Q647" s="340"/>
    </row>
    <row r="648" spans="1:17" ht="45" x14ac:dyDescent="0.25">
      <c r="B648" s="341"/>
      <c r="C648" s="342">
        <v>1</v>
      </c>
      <c r="D648" s="336"/>
      <c r="E648" s="343" t="s">
        <v>1173</v>
      </c>
      <c r="F648" s="364">
        <v>53500</v>
      </c>
      <c r="G648" s="364">
        <v>56500</v>
      </c>
      <c r="H648" s="364">
        <v>50307.1</v>
      </c>
      <c r="I648" s="364">
        <v>56500</v>
      </c>
      <c r="J648" s="364">
        <v>56500</v>
      </c>
      <c r="K648" s="344" t="s">
        <v>835</v>
      </c>
      <c r="L648" s="340" t="s">
        <v>35</v>
      </c>
      <c r="M648" s="329">
        <v>100</v>
      </c>
      <c r="N648" s="329">
        <v>100</v>
      </c>
      <c r="O648" s="329">
        <v>100</v>
      </c>
      <c r="P648" s="329">
        <v>100</v>
      </c>
      <c r="Q648" s="329">
        <v>100</v>
      </c>
    </row>
    <row r="649" spans="1:17" ht="30" x14ac:dyDescent="0.25">
      <c r="B649" s="341"/>
      <c r="C649" s="345">
        <v>6</v>
      </c>
      <c r="D649" s="336"/>
      <c r="E649" s="346" t="s">
        <v>1174</v>
      </c>
      <c r="F649" s="364">
        <v>55291</v>
      </c>
      <c r="G649" s="364">
        <v>58291</v>
      </c>
      <c r="H649" s="364">
        <v>47413</v>
      </c>
      <c r="I649" s="364">
        <f>58291+3403.8</f>
        <v>61694.8</v>
      </c>
      <c r="J649" s="364">
        <f>58291+3403.8</f>
        <v>61694.8</v>
      </c>
      <c r="K649" s="344" t="s">
        <v>821</v>
      </c>
      <c r="L649" s="329" t="s">
        <v>35</v>
      </c>
      <c r="M649" s="329">
        <v>60</v>
      </c>
      <c r="N649" s="329">
        <v>70</v>
      </c>
      <c r="O649" s="329">
        <v>80</v>
      </c>
      <c r="P649" s="329">
        <v>90</v>
      </c>
      <c r="Q649" s="329">
        <v>100</v>
      </c>
    </row>
    <row r="650" spans="1:17" ht="104.25" x14ac:dyDescent="0.25">
      <c r="B650" s="341">
        <v>2</v>
      </c>
      <c r="C650" s="345"/>
      <c r="D650" s="336"/>
      <c r="E650" s="347" t="s">
        <v>1175</v>
      </c>
      <c r="F650" s="359">
        <f>F651+F652+F653+F654</f>
        <v>851206.30000000016</v>
      </c>
      <c r="G650" s="359">
        <f>G651+G652+G653</f>
        <v>1027568.7000000001</v>
      </c>
      <c r="H650" s="359">
        <f>H651+H652+H653+H654</f>
        <v>1054903.6000000001</v>
      </c>
      <c r="I650" s="359">
        <f>I651+I652+I653</f>
        <v>987456.7</v>
      </c>
      <c r="J650" s="359">
        <f>J651+J652+J653</f>
        <v>991829.89999999991</v>
      </c>
      <c r="K650" s="348" t="s">
        <v>836</v>
      </c>
      <c r="L650" s="329" t="s">
        <v>35</v>
      </c>
      <c r="M650" s="329">
        <v>60</v>
      </c>
      <c r="N650" s="329">
        <v>70</v>
      </c>
      <c r="O650" s="329">
        <v>80</v>
      </c>
      <c r="P650" s="329">
        <v>90</v>
      </c>
      <c r="Q650" s="329">
        <v>100</v>
      </c>
    </row>
    <row r="651" spans="1:17" ht="45" x14ac:dyDescent="0.25">
      <c r="B651" s="341"/>
      <c r="C651" s="345">
        <v>1</v>
      </c>
      <c r="D651" s="336"/>
      <c r="E651" s="346" t="s">
        <v>1176</v>
      </c>
      <c r="F651" s="364">
        <f>154014.1+348019.2+54222.8</f>
        <v>556256.10000000009</v>
      </c>
      <c r="G651" s="364">
        <f>156040.1+355019.2+170041.1-50011.1+47764.6</f>
        <v>678853.9</v>
      </c>
      <c r="H651" s="599">
        <f>615535.5+38927</f>
        <v>654462.5</v>
      </c>
      <c r="I651" s="364">
        <f>155014.1+262202.4+170041.1+40948</f>
        <v>628205.6</v>
      </c>
      <c r="J651" s="364">
        <f>155014.1+264454.6+170041.1+43069</f>
        <v>632578.79999999993</v>
      </c>
      <c r="K651" s="344" t="s">
        <v>837</v>
      </c>
      <c r="L651" s="329" t="s">
        <v>35</v>
      </c>
      <c r="M651" s="329">
        <v>80</v>
      </c>
      <c r="N651" s="329">
        <v>70</v>
      </c>
      <c r="O651" s="329">
        <v>60</v>
      </c>
      <c r="P651" s="329">
        <v>50</v>
      </c>
      <c r="Q651" s="329">
        <v>40</v>
      </c>
    </row>
    <row r="652" spans="1:17" ht="30" x14ac:dyDescent="0.25">
      <c r="B652" s="341"/>
      <c r="C652" s="345">
        <v>2</v>
      </c>
      <c r="D652" s="336"/>
      <c r="E652" s="346" t="s">
        <v>833</v>
      </c>
      <c r="F652" s="364">
        <v>86199.3</v>
      </c>
      <c r="G652" s="364">
        <f>88199.3+47764.6</f>
        <v>135963.9</v>
      </c>
      <c r="H652" s="329">
        <v>135299.6</v>
      </c>
      <c r="I652" s="364">
        <f>88199.3+3200+47764.6</f>
        <v>139163.9</v>
      </c>
      <c r="J652" s="364">
        <f>88199.3+3200+47764.6</f>
        <v>139163.9</v>
      </c>
      <c r="K652" s="344" t="s">
        <v>822</v>
      </c>
      <c r="L652" s="329" t="s">
        <v>35</v>
      </c>
      <c r="M652" s="329">
        <v>40</v>
      </c>
      <c r="N652" s="329">
        <v>50</v>
      </c>
      <c r="O652" s="329">
        <v>60</v>
      </c>
      <c r="P652" s="329">
        <v>70</v>
      </c>
      <c r="Q652" s="329">
        <v>80</v>
      </c>
    </row>
    <row r="653" spans="1:17" ht="30" x14ac:dyDescent="0.25">
      <c r="B653" s="341"/>
      <c r="C653" s="349">
        <v>3</v>
      </c>
      <c r="D653" s="336"/>
      <c r="E653" s="346" t="s">
        <v>823</v>
      </c>
      <c r="F653" s="364">
        <v>208750.9</v>
      </c>
      <c r="G653" s="364">
        <v>212750.9</v>
      </c>
      <c r="H653" s="599">
        <f>254064.2+11077.3</f>
        <v>265141.5</v>
      </c>
      <c r="I653" s="364">
        <f>212750.9+4240.1+3096.2</f>
        <v>220087.2</v>
      </c>
      <c r="J653" s="364">
        <f>212750.9+4240.1+3096.2</f>
        <v>220087.2</v>
      </c>
      <c r="K653" s="344" t="s">
        <v>824</v>
      </c>
      <c r="L653" s="329" t="s">
        <v>35</v>
      </c>
      <c r="M653" s="329">
        <v>50</v>
      </c>
      <c r="N653" s="329">
        <v>60</v>
      </c>
      <c r="O653" s="329">
        <v>70</v>
      </c>
      <c r="P653" s="329">
        <v>80</v>
      </c>
      <c r="Q653" s="329">
        <v>90</v>
      </c>
    </row>
    <row r="654" spans="1:17" hidden="1" x14ac:dyDescent="0.25">
      <c r="B654" s="341"/>
      <c r="C654" s="342"/>
      <c r="D654" s="350"/>
      <c r="E654" s="346"/>
      <c r="F654" s="364"/>
      <c r="G654" s="364"/>
      <c r="H654" s="364"/>
      <c r="I654" s="364"/>
      <c r="J654" s="364"/>
      <c r="K654" s="351"/>
      <c r="L654" s="329"/>
      <c r="M654" s="329"/>
      <c r="N654" s="329"/>
      <c r="O654" s="329"/>
      <c r="P654" s="329"/>
      <c r="Q654" s="329"/>
    </row>
    <row r="655" spans="1:17" ht="59.25" x14ac:dyDescent="0.25">
      <c r="B655" s="352" t="s">
        <v>500</v>
      </c>
      <c r="C655" s="353"/>
      <c r="D655" s="353"/>
      <c r="E655" s="354" t="s">
        <v>1001</v>
      </c>
      <c r="F655" s="359">
        <f>SUM(F656:F658)</f>
        <v>84680.799999999988</v>
      </c>
      <c r="G655" s="359">
        <f>SUM(G656:G658)</f>
        <v>85952.799999999988</v>
      </c>
      <c r="H655" s="359">
        <f>SUM(H656:H658)</f>
        <v>85862.900000000009</v>
      </c>
      <c r="I655" s="359">
        <f>SUM(I656:I658)</f>
        <v>86192.799999999988</v>
      </c>
      <c r="J655" s="359">
        <f>SUM(J656:J658)</f>
        <v>86192.799999999988</v>
      </c>
      <c r="K655" s="351" t="s">
        <v>1177</v>
      </c>
      <c r="L655" s="329" t="s">
        <v>35</v>
      </c>
      <c r="M655" s="328"/>
      <c r="N655" s="355"/>
      <c r="O655" s="355"/>
      <c r="P655" s="355"/>
      <c r="Q655" s="355"/>
    </row>
    <row r="656" spans="1:17" ht="30" x14ac:dyDescent="0.25">
      <c r="B656" s="352"/>
      <c r="C656" s="353" t="s">
        <v>5</v>
      </c>
      <c r="D656" s="353"/>
      <c r="E656" s="333" t="s">
        <v>825</v>
      </c>
      <c r="F656" s="368">
        <f>60841+1203.5</f>
        <v>62044.5</v>
      </c>
      <c r="G656" s="364">
        <f>61341+1026</f>
        <v>62367</v>
      </c>
      <c r="H656" s="364">
        <f>60886+240</f>
        <v>61126</v>
      </c>
      <c r="I656" s="364">
        <f>61341+1026+240</f>
        <v>62607</v>
      </c>
      <c r="J656" s="364">
        <f>61341+1026+240</f>
        <v>62607</v>
      </c>
      <c r="K656" s="356" t="s">
        <v>838</v>
      </c>
      <c r="L656" s="329" t="s">
        <v>35</v>
      </c>
      <c r="M656" s="329">
        <v>60</v>
      </c>
      <c r="N656" s="357">
        <v>70</v>
      </c>
      <c r="O656" s="357">
        <v>80</v>
      </c>
      <c r="P656" s="357">
        <v>90</v>
      </c>
      <c r="Q656" s="357">
        <v>100</v>
      </c>
    </row>
    <row r="657" spans="1:17" ht="30" x14ac:dyDescent="0.25">
      <c r="B657" s="352"/>
      <c r="C657" s="353" t="s">
        <v>7</v>
      </c>
      <c r="D657" s="353"/>
      <c r="E657" s="333" t="s">
        <v>1180</v>
      </c>
      <c r="F657" s="368">
        <v>19006.400000000001</v>
      </c>
      <c r="G657" s="364">
        <v>19006.400000000001</v>
      </c>
      <c r="H657" s="364">
        <v>20670.099999999999</v>
      </c>
      <c r="I657" s="364">
        <v>19006.400000000001</v>
      </c>
      <c r="J657" s="364">
        <v>19006.400000000001</v>
      </c>
      <c r="K657" s="356" t="s">
        <v>824</v>
      </c>
      <c r="L657" s="329" t="s">
        <v>35</v>
      </c>
      <c r="M657" s="329">
        <v>50</v>
      </c>
      <c r="N657" s="329">
        <v>60</v>
      </c>
      <c r="O657" s="329">
        <v>70</v>
      </c>
      <c r="P657" s="329">
        <v>80</v>
      </c>
      <c r="Q657" s="329">
        <v>90</v>
      </c>
    </row>
    <row r="658" spans="1:17" ht="30" x14ac:dyDescent="0.25">
      <c r="B658" s="352"/>
      <c r="C658" s="353" t="s">
        <v>9</v>
      </c>
      <c r="D658" s="353"/>
      <c r="E658" s="334" t="s">
        <v>1181</v>
      </c>
      <c r="F658" s="368">
        <v>3629.9</v>
      </c>
      <c r="G658" s="364">
        <f>3829.9+749.5</f>
        <v>4579.3999999999996</v>
      </c>
      <c r="H658" s="364">
        <v>4066.8</v>
      </c>
      <c r="I658" s="364">
        <f>3829.9+749.5</f>
        <v>4579.3999999999996</v>
      </c>
      <c r="J658" s="364">
        <f>3829.9+749.5</f>
        <v>4579.3999999999996</v>
      </c>
      <c r="K658" s="351" t="s">
        <v>822</v>
      </c>
      <c r="L658" s="329" t="s">
        <v>35</v>
      </c>
      <c r="M658" s="329">
        <v>30</v>
      </c>
      <c r="N658" s="357">
        <v>40</v>
      </c>
      <c r="O658" s="357">
        <v>50</v>
      </c>
      <c r="P658" s="357">
        <v>60</v>
      </c>
      <c r="Q658" s="357">
        <v>70</v>
      </c>
    </row>
    <row r="659" spans="1:17" ht="30" x14ac:dyDescent="0.25">
      <c r="B659" s="352" t="s">
        <v>508</v>
      </c>
      <c r="C659" s="353"/>
      <c r="D659" s="353"/>
      <c r="E659" s="354" t="s">
        <v>841</v>
      </c>
      <c r="F659" s="359">
        <f>SUM(F660:F662)</f>
        <v>6006.5999999999995</v>
      </c>
      <c r="G659" s="359">
        <f>SUM(G660:G662)</f>
        <v>6815.7999999999993</v>
      </c>
      <c r="H659" s="359">
        <f>SUM(H660:H662)</f>
        <v>6700.6</v>
      </c>
      <c r="I659" s="359">
        <f>SUM(I660:I662)</f>
        <v>5294.1</v>
      </c>
      <c r="J659" s="359">
        <f>SUM(J660:J662)</f>
        <v>5294.1</v>
      </c>
      <c r="K659" s="351" t="s">
        <v>1178</v>
      </c>
      <c r="L659" s="329" t="s">
        <v>35</v>
      </c>
      <c r="M659" s="328"/>
      <c r="N659" s="355"/>
      <c r="O659" s="355"/>
      <c r="P659" s="355"/>
      <c r="Q659" s="355"/>
    </row>
    <row r="660" spans="1:17" ht="30" x14ac:dyDescent="0.25">
      <c r="B660" s="358"/>
      <c r="C660" s="353" t="s">
        <v>5</v>
      </c>
      <c r="D660" s="353"/>
      <c r="E660" s="333" t="s">
        <v>834</v>
      </c>
      <c r="F660" s="368">
        <f>1203.9+1800</f>
        <v>3003.9</v>
      </c>
      <c r="G660" s="364">
        <f>3550.6+2051.7</f>
        <v>5602.2999999999993</v>
      </c>
      <c r="H660" s="364">
        <f>5550+530</f>
        <v>6080</v>
      </c>
      <c r="I660" s="364">
        <f>3550.6+530</f>
        <v>4080.6</v>
      </c>
      <c r="J660" s="364">
        <f>3550.6+530</f>
        <v>4080.6</v>
      </c>
      <c r="K660" s="356" t="s">
        <v>1179</v>
      </c>
      <c r="L660" s="329" t="s">
        <v>35</v>
      </c>
      <c r="M660" s="329">
        <v>60</v>
      </c>
      <c r="N660" s="357">
        <v>70</v>
      </c>
      <c r="O660" s="357">
        <v>80</v>
      </c>
      <c r="P660" s="357">
        <v>90</v>
      </c>
      <c r="Q660" s="357">
        <v>100</v>
      </c>
    </row>
    <row r="661" spans="1:17" ht="30" x14ac:dyDescent="0.25">
      <c r="B661" s="358"/>
      <c r="C661" s="353" t="s">
        <v>7</v>
      </c>
      <c r="D661" s="353"/>
      <c r="E661" s="333" t="s">
        <v>826</v>
      </c>
      <c r="F661" s="368">
        <v>1108.5</v>
      </c>
      <c r="G661" s="364">
        <f>592.9+26.3</f>
        <v>619.19999999999993</v>
      </c>
      <c r="H661" s="364">
        <v>620.6</v>
      </c>
      <c r="I661" s="364">
        <f>592.9+26.3</f>
        <v>619.19999999999993</v>
      </c>
      <c r="J661" s="364">
        <f>592.9+26.3</f>
        <v>619.19999999999993</v>
      </c>
      <c r="K661" s="356" t="s">
        <v>827</v>
      </c>
      <c r="L661" s="329" t="s">
        <v>35</v>
      </c>
      <c r="M661" s="329">
        <v>50</v>
      </c>
      <c r="N661" s="357">
        <v>60</v>
      </c>
      <c r="O661" s="357">
        <v>70</v>
      </c>
      <c r="P661" s="357">
        <v>80</v>
      </c>
      <c r="Q661" s="357">
        <v>90</v>
      </c>
    </row>
    <row r="662" spans="1:17" ht="30" x14ac:dyDescent="0.25">
      <c r="B662" s="358"/>
      <c r="C662" s="353" t="s">
        <v>9</v>
      </c>
      <c r="D662" s="353"/>
      <c r="E662" s="333" t="s">
        <v>1182</v>
      </c>
      <c r="F662" s="368">
        <v>1894.2</v>
      </c>
      <c r="G662" s="368">
        <v>594.29999999999995</v>
      </c>
      <c r="H662" s="368"/>
      <c r="I662" s="368">
        <v>594.29999999999995</v>
      </c>
      <c r="J662" s="368">
        <v>594.29999999999995</v>
      </c>
      <c r="K662" s="356" t="s">
        <v>828</v>
      </c>
      <c r="L662" s="329" t="s">
        <v>35</v>
      </c>
      <c r="M662" s="329">
        <v>40</v>
      </c>
      <c r="N662" s="357">
        <v>50</v>
      </c>
      <c r="O662" s="357">
        <v>60</v>
      </c>
      <c r="P662" s="357">
        <v>70</v>
      </c>
      <c r="Q662" s="357">
        <v>80</v>
      </c>
    </row>
    <row r="663" spans="1:17" x14ac:dyDescent="0.25">
      <c r="A663" s="1940" t="s">
        <v>186</v>
      </c>
      <c r="B663" s="1940"/>
      <c r="C663" s="1940"/>
      <c r="D663" s="1940"/>
      <c r="E663" s="1940"/>
      <c r="F663" s="735">
        <f>F647+F650+F655+F659</f>
        <v>1050684.7000000002</v>
      </c>
      <c r="G663" s="735">
        <f>G647+G650+G655+G659</f>
        <v>1235128.3000000003</v>
      </c>
      <c r="H663" s="735">
        <f>H647+H650+H655+H659</f>
        <v>1245187.2000000002</v>
      </c>
      <c r="I663" s="735">
        <f>I647+I650+I655+I659</f>
        <v>1197138.4000000001</v>
      </c>
      <c r="J663" s="735">
        <f>J647+J650+J655+J659</f>
        <v>1201511.6000000001</v>
      </c>
      <c r="K663" s="7"/>
      <c r="L663" s="2636"/>
      <c r="M663" s="2636"/>
      <c r="N663" s="2636"/>
      <c r="O663" s="2636"/>
      <c r="P663" s="2636"/>
      <c r="Q663" s="2636"/>
    </row>
    <row r="664" spans="1:17" ht="30" customHeight="1" x14ac:dyDescent="0.25">
      <c r="A664" s="2650" t="s">
        <v>1183</v>
      </c>
      <c r="B664" s="2650"/>
      <c r="C664" s="2650"/>
      <c r="D664" s="2650"/>
      <c r="E664" s="2650"/>
      <c r="F664" s="2650"/>
      <c r="G664" s="2650"/>
      <c r="H664" s="2650"/>
      <c r="I664" s="2650"/>
      <c r="J664" s="2650"/>
      <c r="K664" s="2650"/>
      <c r="L664" s="2651"/>
      <c r="M664" s="2651"/>
      <c r="N664" s="2651"/>
      <c r="O664" s="2651"/>
      <c r="P664" s="2651"/>
      <c r="Q664" s="2651"/>
    </row>
    <row r="665" spans="1:17" ht="15.75" thickBot="1" x14ac:dyDescent="0.3">
      <c r="A665" s="1696" t="s">
        <v>829</v>
      </c>
      <c r="B665" s="1697"/>
      <c r="C665" s="1697"/>
      <c r="D665" s="1697"/>
      <c r="E665" s="1697"/>
      <c r="F665" s="1697"/>
      <c r="G665" s="1697"/>
      <c r="H665" s="1697"/>
      <c r="I665" s="1697"/>
      <c r="J665" s="1697"/>
      <c r="K665" s="1697"/>
      <c r="L665" s="1697"/>
      <c r="M665" s="1697"/>
      <c r="N665" s="1697"/>
      <c r="O665" s="1697"/>
      <c r="P665" s="1697"/>
      <c r="Q665" s="2302"/>
    </row>
    <row r="666" spans="1:17" ht="74.25" x14ac:dyDescent="0.25">
      <c r="A666" s="908">
        <v>32</v>
      </c>
      <c r="B666" s="594">
        <v>1</v>
      </c>
      <c r="C666" s="336"/>
      <c r="D666" s="337"/>
      <c r="E666" s="444" t="s">
        <v>1010</v>
      </c>
      <c r="F666" s="461">
        <f>F667+F668+F669</f>
        <v>204463.6</v>
      </c>
      <c r="G666" s="461">
        <f>G667+G668+G669</f>
        <v>194296.8</v>
      </c>
      <c r="H666" s="461">
        <f>H667+H668+H669</f>
        <v>194296.8</v>
      </c>
      <c r="I666" s="462">
        <f>I667+I668+I669</f>
        <v>194466.2</v>
      </c>
      <c r="J666" s="462">
        <f>J667+J668+J669</f>
        <v>194845.3</v>
      </c>
      <c r="K666" s="339" t="s">
        <v>34</v>
      </c>
      <c r="L666" s="340" t="s">
        <v>35</v>
      </c>
      <c r="M666" s="340"/>
      <c r="N666" s="340"/>
      <c r="O666" s="340"/>
      <c r="P666" s="340"/>
      <c r="Q666" s="340"/>
    </row>
    <row r="667" spans="1:17" ht="75" x14ac:dyDescent="0.25">
      <c r="A667" s="332"/>
      <c r="B667" s="341"/>
      <c r="C667" s="532">
        <v>1</v>
      </c>
      <c r="D667" s="336"/>
      <c r="E667" s="343" t="s">
        <v>830</v>
      </c>
      <c r="F667" s="591">
        <v>98810.7</v>
      </c>
      <c r="G667" s="591">
        <v>89703.9</v>
      </c>
      <c r="H667" s="591">
        <v>86893.2</v>
      </c>
      <c r="I667" s="364">
        <v>85176.9</v>
      </c>
      <c r="J667" s="364">
        <v>90000</v>
      </c>
      <c r="K667" s="445" t="s">
        <v>1184</v>
      </c>
      <c r="L667" s="329" t="s">
        <v>37</v>
      </c>
      <c r="M667" s="446" t="s">
        <v>1011</v>
      </c>
      <c r="N667" s="446" t="s">
        <v>1012</v>
      </c>
      <c r="O667" s="446" t="s">
        <v>1013</v>
      </c>
      <c r="P667" s="446" t="s">
        <v>1014</v>
      </c>
      <c r="Q667" s="446" t="s">
        <v>1015</v>
      </c>
    </row>
    <row r="668" spans="1:17" ht="30" x14ac:dyDescent="0.25">
      <c r="A668" s="332"/>
      <c r="B668" s="341"/>
      <c r="C668" s="504">
        <v>2</v>
      </c>
      <c r="D668" s="336"/>
      <c r="E668" s="346" t="s">
        <v>831</v>
      </c>
      <c r="F668" s="591">
        <v>59529</v>
      </c>
      <c r="G668" s="591">
        <v>58999</v>
      </c>
      <c r="H668" s="591">
        <v>60951.3</v>
      </c>
      <c r="I668" s="364">
        <v>62837.3</v>
      </c>
      <c r="J668" s="364">
        <v>58496.800000000003</v>
      </c>
      <c r="K668" s="344" t="s">
        <v>839</v>
      </c>
      <c r="L668" s="329" t="s">
        <v>35</v>
      </c>
      <c r="M668" s="360">
        <v>17475</v>
      </c>
      <c r="N668" s="360">
        <v>12916</v>
      </c>
      <c r="O668" s="360">
        <v>16200</v>
      </c>
      <c r="P668" s="360">
        <v>16200</v>
      </c>
      <c r="Q668" s="360">
        <v>16200</v>
      </c>
    </row>
    <row r="669" spans="1:17" ht="60" x14ac:dyDescent="0.25">
      <c r="A669" s="332"/>
      <c r="B669" s="341"/>
      <c r="C669" s="593">
        <v>3</v>
      </c>
      <c r="D669" s="350"/>
      <c r="E669" s="572" t="s">
        <v>1186</v>
      </c>
      <c r="F669" s="592">
        <v>46123.9</v>
      </c>
      <c r="G669" s="592">
        <v>45593.9</v>
      </c>
      <c r="H669" s="592">
        <v>46452.3</v>
      </c>
      <c r="I669" s="368">
        <v>46452</v>
      </c>
      <c r="J669" s="368">
        <v>46348.5</v>
      </c>
      <c r="K669" s="348" t="s">
        <v>1185</v>
      </c>
      <c r="L669" s="330" t="s">
        <v>35</v>
      </c>
      <c r="M669" s="573">
        <v>13454</v>
      </c>
      <c r="N669" s="573">
        <v>17908</v>
      </c>
      <c r="O669" s="573">
        <v>16000</v>
      </c>
      <c r="P669" s="573">
        <v>16000</v>
      </c>
      <c r="Q669" s="360">
        <v>16000</v>
      </c>
    </row>
    <row r="670" spans="1:17" x14ac:dyDescent="0.25">
      <c r="A670" s="1940" t="s">
        <v>186</v>
      </c>
      <c r="B670" s="1940"/>
      <c r="C670" s="1940"/>
      <c r="D670" s="1940"/>
      <c r="E670" s="1940"/>
      <c r="F670" s="735">
        <f>F666</f>
        <v>204463.6</v>
      </c>
      <c r="G670" s="735">
        <f>G666</f>
        <v>194296.8</v>
      </c>
      <c r="H670" s="735">
        <f>H666</f>
        <v>194296.8</v>
      </c>
      <c r="I670" s="735">
        <f>I666</f>
        <v>194466.2</v>
      </c>
      <c r="J670" s="735">
        <f>J666</f>
        <v>194845.3</v>
      </c>
      <c r="K670" s="697"/>
      <c r="L670" s="697"/>
      <c r="M670" s="697"/>
      <c r="N670" s="697"/>
      <c r="O670" s="799"/>
      <c r="P670" s="88"/>
      <c r="Q670" s="259"/>
    </row>
    <row r="671" spans="1:17" x14ac:dyDescent="0.25">
      <c r="A671" s="2335" t="s">
        <v>832</v>
      </c>
      <c r="B671" s="2335"/>
      <c r="C671" s="2335"/>
      <c r="D671" s="2335"/>
      <c r="E671" s="2335"/>
      <c r="F671" s="2335"/>
      <c r="G671" s="2335"/>
      <c r="H671" s="2335"/>
      <c r="I671" s="2335"/>
      <c r="J671" s="2335"/>
      <c r="K671" s="2335"/>
      <c r="L671" s="2335"/>
      <c r="M671" s="2335"/>
      <c r="N671" s="2335"/>
      <c r="O671" s="2335"/>
      <c r="P671" s="2335"/>
      <c r="Q671" s="2336"/>
    </row>
    <row r="672" spans="1:17" ht="73.5" x14ac:dyDescent="0.25">
      <c r="A672" s="11"/>
      <c r="B672" s="913">
        <v>1</v>
      </c>
      <c r="C672" s="83"/>
      <c r="D672" s="83"/>
      <c r="E672" s="152" t="s">
        <v>71</v>
      </c>
      <c r="F672" s="850">
        <f>F673+F679</f>
        <v>459791</v>
      </c>
      <c r="G672" s="850">
        <f>G673+G679</f>
        <v>479130</v>
      </c>
      <c r="H672" s="850">
        <f>H673+H679</f>
        <v>507121.7</v>
      </c>
      <c r="I672" s="850">
        <f>I673+I679</f>
        <v>474246.40000000002</v>
      </c>
      <c r="J672" s="850">
        <f>J673+J679</f>
        <v>492455.2</v>
      </c>
      <c r="K672" s="815" t="s">
        <v>188</v>
      </c>
      <c r="L672" s="153" t="s">
        <v>35</v>
      </c>
      <c r="M672" s="154">
        <v>1.3</v>
      </c>
      <c r="N672" s="155">
        <v>1.3</v>
      </c>
      <c r="O672" s="156">
        <v>1.3</v>
      </c>
      <c r="P672" s="155">
        <v>1.3</v>
      </c>
      <c r="Q672" s="155">
        <v>1.3</v>
      </c>
    </row>
    <row r="673" spans="1:17" x14ac:dyDescent="0.25">
      <c r="A673" s="11"/>
      <c r="B673" s="2655"/>
      <c r="C673" s="2615">
        <v>25</v>
      </c>
      <c r="D673" s="2615"/>
      <c r="E673" s="2643" t="s">
        <v>189</v>
      </c>
      <c r="F673" s="2370">
        <v>63969.8</v>
      </c>
      <c r="G673" s="2370">
        <f>63969.8+450+6809.2</f>
        <v>71229</v>
      </c>
      <c r="H673" s="2370">
        <f>49079.2</f>
        <v>49079.199999999997</v>
      </c>
      <c r="I673" s="2370">
        <v>73030.7</v>
      </c>
      <c r="J673" s="2370">
        <v>75799.7</v>
      </c>
      <c r="K673" s="774" t="s">
        <v>36</v>
      </c>
      <c r="L673" s="915" t="s">
        <v>37</v>
      </c>
      <c r="M673" s="154">
        <v>29.8</v>
      </c>
      <c r="N673" s="155" t="s">
        <v>190</v>
      </c>
      <c r="O673" s="155" t="s">
        <v>190</v>
      </c>
      <c r="P673" s="155" t="s">
        <v>190</v>
      </c>
      <c r="Q673" s="155" t="s">
        <v>190</v>
      </c>
    </row>
    <row r="674" spans="1:17" ht="71.25" customHeight="1" x14ac:dyDescent="0.25">
      <c r="A674" s="11"/>
      <c r="B674" s="2656"/>
      <c r="C674" s="2616"/>
      <c r="D674" s="2616"/>
      <c r="E674" s="2644" t="s">
        <v>8</v>
      </c>
      <c r="F674" s="2347">
        <v>4997.3</v>
      </c>
      <c r="G674" s="2347">
        <v>4997.3</v>
      </c>
      <c r="H674" s="2347"/>
      <c r="I674" s="2347"/>
      <c r="J674" s="2347"/>
      <c r="K674" s="774" t="s">
        <v>38</v>
      </c>
      <c r="L674" s="915" t="s">
        <v>35</v>
      </c>
      <c r="M674" s="154">
        <v>70</v>
      </c>
      <c r="N674" s="155">
        <v>80</v>
      </c>
      <c r="O674" s="156">
        <v>80</v>
      </c>
      <c r="P674" s="155">
        <v>80</v>
      </c>
      <c r="Q674" s="155">
        <v>80</v>
      </c>
    </row>
    <row r="675" spans="1:17" ht="114" customHeight="1" x14ac:dyDescent="0.25">
      <c r="A675" s="11"/>
      <c r="B675" s="2656"/>
      <c r="C675" s="2616"/>
      <c r="D675" s="2616"/>
      <c r="E675" s="2644" t="s">
        <v>10</v>
      </c>
      <c r="F675" s="2347">
        <v>3012.8</v>
      </c>
      <c r="G675" s="2347">
        <v>3012.8</v>
      </c>
      <c r="H675" s="2347"/>
      <c r="I675" s="2347"/>
      <c r="J675" s="2347"/>
      <c r="K675" s="10" t="s">
        <v>39</v>
      </c>
      <c r="L675" s="915" t="s">
        <v>35</v>
      </c>
      <c r="M675" s="154">
        <v>56</v>
      </c>
      <c r="N675" s="155" t="s">
        <v>190</v>
      </c>
      <c r="O675" s="155" t="s">
        <v>190</v>
      </c>
      <c r="P675" s="155" t="s">
        <v>190</v>
      </c>
      <c r="Q675" s="155" t="s">
        <v>190</v>
      </c>
    </row>
    <row r="676" spans="1:17" ht="30" x14ac:dyDescent="0.25">
      <c r="A676" s="11"/>
      <c r="B676" s="2656"/>
      <c r="C676" s="2616"/>
      <c r="D676" s="2616"/>
      <c r="E676" s="2644" t="s">
        <v>12</v>
      </c>
      <c r="F676" s="2347">
        <v>2425.1999999999998</v>
      </c>
      <c r="G676" s="2347">
        <v>2425.1999999999998</v>
      </c>
      <c r="H676" s="2347"/>
      <c r="I676" s="2347"/>
      <c r="J676" s="2347"/>
      <c r="K676" s="774" t="s">
        <v>191</v>
      </c>
      <c r="L676" s="915" t="s">
        <v>192</v>
      </c>
      <c r="M676" s="154" t="s">
        <v>193</v>
      </c>
      <c r="N676" s="155" t="s">
        <v>190</v>
      </c>
      <c r="O676" s="155" t="s">
        <v>190</v>
      </c>
      <c r="P676" s="155" t="s">
        <v>190</v>
      </c>
      <c r="Q676" s="155" t="s">
        <v>190</v>
      </c>
    </row>
    <row r="677" spans="1:17" ht="30" x14ac:dyDescent="0.25">
      <c r="A677" s="11"/>
      <c r="B677" s="2656"/>
      <c r="C677" s="2616"/>
      <c r="D677" s="2616"/>
      <c r="E677" s="2644" t="s">
        <v>13</v>
      </c>
      <c r="F677" s="2347">
        <v>2548.4</v>
      </c>
      <c r="G677" s="2347">
        <v>2548.4</v>
      </c>
      <c r="H677" s="2347"/>
      <c r="I677" s="2347"/>
      <c r="J677" s="2347"/>
      <c r="K677" s="774" t="s">
        <v>194</v>
      </c>
      <c r="L677" s="915" t="s">
        <v>40</v>
      </c>
      <c r="M677" s="154">
        <v>128</v>
      </c>
      <c r="N677" s="155" t="s">
        <v>190</v>
      </c>
      <c r="O677" s="155" t="s">
        <v>190</v>
      </c>
      <c r="P677" s="155" t="s">
        <v>190</v>
      </c>
      <c r="Q677" s="155" t="s">
        <v>190</v>
      </c>
    </row>
    <row r="678" spans="1:17" ht="30" x14ac:dyDescent="0.25">
      <c r="A678" s="11"/>
      <c r="B678" s="2657"/>
      <c r="C678" s="2617"/>
      <c r="D678" s="2617"/>
      <c r="E678" s="2645" t="s">
        <v>195</v>
      </c>
      <c r="F678" s="2347">
        <v>2974</v>
      </c>
      <c r="G678" s="2347">
        <v>2974</v>
      </c>
      <c r="H678" s="2347"/>
      <c r="I678" s="2347"/>
      <c r="J678" s="2347"/>
      <c r="K678" s="774" t="s">
        <v>196</v>
      </c>
      <c r="L678" s="915" t="s">
        <v>35</v>
      </c>
      <c r="M678" s="154">
        <v>18</v>
      </c>
      <c r="N678" s="155" t="s">
        <v>190</v>
      </c>
      <c r="O678" s="155" t="s">
        <v>190</v>
      </c>
      <c r="P678" s="155" t="s">
        <v>190</v>
      </c>
      <c r="Q678" s="155" t="s">
        <v>190</v>
      </c>
    </row>
    <row r="679" spans="1:17" ht="45" x14ac:dyDescent="0.25">
      <c r="A679" s="11"/>
      <c r="B679" s="913"/>
      <c r="C679" s="888">
        <v>8</v>
      </c>
      <c r="D679" s="888"/>
      <c r="E679" s="918" t="s">
        <v>197</v>
      </c>
      <c r="F679" s="820">
        <v>395821.2</v>
      </c>
      <c r="G679" s="820">
        <f>396382.9+8432.1+3086</f>
        <v>407901</v>
      </c>
      <c r="H679" s="820">
        <f>451954.3+6088.2</f>
        <v>458042.5</v>
      </c>
      <c r="I679" s="820">
        <v>401215.7</v>
      </c>
      <c r="J679" s="820">
        <v>416655.5</v>
      </c>
      <c r="K679" s="829" t="s">
        <v>198</v>
      </c>
      <c r="L679" s="157" t="s">
        <v>35</v>
      </c>
      <c r="M679" s="154"/>
      <c r="N679" s="154" t="s">
        <v>190</v>
      </c>
      <c r="O679" s="154" t="s">
        <v>190</v>
      </c>
      <c r="P679" s="154" t="s">
        <v>190</v>
      </c>
      <c r="Q679" s="154" t="s">
        <v>190</v>
      </c>
    </row>
    <row r="680" spans="1:17" hidden="1" x14ac:dyDescent="0.25">
      <c r="A680" s="11"/>
      <c r="B680" s="83"/>
      <c r="C680" s="83"/>
      <c r="D680" s="83"/>
      <c r="E680" s="158" t="s">
        <v>199</v>
      </c>
      <c r="F680" s="839">
        <f>F679+F673</f>
        <v>459791</v>
      </c>
      <c r="G680" s="839">
        <f>G679+G673</f>
        <v>479130</v>
      </c>
      <c r="H680" s="839">
        <f>H679+H673</f>
        <v>507121.7</v>
      </c>
      <c r="I680" s="839">
        <f>I679+I673</f>
        <v>474246.40000000002</v>
      </c>
      <c r="J680" s="839">
        <f>J679+J673</f>
        <v>492455.2</v>
      </c>
      <c r="K680" s="158"/>
      <c r="L680" s="159"/>
      <c r="M680" s="154"/>
      <c r="N680" s="155"/>
      <c r="O680" s="156"/>
      <c r="P680" s="155"/>
      <c r="Q680" s="155"/>
    </row>
    <row r="681" spans="1:17" ht="102.75" x14ac:dyDescent="0.25">
      <c r="A681" s="11"/>
      <c r="B681" s="160">
        <v>2</v>
      </c>
      <c r="C681" s="83"/>
      <c r="D681" s="83"/>
      <c r="E681" s="851" t="s">
        <v>1002</v>
      </c>
      <c r="F681" s="850">
        <f>F682+F690+F694+F695+F697+F698+F702+F704</f>
        <v>20541164.799999997</v>
      </c>
      <c r="G681" s="850">
        <f t="shared" ref="G681:J681" si="74">G682+G690+G694+G695+G697+G698+G702+G704</f>
        <v>19968125.699999999</v>
      </c>
      <c r="H681" s="850">
        <f>H682+H690+H694+H695+H697+H698+H704</f>
        <v>26453235.599999998</v>
      </c>
      <c r="I681" s="850">
        <f t="shared" si="74"/>
        <v>20653438.09</v>
      </c>
      <c r="J681" s="850">
        <f t="shared" si="74"/>
        <v>20325074.600000001</v>
      </c>
      <c r="K681" s="817" t="s">
        <v>200</v>
      </c>
      <c r="L681" s="153" t="s">
        <v>35</v>
      </c>
      <c r="M681" s="161">
        <v>100</v>
      </c>
      <c r="N681" s="161">
        <v>100</v>
      </c>
      <c r="O681" s="161">
        <v>100</v>
      </c>
      <c r="P681" s="161">
        <v>100</v>
      </c>
      <c r="Q681" s="161">
        <v>100</v>
      </c>
    </row>
    <row r="682" spans="1:17" x14ac:dyDescent="0.25">
      <c r="A682" s="11"/>
      <c r="B682" s="2349"/>
      <c r="C682" s="2351">
        <v>1</v>
      </c>
      <c r="D682" s="2615"/>
      <c r="E682" s="2333" t="s">
        <v>201</v>
      </c>
      <c r="F682" s="2346">
        <v>2503466.4</v>
      </c>
      <c r="G682" s="2346">
        <f>2504133+255986.2</f>
        <v>2760119.2</v>
      </c>
      <c r="H682" s="2346">
        <f>3482318.4+11723</f>
        <v>3494041.4</v>
      </c>
      <c r="I682" s="2346">
        <v>2716148.5</v>
      </c>
      <c r="J682" s="2346">
        <v>2835968.2</v>
      </c>
      <c r="K682" s="2646" t="s">
        <v>202</v>
      </c>
      <c r="L682" s="2353" t="s">
        <v>203</v>
      </c>
      <c r="M682" s="2653">
        <v>137951</v>
      </c>
      <c r="N682" s="2653">
        <v>106000</v>
      </c>
      <c r="O682" s="2653" t="s">
        <v>204</v>
      </c>
      <c r="P682" s="2653" t="s">
        <v>204</v>
      </c>
      <c r="Q682" s="2653" t="s">
        <v>204</v>
      </c>
    </row>
    <row r="683" spans="1:17" ht="29.25" customHeight="1" x14ac:dyDescent="0.25">
      <c r="A683" s="11"/>
      <c r="B683" s="2374"/>
      <c r="C683" s="2465"/>
      <c r="D683" s="2616"/>
      <c r="E683" s="2443"/>
      <c r="F683" s="2347"/>
      <c r="G683" s="2347"/>
      <c r="H683" s="2347"/>
      <c r="I683" s="2347"/>
      <c r="J683" s="2347"/>
      <c r="K683" s="2647"/>
      <c r="L683" s="2388"/>
      <c r="M683" s="2654"/>
      <c r="N683" s="2654"/>
      <c r="O683" s="2654"/>
      <c r="P683" s="2654"/>
      <c r="Q683" s="2654"/>
    </row>
    <row r="684" spans="1:17" ht="60" x14ac:dyDescent="0.25">
      <c r="A684" s="11"/>
      <c r="B684" s="2374"/>
      <c r="C684" s="2465"/>
      <c r="D684" s="2616"/>
      <c r="E684" s="2443"/>
      <c r="F684" s="2347"/>
      <c r="G684" s="2347"/>
      <c r="H684" s="2347"/>
      <c r="I684" s="2347"/>
      <c r="J684" s="2347"/>
      <c r="K684" s="829" t="s">
        <v>205</v>
      </c>
      <c r="L684" s="153" t="s">
        <v>40</v>
      </c>
      <c r="M684" s="154">
        <v>3053</v>
      </c>
      <c r="N684" s="154">
        <v>3360</v>
      </c>
      <c r="O684" s="154">
        <v>4000</v>
      </c>
      <c r="P684" s="154">
        <v>4000</v>
      </c>
      <c r="Q684" s="154">
        <v>4000</v>
      </c>
    </row>
    <row r="685" spans="1:17" ht="30" x14ac:dyDescent="0.25">
      <c r="A685" s="11"/>
      <c r="B685" s="2374"/>
      <c r="C685" s="2465"/>
      <c r="D685" s="2616"/>
      <c r="E685" s="2443"/>
      <c r="F685" s="2347"/>
      <c r="G685" s="2347"/>
      <c r="H685" s="2347"/>
      <c r="I685" s="2347"/>
      <c r="J685" s="2347"/>
      <c r="K685" s="829" t="s">
        <v>206</v>
      </c>
      <c r="L685" s="153" t="s">
        <v>35</v>
      </c>
      <c r="M685" s="162">
        <v>84.8</v>
      </c>
      <c r="N685" s="162">
        <v>84.8</v>
      </c>
      <c r="O685" s="162">
        <v>84.8</v>
      </c>
      <c r="P685" s="162">
        <v>84.8</v>
      </c>
      <c r="Q685" s="162">
        <v>84.8</v>
      </c>
    </row>
    <row r="686" spans="1:17" ht="30" x14ac:dyDescent="0.25">
      <c r="A686" s="11"/>
      <c r="B686" s="2374"/>
      <c r="C686" s="2465"/>
      <c r="D686" s="2616"/>
      <c r="E686" s="2443"/>
      <c r="F686" s="2107"/>
      <c r="G686" s="2107"/>
      <c r="H686" s="2107"/>
      <c r="I686" s="2107"/>
      <c r="J686" s="2107"/>
      <c r="K686" s="829" t="s">
        <v>207</v>
      </c>
      <c r="L686" s="153" t="s">
        <v>40</v>
      </c>
      <c r="M686" s="163">
        <v>1186</v>
      </c>
      <c r="N686" s="163">
        <v>1296</v>
      </c>
      <c r="O686" s="163">
        <v>1310</v>
      </c>
      <c r="P686" s="163">
        <v>1390</v>
      </c>
      <c r="Q686" s="163">
        <v>1400</v>
      </c>
    </row>
    <row r="687" spans="1:17" ht="30" x14ac:dyDescent="0.25">
      <c r="A687" s="11"/>
      <c r="B687" s="2374"/>
      <c r="C687" s="2465"/>
      <c r="D687" s="2616"/>
      <c r="E687" s="2443"/>
      <c r="F687" s="2107"/>
      <c r="G687" s="2107"/>
      <c r="H687" s="2107"/>
      <c r="I687" s="2107"/>
      <c r="J687" s="2107"/>
      <c r="K687" s="817" t="s">
        <v>208</v>
      </c>
      <c r="L687" s="153" t="s">
        <v>35</v>
      </c>
      <c r="M687" s="154">
        <v>89.8</v>
      </c>
      <c r="N687" s="154">
        <v>90</v>
      </c>
      <c r="O687" s="154">
        <v>95</v>
      </c>
      <c r="P687" s="154">
        <v>100</v>
      </c>
      <c r="Q687" s="154">
        <v>100</v>
      </c>
    </row>
    <row r="688" spans="1:17" x14ac:dyDescent="0.25">
      <c r="A688" s="11"/>
      <c r="B688" s="2374"/>
      <c r="C688" s="2465"/>
      <c r="D688" s="2616"/>
      <c r="E688" s="2443"/>
      <c r="F688" s="2107"/>
      <c r="G688" s="2107"/>
      <c r="H688" s="2107"/>
      <c r="I688" s="2107"/>
      <c r="J688" s="2107"/>
      <c r="K688" s="2646" t="s">
        <v>209</v>
      </c>
      <c r="L688" s="2353" t="s">
        <v>203</v>
      </c>
      <c r="M688" s="2353">
        <v>3546</v>
      </c>
      <c r="N688" s="2353">
        <v>175</v>
      </c>
      <c r="O688" s="2353">
        <v>175</v>
      </c>
      <c r="P688" s="2353">
        <v>175</v>
      </c>
      <c r="Q688" s="2353">
        <v>175</v>
      </c>
    </row>
    <row r="689" spans="1:17" x14ac:dyDescent="0.25">
      <c r="A689" s="11"/>
      <c r="B689" s="2350"/>
      <c r="C689" s="2352"/>
      <c r="D689" s="2617"/>
      <c r="E689" s="2334"/>
      <c r="F689" s="2289"/>
      <c r="G689" s="2289"/>
      <c r="H689" s="2289"/>
      <c r="I689" s="2289"/>
      <c r="J689" s="2289"/>
      <c r="K689" s="2647"/>
      <c r="L689" s="2388"/>
      <c r="M689" s="2388"/>
      <c r="N689" s="2388"/>
      <c r="O689" s="2388"/>
      <c r="P689" s="2388"/>
      <c r="Q689" s="2388"/>
    </row>
    <row r="690" spans="1:17" x14ac:dyDescent="0.25">
      <c r="A690" s="11"/>
      <c r="B690" s="2349"/>
      <c r="C690" s="2351">
        <v>2</v>
      </c>
      <c r="D690" s="2615"/>
      <c r="E690" s="2333" t="s">
        <v>1187</v>
      </c>
      <c r="F690" s="2346"/>
      <c r="G690" s="2346"/>
      <c r="H690" s="2346"/>
      <c r="I690" s="2346">
        <f>H690*1%+H690</f>
        <v>0</v>
      </c>
      <c r="J690" s="2346">
        <f>I690*1%+I690</f>
        <v>0</v>
      </c>
      <c r="K690" s="2333" t="s">
        <v>210</v>
      </c>
      <c r="L690" s="2333" t="s">
        <v>116</v>
      </c>
      <c r="M690" s="2333">
        <v>130</v>
      </c>
      <c r="N690" s="2333">
        <v>140</v>
      </c>
      <c r="O690" s="2333" t="s">
        <v>211</v>
      </c>
      <c r="P690" s="2333" t="s">
        <v>190</v>
      </c>
      <c r="Q690" s="2333" t="s">
        <v>190</v>
      </c>
    </row>
    <row r="691" spans="1:17" ht="15" customHeight="1" x14ac:dyDescent="0.25">
      <c r="A691" s="11"/>
      <c r="B691" s="2374"/>
      <c r="C691" s="2465"/>
      <c r="D691" s="2616"/>
      <c r="E691" s="2443"/>
      <c r="F691" s="2347"/>
      <c r="G691" s="2347"/>
      <c r="H691" s="2347"/>
      <c r="I691" s="2347"/>
      <c r="J691" s="2347"/>
      <c r="K691" s="2443"/>
      <c r="L691" s="2443"/>
      <c r="M691" s="2648"/>
      <c r="N691" s="2648"/>
      <c r="O691" s="2648"/>
      <c r="P691" s="2648"/>
      <c r="Q691" s="2648"/>
    </row>
    <row r="692" spans="1:17" x14ac:dyDescent="0.25">
      <c r="A692" s="11"/>
      <c r="B692" s="2374"/>
      <c r="C692" s="2465"/>
      <c r="D692" s="2616"/>
      <c r="E692" s="2443"/>
      <c r="F692" s="2107"/>
      <c r="G692" s="2107"/>
      <c r="H692" s="2107"/>
      <c r="I692" s="2107"/>
      <c r="J692" s="2107"/>
      <c r="K692" s="2334"/>
      <c r="L692" s="2334" t="s">
        <v>40</v>
      </c>
      <c r="M692" s="2649">
        <v>130</v>
      </c>
      <c r="N692" s="2649">
        <v>140</v>
      </c>
      <c r="O692" s="2649" t="s">
        <v>190</v>
      </c>
      <c r="P692" s="2649" t="s">
        <v>190</v>
      </c>
      <c r="Q692" s="2649" t="s">
        <v>190</v>
      </c>
    </row>
    <row r="693" spans="1:17" x14ac:dyDescent="0.25">
      <c r="A693" s="11"/>
      <c r="B693" s="2350"/>
      <c r="C693" s="2352"/>
      <c r="D693" s="2617"/>
      <c r="E693" s="2334"/>
      <c r="F693" s="2289"/>
      <c r="G693" s="2289"/>
      <c r="H693" s="2289"/>
      <c r="I693" s="2289"/>
      <c r="J693" s="2289"/>
      <c r="K693" s="817" t="s">
        <v>212</v>
      </c>
      <c r="L693" s="164"/>
      <c r="M693" s="154">
        <v>24</v>
      </c>
      <c r="N693" s="154">
        <v>26</v>
      </c>
      <c r="O693" s="165" t="s">
        <v>190</v>
      </c>
      <c r="P693" s="154" t="s">
        <v>190</v>
      </c>
      <c r="Q693" s="154" t="s">
        <v>190</v>
      </c>
    </row>
    <row r="694" spans="1:17" ht="45" x14ac:dyDescent="0.25">
      <c r="A694" s="11"/>
      <c r="B694" s="160"/>
      <c r="C694" s="828">
        <v>3</v>
      </c>
      <c r="D694" s="166"/>
      <c r="E694" s="167" t="s">
        <v>213</v>
      </c>
      <c r="F694" s="850"/>
      <c r="G694" s="850"/>
      <c r="H694" s="850"/>
      <c r="I694" s="850"/>
      <c r="J694" s="850"/>
      <c r="K694" s="817" t="s">
        <v>214</v>
      </c>
      <c r="L694" s="153" t="s">
        <v>35</v>
      </c>
      <c r="M694" s="154" t="s">
        <v>215</v>
      </c>
      <c r="N694" s="154" t="s">
        <v>215</v>
      </c>
      <c r="O694" s="154" t="s">
        <v>215</v>
      </c>
      <c r="P694" s="154" t="s">
        <v>215</v>
      </c>
      <c r="Q694" s="154" t="s">
        <v>215</v>
      </c>
    </row>
    <row r="695" spans="1:17" x14ac:dyDescent="0.25">
      <c r="A695" s="11"/>
      <c r="B695" s="2349"/>
      <c r="C695" s="2351">
        <v>4</v>
      </c>
      <c r="D695" s="2351"/>
      <c r="E695" s="2333" t="s">
        <v>216</v>
      </c>
      <c r="F695" s="2346">
        <v>16852647.699999999</v>
      </c>
      <c r="G695" s="2346">
        <v>16854340.5</v>
      </c>
      <c r="H695" s="2346">
        <f>22216135.8+110958.4</f>
        <v>22327094.199999999</v>
      </c>
      <c r="I695" s="2346">
        <f>16883986.8+1053302.79</f>
        <v>17937289.59</v>
      </c>
      <c r="J695" s="2346">
        <f>17313119.6+175986.8</f>
        <v>17489106.400000002</v>
      </c>
      <c r="K695" s="2333" t="s">
        <v>217</v>
      </c>
      <c r="L695" s="2333" t="s">
        <v>35</v>
      </c>
      <c r="M695" s="2333">
        <v>95</v>
      </c>
      <c r="N695" s="2333">
        <v>95</v>
      </c>
      <c r="O695" s="2333">
        <v>95</v>
      </c>
      <c r="P695" s="2333">
        <v>95</v>
      </c>
      <c r="Q695" s="2333">
        <v>95</v>
      </c>
    </row>
    <row r="696" spans="1:17" ht="36" customHeight="1" x14ac:dyDescent="0.25">
      <c r="A696" s="11"/>
      <c r="B696" s="2350"/>
      <c r="C696" s="2352"/>
      <c r="D696" s="2352"/>
      <c r="E696" s="2334"/>
      <c r="F696" s="2348"/>
      <c r="G696" s="2348"/>
      <c r="H696" s="2348"/>
      <c r="I696" s="2348"/>
      <c r="J696" s="2348"/>
      <c r="K696" s="1839"/>
      <c r="L696" s="1839"/>
      <c r="M696" s="1839"/>
      <c r="N696" s="1839"/>
      <c r="O696" s="1839"/>
      <c r="P696" s="1839"/>
      <c r="Q696" s="1839"/>
    </row>
    <row r="697" spans="1:17" ht="60" x14ac:dyDescent="0.25">
      <c r="A697" s="11"/>
      <c r="B697" s="160"/>
      <c r="C697" s="828">
        <v>5</v>
      </c>
      <c r="D697" s="166"/>
      <c r="E697" s="829" t="s">
        <v>218</v>
      </c>
      <c r="F697" s="820"/>
      <c r="G697" s="820"/>
      <c r="H697" s="820"/>
      <c r="I697" s="820">
        <f>H697*1%+H697</f>
        <v>0</v>
      </c>
      <c r="J697" s="820">
        <f>I697*1%+I697</f>
        <v>0</v>
      </c>
      <c r="K697" s="817" t="s">
        <v>219</v>
      </c>
      <c r="L697" s="153" t="s">
        <v>116</v>
      </c>
      <c r="M697" s="168">
        <v>4</v>
      </c>
      <c r="N697" s="168">
        <v>2</v>
      </c>
      <c r="O697" s="169">
        <v>2</v>
      </c>
      <c r="P697" s="168">
        <v>1</v>
      </c>
      <c r="Q697" s="168"/>
    </row>
    <row r="698" spans="1:17" x14ac:dyDescent="0.25">
      <c r="A698" s="11"/>
      <c r="B698" s="2380"/>
      <c r="C698" s="2383">
        <v>6</v>
      </c>
      <c r="D698" s="2383"/>
      <c r="E698" s="2333" t="s">
        <v>220</v>
      </c>
      <c r="F698" s="2346">
        <v>1170408.3999999999</v>
      </c>
      <c r="G698" s="2346">
        <v>353666</v>
      </c>
      <c r="H698" s="2346">
        <v>632100</v>
      </c>
      <c r="I698" s="2346"/>
      <c r="J698" s="2346">
        <f>I698*1%+I698</f>
        <v>0</v>
      </c>
      <c r="K698" s="2353" t="s">
        <v>221</v>
      </c>
      <c r="L698" s="2353" t="s">
        <v>203</v>
      </c>
      <c r="M698" s="2367">
        <v>1000</v>
      </c>
      <c r="N698" s="2367">
        <v>4000</v>
      </c>
      <c r="O698" s="2367">
        <v>5000</v>
      </c>
      <c r="P698" s="2367" t="s">
        <v>222</v>
      </c>
      <c r="Q698" s="2367" t="s">
        <v>222</v>
      </c>
    </row>
    <row r="699" spans="1:17" ht="15" customHeight="1" x14ac:dyDescent="0.25">
      <c r="A699" s="11"/>
      <c r="B699" s="2381"/>
      <c r="C699" s="2384"/>
      <c r="D699" s="2384"/>
      <c r="E699" s="2443"/>
      <c r="F699" s="2347"/>
      <c r="G699" s="2347"/>
      <c r="H699" s="2347"/>
      <c r="I699" s="2347"/>
      <c r="J699" s="2347"/>
      <c r="K699" s="2387"/>
      <c r="L699" s="2387"/>
      <c r="M699" s="2368"/>
      <c r="N699" s="2368"/>
      <c r="O699" s="2368"/>
      <c r="P699" s="2368"/>
      <c r="Q699" s="2368"/>
    </row>
    <row r="700" spans="1:17" x14ac:dyDescent="0.25">
      <c r="A700" s="11"/>
      <c r="B700" s="2381"/>
      <c r="C700" s="2384"/>
      <c r="D700" s="2384"/>
      <c r="E700" s="2443"/>
      <c r="F700" s="2347"/>
      <c r="G700" s="2347"/>
      <c r="H700" s="2347"/>
      <c r="I700" s="2347"/>
      <c r="J700" s="2347"/>
      <c r="K700" s="2387"/>
      <c r="L700" s="2387"/>
      <c r="M700" s="2368"/>
      <c r="N700" s="2368"/>
      <c r="O700" s="2368"/>
      <c r="P700" s="2368"/>
      <c r="Q700" s="2368"/>
    </row>
    <row r="701" spans="1:17" x14ac:dyDescent="0.25">
      <c r="A701" s="11"/>
      <c r="B701" s="2382"/>
      <c r="C701" s="2385"/>
      <c r="D701" s="2385"/>
      <c r="E701" s="2334"/>
      <c r="F701" s="2348"/>
      <c r="G701" s="2348"/>
      <c r="H701" s="2348"/>
      <c r="I701" s="2348"/>
      <c r="J701" s="2348"/>
      <c r="K701" s="2388"/>
      <c r="L701" s="2388"/>
      <c r="M701" s="2369"/>
      <c r="N701" s="2369"/>
      <c r="O701" s="2369"/>
      <c r="P701" s="2369"/>
      <c r="Q701" s="2369"/>
    </row>
    <row r="702" spans="1:17" x14ac:dyDescent="0.25">
      <c r="A702" s="11"/>
      <c r="B702" s="2349"/>
      <c r="C702" s="2351">
        <v>7</v>
      </c>
      <c r="D702" s="2351"/>
      <c r="E702" s="2333" t="s">
        <v>223</v>
      </c>
      <c r="F702" s="2106"/>
      <c r="G702" s="324"/>
      <c r="H702" s="2332" t="s">
        <v>224</v>
      </c>
      <c r="I702" s="2409"/>
      <c r="J702" s="2409"/>
      <c r="K702" s="2613" t="s">
        <v>1188</v>
      </c>
      <c r="L702" s="2353" t="s">
        <v>116</v>
      </c>
      <c r="M702" s="2375">
        <v>30</v>
      </c>
      <c r="N702" s="2441" t="s">
        <v>211</v>
      </c>
      <c r="O702" s="2441" t="s">
        <v>211</v>
      </c>
      <c r="P702" s="2441" t="s">
        <v>211</v>
      </c>
      <c r="Q702" s="2441" t="s">
        <v>211</v>
      </c>
    </row>
    <row r="703" spans="1:17" ht="48.75" customHeight="1" x14ac:dyDescent="0.25">
      <c r="A703" s="11"/>
      <c r="B703" s="2350"/>
      <c r="C703" s="2352"/>
      <c r="D703" s="2352"/>
      <c r="E703" s="2334"/>
      <c r="F703" s="1950"/>
      <c r="G703" s="324"/>
      <c r="H703" s="2409"/>
      <c r="I703" s="2409"/>
      <c r="J703" s="2409"/>
      <c r="K703" s="2591"/>
      <c r="L703" s="1976"/>
      <c r="M703" s="2614"/>
      <c r="N703" s="2652"/>
      <c r="O703" s="2652"/>
      <c r="P703" s="2652"/>
      <c r="Q703" s="2652"/>
    </row>
    <row r="704" spans="1:17" ht="75" x14ac:dyDescent="0.25">
      <c r="A704" s="11"/>
      <c r="B704" s="177"/>
      <c r="C704" s="828">
        <v>8</v>
      </c>
      <c r="D704" s="166"/>
      <c r="E704" s="817" t="s">
        <v>225</v>
      </c>
      <c r="F704" s="843">
        <v>14642.3</v>
      </c>
      <c r="G704" s="843"/>
      <c r="H704" s="843"/>
      <c r="I704" s="843"/>
      <c r="J704" s="843"/>
      <c r="K704" s="817" t="s">
        <v>644</v>
      </c>
      <c r="L704" s="153" t="s">
        <v>35</v>
      </c>
      <c r="M704" s="154">
        <v>96.5</v>
      </c>
      <c r="N704" s="154">
        <v>96.5</v>
      </c>
      <c r="O704" s="163" t="s">
        <v>190</v>
      </c>
      <c r="P704" s="163" t="s">
        <v>190</v>
      </c>
      <c r="Q704" s="154" t="s">
        <v>190</v>
      </c>
    </row>
    <row r="705" spans="1:17" hidden="1" x14ac:dyDescent="0.25">
      <c r="A705" s="11"/>
      <c r="B705" s="177"/>
      <c r="C705" s="166"/>
      <c r="D705" s="166"/>
      <c r="E705" s="158" t="s">
        <v>199</v>
      </c>
      <c r="F705" s="839">
        <f>F682+F690+F695+F697+F698+F704</f>
        <v>20541164.799999997</v>
      </c>
      <c r="G705" s="839">
        <f>G695+G698+G704+G697+G694+G682+G690</f>
        <v>19968125.699999999</v>
      </c>
      <c r="H705" s="839">
        <f>H695+H698+H704+H697+H694+H682+H690</f>
        <v>26453235.599999998</v>
      </c>
      <c r="I705" s="839">
        <f>I682+I690+I695+I697+I698</f>
        <v>20653438.09</v>
      </c>
      <c r="J705" s="839">
        <f>J682+J690+J695+J697+J698</f>
        <v>20325074.600000001</v>
      </c>
      <c r="K705" s="158"/>
      <c r="L705" s="157"/>
      <c r="M705" s="161"/>
      <c r="N705" s="155"/>
      <c r="O705" s="156"/>
      <c r="P705" s="155"/>
      <c r="Q705" s="155"/>
    </row>
    <row r="706" spans="1:17" ht="30" x14ac:dyDescent="0.25">
      <c r="A706" s="11"/>
      <c r="B706" s="2583">
        <v>3</v>
      </c>
      <c r="C706" s="2502">
        <v>1</v>
      </c>
      <c r="D706" s="2502"/>
      <c r="E706" s="2331" t="s">
        <v>1004</v>
      </c>
      <c r="F706" s="2377">
        <f>F708+F710+F711+F712+F713</f>
        <v>2186629.9</v>
      </c>
      <c r="G706" s="2377">
        <f t="shared" ref="G706:J706" si="75">G708+G710+G711+G712+G713</f>
        <v>1724403.7</v>
      </c>
      <c r="H706" s="2377">
        <f t="shared" si="75"/>
        <v>1944688.8</v>
      </c>
      <c r="I706" s="2377">
        <f t="shared" si="75"/>
        <v>1657570.2999999998</v>
      </c>
      <c r="J706" s="2377">
        <f t="shared" si="75"/>
        <v>1715156.5</v>
      </c>
      <c r="K706" s="918" t="s">
        <v>226</v>
      </c>
      <c r="L706" s="153" t="s">
        <v>35</v>
      </c>
      <c r="M706" s="153">
        <v>5</v>
      </c>
      <c r="N706" s="153">
        <v>15</v>
      </c>
      <c r="O706" s="153">
        <v>30</v>
      </c>
      <c r="P706" s="153">
        <v>50</v>
      </c>
      <c r="Q706" s="153">
        <v>50</v>
      </c>
    </row>
    <row r="707" spans="1:17" ht="60" x14ac:dyDescent="0.25">
      <c r="A707" s="11"/>
      <c r="B707" s="2583"/>
      <c r="C707" s="2502"/>
      <c r="D707" s="2502"/>
      <c r="E707" s="2331"/>
      <c r="F707" s="2377"/>
      <c r="G707" s="2377"/>
      <c r="H707" s="2377"/>
      <c r="I707" s="2377"/>
      <c r="J707" s="2377"/>
      <c r="K707" s="817" t="s">
        <v>227</v>
      </c>
      <c r="L707" s="153" t="s">
        <v>35</v>
      </c>
      <c r="M707" s="161">
        <v>60</v>
      </c>
      <c r="N707" s="161">
        <v>61</v>
      </c>
      <c r="O707" s="170">
        <v>62</v>
      </c>
      <c r="P707" s="161">
        <v>63</v>
      </c>
      <c r="Q707" s="270">
        <v>65</v>
      </c>
    </row>
    <row r="708" spans="1:17" ht="135" x14ac:dyDescent="0.25">
      <c r="A708" s="11"/>
      <c r="B708" s="2583"/>
      <c r="C708" s="2502">
        <v>2</v>
      </c>
      <c r="D708" s="2502"/>
      <c r="E708" s="2584" t="s">
        <v>228</v>
      </c>
      <c r="F708" s="1897">
        <v>1230510.2</v>
      </c>
      <c r="G708" s="1897">
        <v>1234100.2</v>
      </c>
      <c r="H708" s="1897">
        <f>1255830.3+170450</f>
        <v>1426280.3</v>
      </c>
      <c r="I708" s="1897">
        <v>1216588.3999999999</v>
      </c>
      <c r="J708" s="1897">
        <v>1264420.3</v>
      </c>
      <c r="K708" s="817" t="s">
        <v>229</v>
      </c>
      <c r="L708" s="153" t="s">
        <v>230</v>
      </c>
      <c r="M708" s="171">
        <v>20</v>
      </c>
      <c r="N708" s="171">
        <v>40</v>
      </c>
      <c r="O708" s="171">
        <v>50</v>
      </c>
      <c r="P708" s="171">
        <v>60</v>
      </c>
      <c r="Q708" s="171">
        <v>60</v>
      </c>
    </row>
    <row r="709" spans="1:17" ht="60" x14ac:dyDescent="0.25">
      <c r="A709" s="11"/>
      <c r="B709" s="2583"/>
      <c r="C709" s="2502"/>
      <c r="D709" s="2502"/>
      <c r="E709" s="2584"/>
      <c r="F709" s="2409"/>
      <c r="G709" s="2409"/>
      <c r="H709" s="2409"/>
      <c r="I709" s="2409"/>
      <c r="J709" s="2409"/>
      <c r="K709" s="817" t="s">
        <v>231</v>
      </c>
      <c r="L709" s="827" t="s">
        <v>40</v>
      </c>
      <c r="M709" s="172">
        <v>10</v>
      </c>
      <c r="N709" s="173">
        <v>20</v>
      </c>
      <c r="O709" s="173">
        <v>25</v>
      </c>
      <c r="P709" s="173">
        <v>30</v>
      </c>
      <c r="Q709" s="173">
        <v>35</v>
      </c>
    </row>
    <row r="710" spans="1:17" ht="75" x14ac:dyDescent="0.25">
      <c r="A710" s="11"/>
      <c r="B710" s="856"/>
      <c r="C710" s="857"/>
      <c r="D710" s="857"/>
      <c r="E710" s="855" t="s">
        <v>232</v>
      </c>
      <c r="F710" s="319">
        <v>405936.2</v>
      </c>
      <c r="G710" s="319">
        <v>35010.699999999997</v>
      </c>
      <c r="H710" s="319"/>
      <c r="I710" s="319"/>
      <c r="J710" s="319">
        <f t="shared" ref="J710:J711" si="76">I710*1%+I710</f>
        <v>0</v>
      </c>
      <c r="K710" s="817" t="s">
        <v>233</v>
      </c>
      <c r="L710" s="153" t="s">
        <v>234</v>
      </c>
      <c r="M710" s="171">
        <v>6500</v>
      </c>
      <c r="N710" s="171">
        <v>6500</v>
      </c>
      <c r="O710" s="171">
        <v>6500</v>
      </c>
      <c r="P710" s="171">
        <v>6500</v>
      </c>
      <c r="Q710" s="171">
        <v>6500</v>
      </c>
    </row>
    <row r="711" spans="1:17" ht="60" x14ac:dyDescent="0.25">
      <c r="A711" s="11"/>
      <c r="B711" s="856"/>
      <c r="C711" s="857"/>
      <c r="D711" s="857"/>
      <c r="E711" s="855" t="s">
        <v>235</v>
      </c>
      <c r="F711" s="319">
        <v>123817.8</v>
      </c>
      <c r="G711" s="319">
        <v>10740</v>
      </c>
      <c r="H711" s="319"/>
      <c r="I711" s="319"/>
      <c r="J711" s="319">
        <f t="shared" si="76"/>
        <v>0</v>
      </c>
      <c r="K711" s="35" t="s">
        <v>236</v>
      </c>
      <c r="L711" s="153" t="s">
        <v>237</v>
      </c>
      <c r="M711" s="174">
        <v>600</v>
      </c>
      <c r="N711" s="174">
        <v>600</v>
      </c>
      <c r="O711" s="174">
        <v>600</v>
      </c>
      <c r="P711" s="174">
        <v>600</v>
      </c>
      <c r="Q711" s="174">
        <v>600</v>
      </c>
    </row>
    <row r="712" spans="1:17" ht="75" x14ac:dyDescent="0.25">
      <c r="A712" s="11"/>
      <c r="B712" s="177"/>
      <c r="C712" s="166">
        <v>4</v>
      </c>
      <c r="D712" s="166"/>
      <c r="E712" s="817" t="s">
        <v>238</v>
      </c>
      <c r="F712" s="814">
        <v>207249.8</v>
      </c>
      <c r="G712" s="814">
        <v>223209.8</v>
      </c>
      <c r="H712" s="814">
        <v>296234.5</v>
      </c>
      <c r="I712" s="814">
        <v>219637.9</v>
      </c>
      <c r="J712" s="814">
        <v>229392.2</v>
      </c>
      <c r="K712" s="829" t="s">
        <v>1190</v>
      </c>
      <c r="L712" s="153" t="s">
        <v>35</v>
      </c>
      <c r="M712" s="175">
        <v>0.42</v>
      </c>
      <c r="N712" s="175">
        <v>0.42</v>
      </c>
      <c r="O712" s="176">
        <v>0.45</v>
      </c>
      <c r="P712" s="175">
        <v>0.45</v>
      </c>
      <c r="Q712" s="175">
        <v>0.45</v>
      </c>
    </row>
    <row r="713" spans="1:17" ht="30" x14ac:dyDescent="0.25">
      <c r="A713" s="11"/>
      <c r="B713" s="2308"/>
      <c r="C713" s="2306">
        <v>5</v>
      </c>
      <c r="D713" s="2306"/>
      <c r="E713" s="2331" t="s">
        <v>1189</v>
      </c>
      <c r="F713" s="2332">
        <v>219115.9</v>
      </c>
      <c r="G713" s="2332">
        <v>221343</v>
      </c>
      <c r="H713" s="2332">
        <v>222174</v>
      </c>
      <c r="I713" s="2332">
        <v>221344</v>
      </c>
      <c r="J713" s="2332">
        <v>221344</v>
      </c>
      <c r="K713" s="829" t="s">
        <v>239</v>
      </c>
      <c r="L713" s="153" t="s">
        <v>35</v>
      </c>
      <c r="M713" s="175">
        <v>0.16</v>
      </c>
      <c r="N713" s="175">
        <v>0.16</v>
      </c>
      <c r="O713" s="175">
        <v>0.16</v>
      </c>
      <c r="P713" s="175">
        <v>0.16</v>
      </c>
      <c r="Q713" s="175">
        <v>0.16</v>
      </c>
    </row>
    <row r="714" spans="1:17" ht="50.25" customHeight="1" x14ac:dyDescent="0.25">
      <c r="A714" s="11"/>
      <c r="B714" s="2308"/>
      <c r="C714" s="2306"/>
      <c r="D714" s="2306"/>
      <c r="E714" s="2331"/>
      <c r="F714" s="2332"/>
      <c r="G714" s="2332"/>
      <c r="H714" s="2332"/>
      <c r="I714" s="2332"/>
      <c r="J714" s="2332"/>
      <c r="K714" s="829" t="s">
        <v>1191</v>
      </c>
      <c r="L714" s="153" t="s">
        <v>35</v>
      </c>
      <c r="M714" s="175">
        <v>0.3</v>
      </c>
      <c r="N714" s="175">
        <v>0.3</v>
      </c>
      <c r="O714" s="175">
        <v>0.3</v>
      </c>
      <c r="P714" s="175">
        <v>0.4</v>
      </c>
      <c r="Q714" s="175">
        <v>0.5</v>
      </c>
    </row>
    <row r="715" spans="1:17" ht="45" x14ac:dyDescent="0.25">
      <c r="A715" s="11"/>
      <c r="B715" s="2308"/>
      <c r="C715" s="2306"/>
      <c r="D715" s="2306"/>
      <c r="E715" s="2331"/>
      <c r="F715" s="2409"/>
      <c r="G715" s="2409"/>
      <c r="H715" s="2409"/>
      <c r="I715" s="2409"/>
      <c r="J715" s="2409"/>
      <c r="K715" s="817" t="s">
        <v>1192</v>
      </c>
      <c r="L715" s="153" t="s">
        <v>35</v>
      </c>
      <c r="M715" s="175">
        <v>0.4</v>
      </c>
      <c r="N715" s="175">
        <v>0.4</v>
      </c>
      <c r="O715" s="176">
        <v>0.4</v>
      </c>
      <c r="P715" s="175">
        <v>0.5</v>
      </c>
      <c r="Q715" s="175">
        <v>0.6</v>
      </c>
    </row>
    <row r="716" spans="1:17" x14ac:dyDescent="0.25">
      <c r="A716" s="11"/>
      <c r="B716" s="2308"/>
      <c r="C716" s="2306"/>
      <c r="D716" s="2306"/>
      <c r="E716" s="2331"/>
      <c r="F716" s="2409"/>
      <c r="G716" s="2409"/>
      <c r="H716" s="2409"/>
      <c r="I716" s="2409"/>
      <c r="J716" s="2409"/>
      <c r="K716" s="2331"/>
      <c r="L716" s="2333"/>
      <c r="M716" s="2333"/>
      <c r="N716" s="2333"/>
      <c r="O716" s="2333"/>
      <c r="P716" s="2333"/>
      <c r="Q716" s="2333"/>
    </row>
    <row r="717" spans="1:17" x14ac:dyDescent="0.25">
      <c r="A717" s="11"/>
      <c r="B717" s="2308"/>
      <c r="C717" s="2306"/>
      <c r="D717" s="2306"/>
      <c r="E717" s="2331"/>
      <c r="F717" s="2409"/>
      <c r="G717" s="2409"/>
      <c r="H717" s="2409"/>
      <c r="I717" s="2409"/>
      <c r="J717" s="2409"/>
      <c r="K717" s="2331"/>
      <c r="L717" s="2334"/>
      <c r="M717" s="2334"/>
      <c r="N717" s="2334"/>
      <c r="O717" s="2334"/>
      <c r="P717" s="2334"/>
      <c r="Q717" s="2334"/>
    </row>
    <row r="718" spans="1:17" hidden="1" x14ac:dyDescent="0.25">
      <c r="A718" s="11"/>
      <c r="B718" s="177"/>
      <c r="C718" s="166"/>
      <c r="D718" s="166"/>
      <c r="E718" s="158" t="s">
        <v>199</v>
      </c>
      <c r="F718" s="839">
        <f>F708+F710+F711+F712+F713</f>
        <v>2186629.9</v>
      </c>
      <c r="G718" s="839">
        <f>G708+G710+G711+G712+G713</f>
        <v>1724403.7</v>
      </c>
      <c r="H718" s="839">
        <f>H708+H710+H711+H712+H713</f>
        <v>1944688.8</v>
      </c>
      <c r="I718" s="839">
        <f>I708+I710+I711+I712+I713</f>
        <v>1657570.2999999998</v>
      </c>
      <c r="J718" s="839">
        <f>J708+J710+J711+J712+J713</f>
        <v>1715156.5</v>
      </c>
      <c r="K718" s="829"/>
      <c r="L718" s="178"/>
      <c r="M718" s="155"/>
      <c r="N718" s="155"/>
      <c r="O718" s="156"/>
      <c r="P718" s="155"/>
      <c r="Q718" s="155"/>
    </row>
    <row r="719" spans="1:17" ht="45" x14ac:dyDescent="0.25">
      <c r="A719" s="11"/>
      <c r="B719" s="2308">
        <v>4</v>
      </c>
      <c r="C719" s="2306"/>
      <c r="D719" s="2306"/>
      <c r="E719" s="2444" t="s">
        <v>1003</v>
      </c>
      <c r="F719" s="2377">
        <f>F721+F723</f>
        <v>4285146.4000000004</v>
      </c>
      <c r="G719" s="2377">
        <f t="shared" ref="G719:J719" si="77">G721+G723</f>
        <v>4427469.0999999996</v>
      </c>
      <c r="H719" s="2377">
        <f>H721+H723</f>
        <v>5105584.4000000004</v>
      </c>
      <c r="I719" s="2377">
        <f t="shared" si="77"/>
        <v>4420353.4000000004</v>
      </c>
      <c r="J719" s="2377">
        <f t="shared" si="77"/>
        <v>4494155.0999999996</v>
      </c>
      <c r="K719" s="829" t="s">
        <v>240</v>
      </c>
      <c r="L719" s="178" t="s">
        <v>35</v>
      </c>
      <c r="M719" s="155">
        <v>72</v>
      </c>
      <c r="N719" s="155">
        <v>75</v>
      </c>
      <c r="O719" s="156">
        <v>78</v>
      </c>
      <c r="P719" s="155">
        <v>80</v>
      </c>
      <c r="Q719" s="155">
        <v>80</v>
      </c>
    </row>
    <row r="720" spans="1:17" ht="60" x14ac:dyDescent="0.25">
      <c r="A720" s="11"/>
      <c r="B720" s="2308"/>
      <c r="C720" s="2306"/>
      <c r="D720" s="2306"/>
      <c r="E720" s="2444"/>
      <c r="F720" s="2377"/>
      <c r="G720" s="2377"/>
      <c r="H720" s="2377"/>
      <c r="I720" s="2377"/>
      <c r="J720" s="2377"/>
      <c r="K720" s="829" t="s">
        <v>241</v>
      </c>
      <c r="L720" s="153" t="s">
        <v>35</v>
      </c>
      <c r="M720" s="155">
        <v>75</v>
      </c>
      <c r="N720" s="155">
        <v>76</v>
      </c>
      <c r="O720" s="156">
        <v>77</v>
      </c>
      <c r="P720" s="155">
        <v>78</v>
      </c>
      <c r="Q720" s="165">
        <v>79</v>
      </c>
    </row>
    <row r="721" spans="1:17" ht="75" x14ac:dyDescent="0.25">
      <c r="A721" s="11"/>
      <c r="B721" s="2308"/>
      <c r="C721" s="2306">
        <v>1</v>
      </c>
      <c r="D721" s="2306"/>
      <c r="E721" s="2331" t="s">
        <v>1193</v>
      </c>
      <c r="F721" s="2332">
        <v>3716776.4</v>
      </c>
      <c r="G721" s="2332">
        <v>3859099</v>
      </c>
      <c r="H721" s="2332">
        <v>4518839.7</v>
      </c>
      <c r="I721" s="2332">
        <v>3860040.1</v>
      </c>
      <c r="J721" s="2332">
        <v>3910040.1</v>
      </c>
      <c r="K721" s="829" t="s">
        <v>242</v>
      </c>
      <c r="L721" s="153" t="s">
        <v>35</v>
      </c>
      <c r="M721" s="175">
        <v>0.8</v>
      </c>
      <c r="N721" s="175">
        <v>0.85</v>
      </c>
      <c r="O721" s="176">
        <v>0.85</v>
      </c>
      <c r="P721" s="175">
        <v>0.85</v>
      </c>
      <c r="Q721" s="175">
        <v>0.85</v>
      </c>
    </row>
    <row r="722" spans="1:17" ht="60" x14ac:dyDescent="0.25">
      <c r="A722" s="11"/>
      <c r="B722" s="2308"/>
      <c r="C722" s="2306"/>
      <c r="D722" s="2306"/>
      <c r="E722" s="2331"/>
      <c r="F722" s="2332"/>
      <c r="G722" s="2332"/>
      <c r="H722" s="2332"/>
      <c r="I722" s="2332"/>
      <c r="J722" s="2332"/>
      <c r="K722" s="829" t="s">
        <v>243</v>
      </c>
      <c r="L722" s="153" t="s">
        <v>35</v>
      </c>
      <c r="M722" s="175">
        <v>0.5</v>
      </c>
      <c r="N722" s="175">
        <v>0.55000000000000004</v>
      </c>
      <c r="O722" s="176">
        <v>0.55000000000000004</v>
      </c>
      <c r="P722" s="175">
        <v>0.55000000000000004</v>
      </c>
      <c r="Q722" s="175">
        <v>0.55000000000000004</v>
      </c>
    </row>
    <row r="723" spans="1:17" x14ac:dyDescent="0.25">
      <c r="A723" s="11"/>
      <c r="B723" s="2308"/>
      <c r="C723" s="2306">
        <v>2</v>
      </c>
      <c r="D723" s="2306"/>
      <c r="E723" s="2331" t="s">
        <v>244</v>
      </c>
      <c r="F723" s="2332">
        <v>568370</v>
      </c>
      <c r="G723" s="2332">
        <v>568370.1</v>
      </c>
      <c r="H723" s="2332">
        <v>586744.69999999995</v>
      </c>
      <c r="I723" s="2332">
        <v>560313.30000000005</v>
      </c>
      <c r="J723" s="2332">
        <v>584115</v>
      </c>
      <c r="K723" s="2307" t="s">
        <v>245</v>
      </c>
      <c r="L723" s="2353" t="s">
        <v>35</v>
      </c>
      <c r="M723" s="2436">
        <v>0.3</v>
      </c>
      <c r="N723" s="2436">
        <v>0.3</v>
      </c>
      <c r="O723" s="2436">
        <v>0.32</v>
      </c>
      <c r="P723" s="2436">
        <v>0.32</v>
      </c>
      <c r="Q723" s="2436">
        <v>0.32</v>
      </c>
    </row>
    <row r="724" spans="1:17" ht="15" customHeight="1" x14ac:dyDescent="0.25">
      <c r="A724" s="11"/>
      <c r="B724" s="2308"/>
      <c r="C724" s="2306"/>
      <c r="D724" s="2306"/>
      <c r="E724" s="2331"/>
      <c r="F724" s="2332"/>
      <c r="G724" s="2332"/>
      <c r="H724" s="2332"/>
      <c r="I724" s="2332"/>
      <c r="J724" s="2332"/>
      <c r="K724" s="2307"/>
      <c r="L724" s="2388"/>
      <c r="M724" s="2437"/>
      <c r="N724" s="2437"/>
      <c r="O724" s="2437"/>
      <c r="P724" s="2437"/>
      <c r="Q724" s="2437"/>
    </row>
    <row r="725" spans="1:17" hidden="1" x14ac:dyDescent="0.25">
      <c r="A725" s="11"/>
      <c r="B725" s="83"/>
      <c r="C725" s="83"/>
      <c r="D725" s="83"/>
      <c r="E725" s="158" t="s">
        <v>199</v>
      </c>
      <c r="F725" s="839">
        <f>F721+F723</f>
        <v>4285146.4000000004</v>
      </c>
      <c r="G725" s="839">
        <f>G721+G723</f>
        <v>4427469.0999999996</v>
      </c>
      <c r="H725" s="839">
        <f>H721+H723</f>
        <v>5105584.4000000004</v>
      </c>
      <c r="I725" s="839">
        <f>I721+I723</f>
        <v>4420353.4000000004</v>
      </c>
      <c r="J725" s="839">
        <f>J721+J723</f>
        <v>4494155.0999999996</v>
      </c>
      <c r="K725" s="829"/>
      <c r="L725" s="153"/>
      <c r="M725" s="154"/>
      <c r="N725" s="154"/>
      <c r="O725" s="163"/>
      <c r="P725" s="154"/>
      <c r="Q725" s="154"/>
    </row>
    <row r="726" spans="1:17" x14ac:dyDescent="0.25">
      <c r="A726" s="11"/>
      <c r="B726" s="2308">
        <v>5</v>
      </c>
      <c r="C726" s="2306"/>
      <c r="D726" s="2306"/>
      <c r="E726" s="2416" t="s">
        <v>1194</v>
      </c>
      <c r="F726" s="2377">
        <f>F728+F732</f>
        <v>57351.4</v>
      </c>
      <c r="G726" s="2377">
        <f t="shared" ref="G726:J726" si="78">G728+G732</f>
        <v>57208.9</v>
      </c>
      <c r="H726" s="2377">
        <f t="shared" si="78"/>
        <v>83138.099999999991</v>
      </c>
      <c r="I726" s="2377">
        <f t="shared" si="78"/>
        <v>56549.4</v>
      </c>
      <c r="J726" s="2377">
        <f t="shared" si="78"/>
        <v>58663.1</v>
      </c>
      <c r="K726" s="2307" t="s">
        <v>246</v>
      </c>
      <c r="L726" s="2353" t="s">
        <v>35</v>
      </c>
      <c r="M726" s="2375">
        <v>100</v>
      </c>
      <c r="N726" s="2441">
        <v>100</v>
      </c>
      <c r="O726" s="2375">
        <v>100</v>
      </c>
      <c r="P726" s="2375">
        <v>100</v>
      </c>
      <c r="Q726" s="2375">
        <v>100</v>
      </c>
    </row>
    <row r="727" spans="1:17" ht="112.5" customHeight="1" x14ac:dyDescent="0.25">
      <c r="A727" s="11"/>
      <c r="B727" s="2308"/>
      <c r="C727" s="2306"/>
      <c r="D727" s="2306"/>
      <c r="E727" s="2416"/>
      <c r="F727" s="2377"/>
      <c r="G727" s="2377"/>
      <c r="H727" s="2377"/>
      <c r="I727" s="2377"/>
      <c r="J727" s="2377"/>
      <c r="K727" s="2307"/>
      <c r="L727" s="2388"/>
      <c r="M727" s="2376"/>
      <c r="N727" s="2442"/>
      <c r="O727" s="2376"/>
      <c r="P727" s="2376"/>
      <c r="Q727" s="2376"/>
    </row>
    <row r="728" spans="1:17" ht="30" x14ac:dyDescent="0.25">
      <c r="A728" s="11"/>
      <c r="B728" s="2308"/>
      <c r="C728" s="2306">
        <v>1</v>
      </c>
      <c r="D728" s="2306"/>
      <c r="E728" s="2331" t="s">
        <v>247</v>
      </c>
      <c r="F728" s="2366">
        <v>48233.8</v>
      </c>
      <c r="G728" s="2366">
        <v>48233.8</v>
      </c>
      <c r="H728" s="2366">
        <v>74814.899999999994</v>
      </c>
      <c r="I728" s="2366">
        <v>47463</v>
      </c>
      <c r="J728" s="2366">
        <v>49576.7</v>
      </c>
      <c r="K728" s="167" t="s">
        <v>248</v>
      </c>
      <c r="L728" s="153" t="s">
        <v>40</v>
      </c>
      <c r="M728" s="154">
        <v>9</v>
      </c>
      <c r="N728" s="154" t="s">
        <v>190</v>
      </c>
      <c r="O728" s="154" t="s">
        <v>190</v>
      </c>
      <c r="P728" s="154" t="s">
        <v>190</v>
      </c>
      <c r="Q728" s="154" t="s">
        <v>190</v>
      </c>
    </row>
    <row r="729" spans="1:17" ht="57" customHeight="1" x14ac:dyDescent="0.25">
      <c r="B729" s="2308"/>
      <c r="C729" s="2306"/>
      <c r="D729" s="2306"/>
      <c r="E729" s="2331"/>
      <c r="F729" s="2366"/>
      <c r="G729" s="2366"/>
      <c r="H729" s="2366"/>
      <c r="I729" s="2366"/>
      <c r="J729" s="2366"/>
      <c r="K729" s="167" t="s">
        <v>249</v>
      </c>
      <c r="L729" s="153" t="s">
        <v>203</v>
      </c>
      <c r="M729" s="154">
        <v>2551</v>
      </c>
      <c r="N729" s="154" t="s">
        <v>190</v>
      </c>
      <c r="O729" s="154" t="s">
        <v>190</v>
      </c>
      <c r="P729" s="154" t="s">
        <v>190</v>
      </c>
      <c r="Q729" s="154" t="s">
        <v>190</v>
      </c>
    </row>
    <row r="730" spans="1:17" ht="30" x14ac:dyDescent="0.25">
      <c r="B730" s="2308"/>
      <c r="C730" s="2306"/>
      <c r="D730" s="2306"/>
      <c r="E730" s="2331"/>
      <c r="F730" s="2366"/>
      <c r="G730" s="2366"/>
      <c r="H730" s="2366"/>
      <c r="I730" s="2366"/>
      <c r="J730" s="2366"/>
      <c r="K730" s="829" t="s">
        <v>250</v>
      </c>
      <c r="L730" s="153" t="s">
        <v>40</v>
      </c>
      <c r="M730" s="154">
        <v>42</v>
      </c>
      <c r="N730" s="154" t="s">
        <v>190</v>
      </c>
      <c r="O730" s="154" t="s">
        <v>190</v>
      </c>
      <c r="P730" s="154" t="s">
        <v>190</v>
      </c>
      <c r="Q730" s="154" t="s">
        <v>190</v>
      </c>
    </row>
    <row r="731" spans="1:17" ht="45" x14ac:dyDescent="0.25">
      <c r="B731" s="2308"/>
      <c r="C731" s="2306"/>
      <c r="D731" s="2306"/>
      <c r="E731" s="2331"/>
      <c r="F731" s="2366"/>
      <c r="G731" s="2366"/>
      <c r="H731" s="2366"/>
      <c r="I731" s="2366"/>
      <c r="J731" s="2366"/>
      <c r="K731" s="167" t="s">
        <v>251</v>
      </c>
      <c r="L731" s="153" t="s">
        <v>203</v>
      </c>
      <c r="M731" s="154">
        <v>4427</v>
      </c>
      <c r="N731" s="154" t="s">
        <v>190</v>
      </c>
      <c r="O731" s="154" t="s">
        <v>190</v>
      </c>
      <c r="P731" s="154" t="s">
        <v>190</v>
      </c>
      <c r="Q731" s="154" t="s">
        <v>190</v>
      </c>
    </row>
    <row r="732" spans="1:17" ht="60" x14ac:dyDescent="0.25">
      <c r="B732" s="2308"/>
      <c r="C732" s="2306">
        <v>3</v>
      </c>
      <c r="D732" s="2306"/>
      <c r="E732" s="2331" t="s">
        <v>252</v>
      </c>
      <c r="F732" s="2332">
        <v>9117.6</v>
      </c>
      <c r="G732" s="2332">
        <f>8967.1+8</f>
        <v>8975.1</v>
      </c>
      <c r="H732" s="2332">
        <v>8323.2000000000007</v>
      </c>
      <c r="I732" s="2332">
        <v>9086.4</v>
      </c>
      <c r="J732" s="2332">
        <v>9086.4</v>
      </c>
      <c r="K732" s="829" t="s">
        <v>253</v>
      </c>
      <c r="L732" s="153" t="s">
        <v>40</v>
      </c>
      <c r="M732" s="154" t="s">
        <v>190</v>
      </c>
      <c r="N732" s="154" t="s">
        <v>190</v>
      </c>
      <c r="O732" s="154" t="s">
        <v>190</v>
      </c>
      <c r="P732" s="154" t="s">
        <v>190</v>
      </c>
      <c r="Q732" s="154" t="s">
        <v>190</v>
      </c>
    </row>
    <row r="733" spans="1:17" ht="60" x14ac:dyDescent="0.25">
      <c r="B733" s="2308"/>
      <c r="C733" s="2306"/>
      <c r="D733" s="2306"/>
      <c r="E733" s="2331"/>
      <c r="F733" s="2332"/>
      <c r="G733" s="2332"/>
      <c r="H733" s="2332"/>
      <c r="I733" s="2332"/>
      <c r="J733" s="2332"/>
      <c r="K733" s="829" t="s">
        <v>254</v>
      </c>
      <c r="L733" s="153" t="s">
        <v>40</v>
      </c>
      <c r="M733" s="154" t="s">
        <v>190</v>
      </c>
      <c r="N733" s="154" t="s">
        <v>190</v>
      </c>
      <c r="O733" s="154" t="s">
        <v>190</v>
      </c>
      <c r="P733" s="154" t="s">
        <v>190</v>
      </c>
      <c r="Q733" s="154" t="s">
        <v>190</v>
      </c>
    </row>
    <row r="734" spans="1:17" ht="27.75" hidden="1" customHeight="1" x14ac:dyDescent="0.25">
      <c r="B734" s="177"/>
      <c r="C734" s="177"/>
      <c r="D734" s="177"/>
      <c r="E734" s="158" t="s">
        <v>199</v>
      </c>
      <c r="F734" s="839">
        <f>F728+F732</f>
        <v>57351.4</v>
      </c>
      <c r="G734" s="839">
        <f>G728+G732</f>
        <v>57208.9</v>
      </c>
      <c r="H734" s="839">
        <f>H728+H732</f>
        <v>83138.099999999991</v>
      </c>
      <c r="I734" s="839">
        <f>I728+I732</f>
        <v>56549.4</v>
      </c>
      <c r="J734" s="839">
        <f>J728+J732</f>
        <v>58663.1</v>
      </c>
      <c r="K734" s="829"/>
      <c r="L734" s="178"/>
      <c r="M734" s="155"/>
      <c r="N734" s="155"/>
      <c r="O734" s="156"/>
      <c r="P734" s="155"/>
      <c r="Q734" s="155"/>
    </row>
    <row r="735" spans="1:17" ht="103.5" x14ac:dyDescent="0.25">
      <c r="B735" s="177"/>
      <c r="C735" s="166"/>
      <c r="D735" s="166"/>
      <c r="E735" s="851" t="s">
        <v>1049</v>
      </c>
      <c r="F735" s="850">
        <f>F736+F737</f>
        <v>155655.5</v>
      </c>
      <c r="G735" s="850">
        <f t="shared" ref="G735:J735" si="79">G736+G737</f>
        <v>155655.5</v>
      </c>
      <c r="H735" s="850">
        <f>H736+H737</f>
        <v>160001.19999999998</v>
      </c>
      <c r="I735" s="850">
        <f t="shared" si="79"/>
        <v>153217.69999999998</v>
      </c>
      <c r="J735" s="850">
        <f t="shared" si="79"/>
        <v>159942.79999999999</v>
      </c>
      <c r="K735" s="829" t="s">
        <v>255</v>
      </c>
      <c r="L735" s="153" t="s">
        <v>35</v>
      </c>
      <c r="M735" s="179">
        <v>0.5</v>
      </c>
      <c r="N735" s="179">
        <v>0.5</v>
      </c>
      <c r="O735" s="180">
        <v>1</v>
      </c>
      <c r="P735" s="179">
        <v>1</v>
      </c>
      <c r="Q735" s="179">
        <v>1</v>
      </c>
    </row>
    <row r="736" spans="1:17" ht="60" x14ac:dyDescent="0.25">
      <c r="B736" s="177">
        <v>6</v>
      </c>
      <c r="C736" s="166">
        <v>1</v>
      </c>
      <c r="D736" s="166"/>
      <c r="E736" s="817" t="s">
        <v>256</v>
      </c>
      <c r="F736" s="814">
        <v>153855.5</v>
      </c>
      <c r="G736" s="814">
        <v>153855.4</v>
      </c>
      <c r="H736" s="814">
        <f>158309.3</f>
        <v>158309.29999999999</v>
      </c>
      <c r="I736" s="814">
        <v>151393.79999999999</v>
      </c>
      <c r="J736" s="814">
        <v>158118.9</v>
      </c>
      <c r="K736" s="829" t="s">
        <v>257</v>
      </c>
      <c r="L736" s="153" t="s">
        <v>258</v>
      </c>
      <c r="M736" s="179">
        <v>11</v>
      </c>
      <c r="N736" s="179">
        <v>12</v>
      </c>
      <c r="O736" s="180">
        <v>13</v>
      </c>
      <c r="P736" s="179">
        <v>14</v>
      </c>
      <c r="Q736" s="179">
        <v>15</v>
      </c>
    </row>
    <row r="737" spans="1:17" x14ac:dyDescent="0.25">
      <c r="B737" s="2308"/>
      <c r="C737" s="2306">
        <v>2</v>
      </c>
      <c r="D737" s="2306"/>
      <c r="E737" s="2307" t="s">
        <v>1195</v>
      </c>
      <c r="F737" s="2332">
        <v>1800</v>
      </c>
      <c r="G737" s="2332">
        <v>1800.1</v>
      </c>
      <c r="H737" s="2332">
        <v>1691.9</v>
      </c>
      <c r="I737" s="2332">
        <v>1823.9</v>
      </c>
      <c r="J737" s="2332">
        <v>1823.9</v>
      </c>
      <c r="K737" s="2307" t="s">
        <v>1196</v>
      </c>
      <c r="L737" s="2353" t="s">
        <v>35</v>
      </c>
      <c r="M737" s="2410" t="s">
        <v>259</v>
      </c>
      <c r="N737" s="2410" t="s">
        <v>259</v>
      </c>
      <c r="O737" s="2410" t="s">
        <v>259</v>
      </c>
      <c r="P737" s="2410" t="s">
        <v>259</v>
      </c>
      <c r="Q737" s="2410" t="s">
        <v>259</v>
      </c>
    </row>
    <row r="738" spans="1:17" ht="62.25" customHeight="1" x14ac:dyDescent="0.25">
      <c r="B738" s="2308"/>
      <c r="C738" s="2306"/>
      <c r="D738" s="2306"/>
      <c r="E738" s="2307"/>
      <c r="F738" s="2332"/>
      <c r="G738" s="2332"/>
      <c r="H738" s="2332"/>
      <c r="I738" s="2332"/>
      <c r="J738" s="2332"/>
      <c r="K738" s="2658"/>
      <c r="L738" s="1976"/>
      <c r="M738" s="2411"/>
      <c r="N738" s="2411"/>
      <c r="O738" s="2411"/>
      <c r="P738" s="2411"/>
      <c r="Q738" s="2411"/>
    </row>
    <row r="739" spans="1:17" ht="0.75" customHeight="1" x14ac:dyDescent="0.25">
      <c r="B739" s="83"/>
      <c r="C739" s="83"/>
      <c r="D739" s="83"/>
      <c r="E739" s="369" t="s">
        <v>199</v>
      </c>
      <c r="F739" s="890">
        <f>F736+F737</f>
        <v>155655.5</v>
      </c>
      <c r="G739" s="890">
        <f>G736+G737</f>
        <v>155655.5</v>
      </c>
      <c r="H739" s="890">
        <f>H736+H737</f>
        <v>160001.19999999998</v>
      </c>
      <c r="I739" s="890">
        <f>I736+I737</f>
        <v>153217.69999999998</v>
      </c>
      <c r="J739" s="890">
        <f>J736+J737</f>
        <v>159942.79999999999</v>
      </c>
      <c r="K739" s="370"/>
      <c r="L739" s="371"/>
      <c r="M739" s="94"/>
      <c r="N739" s="94"/>
      <c r="O739" s="94"/>
      <c r="P739" s="94"/>
      <c r="Q739" s="94"/>
    </row>
    <row r="740" spans="1:17" x14ac:dyDescent="0.25">
      <c r="A740" s="2429" t="s">
        <v>85</v>
      </c>
      <c r="B740" s="2429"/>
      <c r="C740" s="2429"/>
      <c r="D740" s="2429"/>
      <c r="E740" s="2430"/>
      <c r="F740" s="574">
        <f>F680+F705+F718+F725+F734+F739</f>
        <v>27685738.999999993</v>
      </c>
      <c r="G740" s="574">
        <f>G680+G705+G718+G725+G734+G739</f>
        <v>26811992.899999999</v>
      </c>
      <c r="H740" s="574">
        <f>H672+H681+H706+H719+H726+H735</f>
        <v>34253769.800000004</v>
      </c>
      <c r="I740" s="574">
        <f>I680+I705+I718+I725+I734+I739</f>
        <v>27415375.289999995</v>
      </c>
      <c r="J740" s="574">
        <f>J680+J705+J718+J725+J734+J739</f>
        <v>27245447.300000001</v>
      </c>
      <c r="K740" s="575"/>
      <c r="L740" s="576"/>
      <c r="M740" s="577"/>
      <c r="N740" s="578"/>
      <c r="O740" s="579"/>
      <c r="P740" s="578"/>
      <c r="Q740" s="578"/>
    </row>
    <row r="741" spans="1:17" ht="15" customHeight="1" x14ac:dyDescent="0.25">
      <c r="A741" s="2428" t="s">
        <v>462</v>
      </c>
      <c r="B741" s="2428"/>
      <c r="C741" s="2428"/>
      <c r="D741" s="2428"/>
      <c r="E741" s="2428"/>
      <c r="F741" s="2428"/>
      <c r="G741" s="2428"/>
      <c r="H741" s="2428"/>
      <c r="I741" s="2428"/>
      <c r="J741" s="2428"/>
      <c r="K741" s="2428"/>
      <c r="L741" s="2428"/>
      <c r="M741" s="2428"/>
      <c r="N741" s="2428"/>
      <c r="O741" s="2428"/>
      <c r="P741" s="2428"/>
      <c r="Q741" s="2428"/>
    </row>
    <row r="742" spans="1:17" ht="73.5" x14ac:dyDescent="0.25">
      <c r="A742" s="110"/>
      <c r="B742" s="604">
        <v>1</v>
      </c>
      <c r="C742" s="580"/>
      <c r="D742" s="581"/>
      <c r="E742" s="582" t="s">
        <v>71</v>
      </c>
      <c r="F742" s="583">
        <f>F743+F744+F746+F747+F749+F752+F753</f>
        <v>72873.2</v>
      </c>
      <c r="G742" s="583">
        <f t="shared" ref="G742:J742" si="80">G743+G744+G746+G747+G749+G752+G753</f>
        <v>47759.6</v>
      </c>
      <c r="H742" s="583">
        <f>H743+H744+H746+H747+H749+H752+H753</f>
        <v>70796.099999999991</v>
      </c>
      <c r="I742" s="583">
        <f t="shared" si="80"/>
        <v>65294.399999999994</v>
      </c>
      <c r="J742" s="583">
        <f t="shared" si="80"/>
        <v>65142</v>
      </c>
      <c r="K742" s="584" t="s">
        <v>34</v>
      </c>
      <c r="L742" s="585" t="s">
        <v>35</v>
      </c>
      <c r="M742" s="663">
        <v>30</v>
      </c>
      <c r="N742" s="663">
        <v>34.700000000000003</v>
      </c>
      <c r="O742" s="663">
        <v>43.7</v>
      </c>
      <c r="P742" s="663">
        <v>46.8</v>
      </c>
      <c r="Q742" s="663">
        <v>46.9</v>
      </c>
    </row>
    <row r="743" spans="1:17" x14ac:dyDescent="0.25">
      <c r="B743" s="832"/>
      <c r="C743" s="835" t="s">
        <v>5</v>
      </c>
      <c r="D743" s="117"/>
      <c r="E743" s="39" t="s">
        <v>6</v>
      </c>
      <c r="F743" s="325">
        <v>4048.5</v>
      </c>
      <c r="G743" s="325">
        <v>3971</v>
      </c>
      <c r="H743" s="325">
        <f>1937.9+1334.8</f>
        <v>3272.7</v>
      </c>
      <c r="I743" s="325">
        <v>3304.7</v>
      </c>
      <c r="J743" s="321">
        <v>3377.3</v>
      </c>
      <c r="K743" s="92" t="s">
        <v>36</v>
      </c>
      <c r="L743" s="90" t="s">
        <v>35</v>
      </c>
      <c r="M743" s="93">
        <v>34.5</v>
      </c>
      <c r="N743" s="94">
        <v>32.6</v>
      </c>
      <c r="O743" s="94">
        <v>32.6</v>
      </c>
      <c r="P743" s="94">
        <v>32.6</v>
      </c>
      <c r="Q743" s="91">
        <v>0</v>
      </c>
    </row>
    <row r="744" spans="1:17" ht="30" x14ac:dyDescent="0.25">
      <c r="B744" s="2412"/>
      <c r="C744" s="2419" t="s">
        <v>7</v>
      </c>
      <c r="D744" s="2325"/>
      <c r="E744" s="2327" t="s">
        <v>8</v>
      </c>
      <c r="F744" s="2329">
        <v>1349.5</v>
      </c>
      <c r="G744" s="2329">
        <v>927.5</v>
      </c>
      <c r="H744" s="2329">
        <f>725.1+701.4</f>
        <v>1426.5</v>
      </c>
      <c r="I744" s="2329">
        <v>1429.8</v>
      </c>
      <c r="J744" s="2329">
        <v>1437.6</v>
      </c>
      <c r="K744" s="95" t="s">
        <v>38</v>
      </c>
      <c r="L744" s="90" t="s">
        <v>35</v>
      </c>
      <c r="M744" s="93">
        <v>100</v>
      </c>
      <c r="N744" s="93">
        <v>100</v>
      </c>
      <c r="O744" s="93">
        <v>100</v>
      </c>
      <c r="P744" s="93">
        <v>100</v>
      </c>
      <c r="Q744" s="91">
        <v>0</v>
      </c>
    </row>
    <row r="745" spans="1:17" x14ac:dyDescent="0.25">
      <c r="A745" s="11"/>
      <c r="B745" s="2355"/>
      <c r="C745" s="2420"/>
      <c r="D745" s="2326"/>
      <c r="E745" s="2328"/>
      <c r="F745" s="2330"/>
      <c r="G745" s="2330"/>
      <c r="H745" s="2330"/>
      <c r="I745" s="2330"/>
      <c r="J745" s="2330"/>
      <c r="K745" s="901" t="s">
        <v>429</v>
      </c>
      <c r="L745" s="90" t="s">
        <v>40</v>
      </c>
      <c r="M745" s="93">
        <v>53</v>
      </c>
      <c r="N745" s="94">
        <v>97</v>
      </c>
      <c r="O745" s="94">
        <v>100</v>
      </c>
      <c r="P745" s="94">
        <v>100</v>
      </c>
      <c r="Q745" s="91">
        <v>0</v>
      </c>
    </row>
    <row r="746" spans="1:17" ht="30" x14ac:dyDescent="0.25">
      <c r="A746" s="11"/>
      <c r="B746" s="832"/>
      <c r="C746" s="833" t="s">
        <v>9</v>
      </c>
      <c r="D746" s="181"/>
      <c r="E746" s="96" t="s">
        <v>10</v>
      </c>
      <c r="F746" s="816">
        <v>9446.5</v>
      </c>
      <c r="G746" s="816">
        <v>6383.1</v>
      </c>
      <c r="H746" s="816">
        <f>2332.2+2387.8</f>
        <v>4720</v>
      </c>
      <c r="I746" s="816">
        <v>4723.5</v>
      </c>
      <c r="J746" s="321">
        <v>4731.3</v>
      </c>
      <c r="K746" s="95" t="s">
        <v>430</v>
      </c>
      <c r="L746" s="90" t="s">
        <v>40</v>
      </c>
      <c r="M746" s="93">
        <v>25</v>
      </c>
      <c r="N746" s="93">
        <v>25</v>
      </c>
      <c r="O746" s="93">
        <v>25</v>
      </c>
      <c r="P746" s="93">
        <v>25</v>
      </c>
      <c r="Q746" s="91">
        <v>0</v>
      </c>
    </row>
    <row r="747" spans="1:17" ht="30" customHeight="1" x14ac:dyDescent="0.25">
      <c r="A747" s="11"/>
      <c r="B747" s="2412"/>
      <c r="C747" s="2356" t="s">
        <v>11</v>
      </c>
      <c r="D747" s="2325"/>
      <c r="E747" s="2359" t="s">
        <v>12</v>
      </c>
      <c r="F747" s="2329">
        <v>4048.5</v>
      </c>
      <c r="G747" s="2329">
        <v>2929.2</v>
      </c>
      <c r="H747" s="2329">
        <f>2770.6+2763.2</f>
        <v>5533.7999999999993</v>
      </c>
      <c r="I747" s="2329">
        <v>8392.5</v>
      </c>
      <c r="J747" s="2329">
        <v>8128.5</v>
      </c>
      <c r="K747" s="95" t="s">
        <v>431</v>
      </c>
      <c r="L747" s="90" t="s">
        <v>40</v>
      </c>
      <c r="M747" s="93">
        <v>25</v>
      </c>
      <c r="N747" s="94">
        <v>5</v>
      </c>
      <c r="O747" s="94">
        <v>5</v>
      </c>
      <c r="P747" s="94">
        <v>5</v>
      </c>
      <c r="Q747" s="91">
        <v>0</v>
      </c>
    </row>
    <row r="748" spans="1:17" ht="30" customHeight="1" x14ac:dyDescent="0.25">
      <c r="A748" s="11"/>
      <c r="B748" s="2355"/>
      <c r="C748" s="2276"/>
      <c r="D748" s="2326"/>
      <c r="E748" s="2360"/>
      <c r="F748" s="2330"/>
      <c r="G748" s="2330"/>
      <c r="H748" s="2330"/>
      <c r="I748" s="2330"/>
      <c r="J748" s="2330"/>
      <c r="K748" s="901" t="s">
        <v>432</v>
      </c>
      <c r="L748" s="90" t="s">
        <v>40</v>
      </c>
      <c r="M748" s="93">
        <v>30</v>
      </c>
      <c r="N748" s="94">
        <v>4</v>
      </c>
      <c r="O748" s="94">
        <v>4</v>
      </c>
      <c r="P748" s="94">
        <v>4</v>
      </c>
      <c r="Q748" s="91">
        <v>0</v>
      </c>
    </row>
    <row r="749" spans="1:17" ht="45" customHeight="1" x14ac:dyDescent="0.25">
      <c r="A749" s="11"/>
      <c r="B749" s="2412"/>
      <c r="C749" s="2356" t="s">
        <v>127</v>
      </c>
      <c r="D749" s="2357"/>
      <c r="E749" s="2359" t="s">
        <v>13</v>
      </c>
      <c r="F749" s="2329">
        <v>14844.6</v>
      </c>
      <c r="G749" s="2329">
        <v>9929.7999999999993</v>
      </c>
      <c r="H749" s="2329">
        <f>4072.8+4117.8</f>
        <v>8190.6</v>
      </c>
      <c r="I749" s="2329">
        <v>8194</v>
      </c>
      <c r="J749" s="2329">
        <v>8201.7999999999993</v>
      </c>
      <c r="K749" s="39" t="s">
        <v>433</v>
      </c>
      <c r="L749" s="36" t="s">
        <v>279</v>
      </c>
      <c r="M749" s="91">
        <v>44</v>
      </c>
      <c r="N749" s="91">
        <v>2</v>
      </c>
      <c r="O749" s="91">
        <v>3</v>
      </c>
      <c r="P749" s="91">
        <v>3</v>
      </c>
      <c r="Q749" s="91">
        <v>0</v>
      </c>
    </row>
    <row r="750" spans="1:17" ht="60" x14ac:dyDescent="0.25">
      <c r="A750" s="11"/>
      <c r="B750" s="2413"/>
      <c r="C750" s="2275"/>
      <c r="D750" s="2423"/>
      <c r="E750" s="2424"/>
      <c r="F750" s="2361"/>
      <c r="G750" s="2361"/>
      <c r="H750" s="2361"/>
      <c r="I750" s="2361"/>
      <c r="J750" s="2361"/>
      <c r="K750" s="95" t="s">
        <v>434</v>
      </c>
      <c r="L750" s="90" t="s">
        <v>40</v>
      </c>
      <c r="M750" s="93">
        <v>250</v>
      </c>
      <c r="N750" s="93">
        <v>250</v>
      </c>
      <c r="O750" s="93">
        <v>250</v>
      </c>
      <c r="P750" s="93">
        <v>250</v>
      </c>
      <c r="Q750" s="91">
        <v>0</v>
      </c>
    </row>
    <row r="751" spans="1:17" ht="60" customHeight="1" x14ac:dyDescent="0.25">
      <c r="A751" s="11"/>
      <c r="B751" s="2355"/>
      <c r="C751" s="2276"/>
      <c r="D751" s="2358"/>
      <c r="E751" s="2360"/>
      <c r="F751" s="2330"/>
      <c r="G751" s="2330"/>
      <c r="H751" s="2330"/>
      <c r="I751" s="2330"/>
      <c r="J751" s="2330"/>
      <c r="K751" s="95" t="s">
        <v>435</v>
      </c>
      <c r="L751" s="90" t="s">
        <v>40</v>
      </c>
      <c r="M751" s="93">
        <v>2</v>
      </c>
      <c r="N751" s="93">
        <v>2</v>
      </c>
      <c r="O751" s="93">
        <v>2</v>
      </c>
      <c r="P751" s="93">
        <v>2</v>
      </c>
      <c r="Q751" s="91">
        <v>0</v>
      </c>
    </row>
    <row r="752" spans="1:17" ht="30" x14ac:dyDescent="0.25">
      <c r="A752" s="11"/>
      <c r="B752" s="832"/>
      <c r="C752" s="837" t="s">
        <v>129</v>
      </c>
      <c r="D752" s="117"/>
      <c r="E752" s="97" t="s">
        <v>14</v>
      </c>
      <c r="F752" s="321">
        <v>33737.599999999999</v>
      </c>
      <c r="G752" s="321">
        <v>19959.599999999999</v>
      </c>
      <c r="H752" s="321">
        <f>16158.7+24536</f>
        <v>40694.699999999997</v>
      </c>
      <c r="I752" s="321">
        <v>32288.7</v>
      </c>
      <c r="J752" s="321">
        <v>32296.5</v>
      </c>
      <c r="K752" s="95" t="s">
        <v>196</v>
      </c>
      <c r="L752" s="90" t="s">
        <v>35</v>
      </c>
      <c r="M752" s="93">
        <v>25</v>
      </c>
      <c r="N752" s="93">
        <v>25</v>
      </c>
      <c r="O752" s="93">
        <v>25</v>
      </c>
      <c r="P752" s="93">
        <v>25</v>
      </c>
      <c r="Q752" s="91">
        <v>0</v>
      </c>
    </row>
    <row r="753" spans="1:17" ht="30" customHeight="1" x14ac:dyDescent="0.25">
      <c r="A753" s="11"/>
      <c r="B753" s="832"/>
      <c r="C753" s="853" t="s">
        <v>131</v>
      </c>
      <c r="D753" s="182"/>
      <c r="E753" s="39" t="s">
        <v>436</v>
      </c>
      <c r="F753" s="321">
        <v>5398</v>
      </c>
      <c r="G753" s="321">
        <v>3659.4</v>
      </c>
      <c r="H753" s="321">
        <f>3493.8+3464</f>
        <v>6957.8</v>
      </c>
      <c r="I753" s="321">
        <v>6961.2</v>
      </c>
      <c r="J753" s="321">
        <v>6969</v>
      </c>
      <c r="K753" s="901" t="s">
        <v>437</v>
      </c>
      <c r="L753" s="29" t="s">
        <v>35</v>
      </c>
      <c r="M753" s="91">
        <v>93</v>
      </c>
      <c r="N753" s="91">
        <v>93</v>
      </c>
      <c r="O753" s="91">
        <v>93</v>
      </c>
      <c r="P753" s="91">
        <v>93</v>
      </c>
      <c r="Q753" s="91">
        <v>0</v>
      </c>
    </row>
    <row r="754" spans="1:17" ht="77.25" customHeight="1" x14ac:dyDescent="0.25">
      <c r="A754" s="11"/>
      <c r="B754" s="728">
        <v>2</v>
      </c>
      <c r="C754" s="98"/>
      <c r="D754" s="98"/>
      <c r="E754" s="183" t="s">
        <v>1005</v>
      </c>
      <c r="F754" s="326">
        <f>F755+F758+F769+F771</f>
        <v>152493.6</v>
      </c>
      <c r="G754" s="326">
        <f t="shared" ref="G754:J754" si="81">G755+G758+G769+G771</f>
        <v>79195.600000000006</v>
      </c>
      <c r="H754" s="326">
        <f>H755+H758+H769+H771+H757</f>
        <v>56417</v>
      </c>
      <c r="I754" s="326">
        <f t="shared" si="81"/>
        <v>61609</v>
      </c>
      <c r="J754" s="326">
        <f t="shared" si="81"/>
        <v>61609</v>
      </c>
      <c r="K754" s="184"/>
      <c r="L754" s="185"/>
      <c r="M754" s="185"/>
      <c r="N754" s="185"/>
      <c r="O754" s="185"/>
      <c r="P754" s="185"/>
      <c r="Q754" s="99"/>
    </row>
    <row r="755" spans="1:17" ht="15" customHeight="1" x14ac:dyDescent="0.25">
      <c r="A755" s="11"/>
      <c r="B755" s="2362"/>
      <c r="C755" s="2363" t="s">
        <v>5</v>
      </c>
      <c r="D755" s="2364"/>
      <c r="E755" s="2365" t="s">
        <v>438</v>
      </c>
      <c r="F755" s="2341">
        <v>45883</v>
      </c>
      <c r="G755" s="2341">
        <v>23810.1</v>
      </c>
      <c r="H755" s="2341">
        <f>13428.6+13448.2</f>
        <v>26876.800000000003</v>
      </c>
      <c r="I755" s="2341">
        <v>24035.599999999999</v>
      </c>
      <c r="J755" s="2341">
        <v>24012.2</v>
      </c>
      <c r="K755" s="39" t="s">
        <v>439</v>
      </c>
      <c r="L755" s="101" t="s">
        <v>40</v>
      </c>
      <c r="M755" s="101">
        <v>5</v>
      </c>
      <c r="N755" s="101">
        <v>5</v>
      </c>
      <c r="O755" s="101">
        <v>5</v>
      </c>
      <c r="P755" s="101">
        <v>5</v>
      </c>
      <c r="Q755" s="100">
        <v>0</v>
      </c>
    </row>
    <row r="756" spans="1:17" x14ac:dyDescent="0.25">
      <c r="A756" s="11"/>
      <c r="B756" s="2362"/>
      <c r="C756" s="2363"/>
      <c r="D756" s="2364"/>
      <c r="E756" s="2088"/>
      <c r="F756" s="2342"/>
      <c r="G756" s="2342"/>
      <c r="H756" s="2342"/>
      <c r="I756" s="2342"/>
      <c r="J756" s="2342"/>
      <c r="K756" s="901" t="s">
        <v>440</v>
      </c>
      <c r="L756" s="101" t="s">
        <v>35</v>
      </c>
      <c r="M756" s="101">
        <v>3</v>
      </c>
      <c r="N756" s="101">
        <v>4</v>
      </c>
      <c r="O756" s="101">
        <v>5</v>
      </c>
      <c r="P756" s="101">
        <v>6</v>
      </c>
      <c r="Q756" s="100">
        <v>0</v>
      </c>
    </row>
    <row r="757" spans="1:17" ht="68.25" customHeight="1" x14ac:dyDescent="0.25">
      <c r="A757" s="11"/>
      <c r="B757" s="831"/>
      <c r="C757" s="727" t="s">
        <v>7</v>
      </c>
      <c r="D757" s="836"/>
      <c r="E757" s="39" t="s">
        <v>1074</v>
      </c>
      <c r="F757" s="834"/>
      <c r="G757" s="834"/>
      <c r="H757" s="834">
        <v>81.099999999999994</v>
      </c>
      <c r="I757" s="834"/>
      <c r="J757" s="834"/>
      <c r="K757" s="901"/>
      <c r="L757" s="101"/>
      <c r="M757" s="101"/>
      <c r="N757" s="101"/>
      <c r="O757" s="101"/>
      <c r="P757" s="101"/>
      <c r="Q757" s="100"/>
    </row>
    <row r="758" spans="1:17" ht="15" customHeight="1" x14ac:dyDescent="0.25">
      <c r="A758" s="11"/>
      <c r="B758" s="2354"/>
      <c r="C758" s="2425" t="s">
        <v>9</v>
      </c>
      <c r="D758" s="2364"/>
      <c r="E758" s="2087" t="s">
        <v>441</v>
      </c>
      <c r="F758" s="2341">
        <v>85018.6</v>
      </c>
      <c r="G758" s="2341">
        <v>39533.300000000003</v>
      </c>
      <c r="H758" s="2341">
        <f>11742.9+13305.7</f>
        <v>25048.6</v>
      </c>
      <c r="I758" s="2341">
        <v>33461.5</v>
      </c>
      <c r="J758" s="2341">
        <v>33469.300000000003</v>
      </c>
      <c r="K758" s="39" t="s">
        <v>442</v>
      </c>
      <c r="L758" s="101" t="s">
        <v>40</v>
      </c>
      <c r="M758" s="101">
        <v>23</v>
      </c>
      <c r="N758" s="101">
        <v>2</v>
      </c>
      <c r="O758" s="101">
        <v>2</v>
      </c>
      <c r="P758" s="101">
        <v>2</v>
      </c>
      <c r="Q758" s="100">
        <v>0</v>
      </c>
    </row>
    <row r="759" spans="1:17" ht="45" x14ac:dyDescent="0.25">
      <c r="A759" s="11"/>
      <c r="B759" s="2413"/>
      <c r="C759" s="2426"/>
      <c r="D759" s="2364"/>
      <c r="E759" s="2277"/>
      <c r="F759" s="2343"/>
      <c r="G759" s="2343"/>
      <c r="H759" s="2343"/>
      <c r="I759" s="2343"/>
      <c r="J759" s="2343"/>
      <c r="K759" s="39" t="s">
        <v>443</v>
      </c>
      <c r="L759" s="101" t="s">
        <v>40</v>
      </c>
      <c r="M759" s="101">
        <v>12</v>
      </c>
      <c r="N759" s="101">
        <v>18</v>
      </c>
      <c r="O759" s="101">
        <v>4</v>
      </c>
      <c r="P759" s="101">
        <v>4</v>
      </c>
      <c r="Q759" s="100">
        <v>0</v>
      </c>
    </row>
    <row r="760" spans="1:17" ht="45" customHeight="1" x14ac:dyDescent="0.25">
      <c r="A760" s="11"/>
      <c r="B760" s="2413"/>
      <c r="C760" s="2426"/>
      <c r="D760" s="2364"/>
      <c r="E760" s="2277"/>
      <c r="F760" s="2343"/>
      <c r="G760" s="2343"/>
      <c r="H760" s="2343"/>
      <c r="I760" s="2343"/>
      <c r="J760" s="2343"/>
      <c r="K760" s="39" t="s">
        <v>444</v>
      </c>
      <c r="L760" s="101" t="s">
        <v>40</v>
      </c>
      <c r="M760" s="101">
        <v>500</v>
      </c>
      <c r="N760" s="101">
        <v>500</v>
      </c>
      <c r="O760" s="101">
        <v>500</v>
      </c>
      <c r="P760" s="101">
        <v>500</v>
      </c>
      <c r="Q760" s="100">
        <v>0</v>
      </c>
    </row>
    <row r="761" spans="1:17" ht="45" customHeight="1" x14ac:dyDescent="0.25">
      <c r="A761" s="11"/>
      <c r="B761" s="2413"/>
      <c r="C761" s="2426"/>
      <c r="D761" s="2364"/>
      <c r="E761" s="2277"/>
      <c r="F761" s="2343"/>
      <c r="G761" s="2343"/>
      <c r="H761" s="2343"/>
      <c r="I761" s="2343"/>
      <c r="J761" s="2343"/>
      <c r="K761" s="39" t="s">
        <v>1197</v>
      </c>
      <c r="L761" s="101" t="s">
        <v>35</v>
      </c>
      <c r="M761" s="101">
        <v>49</v>
      </c>
      <c r="N761" s="101">
        <v>25</v>
      </c>
      <c r="O761" s="101">
        <v>26</v>
      </c>
      <c r="P761" s="101">
        <v>100</v>
      </c>
      <c r="Q761" s="100">
        <v>0</v>
      </c>
    </row>
    <row r="762" spans="1:17" ht="30" customHeight="1" x14ac:dyDescent="0.25">
      <c r="B762" s="2413"/>
      <c r="C762" s="2426"/>
      <c r="D762" s="2364"/>
      <c r="E762" s="2277"/>
      <c r="F762" s="2343"/>
      <c r="G762" s="2343"/>
      <c r="H762" s="2343"/>
      <c r="I762" s="2343"/>
      <c r="J762" s="2343"/>
      <c r="K762" s="39" t="s">
        <v>445</v>
      </c>
      <c r="L762" s="101" t="s">
        <v>40</v>
      </c>
      <c r="M762" s="101">
        <v>10</v>
      </c>
      <c r="N762" s="101">
        <v>10</v>
      </c>
      <c r="O762" s="101">
        <v>10</v>
      </c>
      <c r="P762" s="101">
        <v>10</v>
      </c>
      <c r="Q762" s="100">
        <v>0</v>
      </c>
    </row>
    <row r="763" spans="1:17" ht="45" x14ac:dyDescent="0.25">
      <c r="B763" s="2413"/>
      <c r="C763" s="2426"/>
      <c r="D763" s="2364"/>
      <c r="E763" s="2277"/>
      <c r="F763" s="2343"/>
      <c r="G763" s="2343"/>
      <c r="H763" s="2343"/>
      <c r="I763" s="2343"/>
      <c r="J763" s="2343"/>
      <c r="K763" s="39" t="s">
        <v>446</v>
      </c>
      <c r="L763" s="101" t="s">
        <v>40</v>
      </c>
      <c r="M763" s="101">
        <v>2</v>
      </c>
      <c r="N763" s="101">
        <v>2</v>
      </c>
      <c r="O763" s="101">
        <v>2</v>
      </c>
      <c r="P763" s="101">
        <v>2</v>
      </c>
      <c r="Q763" s="100">
        <v>0</v>
      </c>
    </row>
    <row r="764" spans="1:17" ht="30" x14ac:dyDescent="0.25">
      <c r="B764" s="2413"/>
      <c r="C764" s="2426"/>
      <c r="D764" s="2364"/>
      <c r="E764" s="2277"/>
      <c r="F764" s="2343"/>
      <c r="G764" s="2343"/>
      <c r="H764" s="2343"/>
      <c r="I764" s="2343"/>
      <c r="J764" s="2343"/>
      <c r="K764" s="39" t="s">
        <v>447</v>
      </c>
      <c r="L764" s="101" t="s">
        <v>40</v>
      </c>
      <c r="M764" s="101">
        <v>2</v>
      </c>
      <c r="N764" s="101">
        <v>2</v>
      </c>
      <c r="O764" s="101">
        <v>2</v>
      </c>
      <c r="P764" s="101">
        <v>0</v>
      </c>
      <c r="Q764" s="100">
        <v>0</v>
      </c>
    </row>
    <row r="765" spans="1:17" ht="30" x14ac:dyDescent="0.25">
      <c r="B765" s="2413"/>
      <c r="C765" s="2426"/>
      <c r="D765" s="2364"/>
      <c r="E765" s="2277"/>
      <c r="F765" s="2343"/>
      <c r="G765" s="2343"/>
      <c r="H765" s="2343"/>
      <c r="I765" s="2343"/>
      <c r="J765" s="2343"/>
      <c r="K765" s="39" t="s">
        <v>448</v>
      </c>
      <c r="L765" s="101" t="s">
        <v>35</v>
      </c>
      <c r="M765" s="186" t="s">
        <v>449</v>
      </c>
      <c r="N765" s="186" t="s">
        <v>449</v>
      </c>
      <c r="O765" s="186" t="s">
        <v>449</v>
      </c>
      <c r="P765" s="186" t="s">
        <v>449</v>
      </c>
      <c r="Q765" s="100">
        <v>0</v>
      </c>
    </row>
    <row r="766" spans="1:17" ht="45" x14ac:dyDescent="0.25">
      <c r="B766" s="2413"/>
      <c r="C766" s="2426"/>
      <c r="D766" s="2364"/>
      <c r="E766" s="2277"/>
      <c r="F766" s="2343"/>
      <c r="G766" s="2343"/>
      <c r="H766" s="2343"/>
      <c r="I766" s="2343"/>
      <c r="J766" s="2343"/>
      <c r="K766" s="187" t="s">
        <v>450</v>
      </c>
      <c r="L766" s="188" t="s">
        <v>40</v>
      </c>
      <c r="M766" s="188">
        <v>4</v>
      </c>
      <c r="N766" s="188">
        <v>4</v>
      </c>
      <c r="O766" s="188">
        <v>4</v>
      </c>
      <c r="P766" s="188">
        <v>4</v>
      </c>
      <c r="Q766" s="102">
        <v>0</v>
      </c>
    </row>
    <row r="767" spans="1:17" ht="30" x14ac:dyDescent="0.25">
      <c r="B767" s="2413"/>
      <c r="C767" s="2426"/>
      <c r="D767" s="2364"/>
      <c r="E767" s="2277"/>
      <c r="F767" s="2343"/>
      <c r="G767" s="2343"/>
      <c r="H767" s="2343"/>
      <c r="I767" s="2343"/>
      <c r="J767" s="2343"/>
      <c r="K767" s="39" t="s">
        <v>451</v>
      </c>
      <c r="L767" s="101" t="s">
        <v>40</v>
      </c>
      <c r="M767" s="101">
        <v>1</v>
      </c>
      <c r="N767" s="101">
        <v>1</v>
      </c>
      <c r="O767" s="101">
        <v>1</v>
      </c>
      <c r="P767" s="101">
        <v>2</v>
      </c>
      <c r="Q767" s="100">
        <v>0</v>
      </c>
    </row>
    <row r="768" spans="1:17" ht="30" customHeight="1" x14ac:dyDescent="0.25">
      <c r="B768" s="2355"/>
      <c r="C768" s="2427"/>
      <c r="D768" s="2364"/>
      <c r="E768" s="2088"/>
      <c r="F768" s="2342"/>
      <c r="G768" s="2342"/>
      <c r="H768" s="2342"/>
      <c r="I768" s="2342"/>
      <c r="J768" s="2342"/>
      <c r="K768" s="39" t="s">
        <v>452</v>
      </c>
      <c r="L768" s="101" t="s">
        <v>40</v>
      </c>
      <c r="M768" s="101">
        <v>3</v>
      </c>
      <c r="N768" s="101">
        <v>1</v>
      </c>
      <c r="O768" s="101">
        <v>1</v>
      </c>
      <c r="P768" s="101">
        <v>0</v>
      </c>
      <c r="Q768" s="100">
        <v>0</v>
      </c>
    </row>
    <row r="769" spans="1:17" ht="30" x14ac:dyDescent="0.25">
      <c r="B769" s="2354"/>
      <c r="C769" s="2356" t="s">
        <v>131</v>
      </c>
      <c r="D769" s="2357"/>
      <c r="E769" s="2365" t="s">
        <v>453</v>
      </c>
      <c r="F769" s="2341">
        <v>2699</v>
      </c>
      <c r="G769" s="2341">
        <v>5813.4</v>
      </c>
      <c r="H769" s="2341">
        <f>610.1+664</f>
        <v>1274.0999999999999</v>
      </c>
      <c r="I769" s="2341">
        <v>1277.4000000000001</v>
      </c>
      <c r="J769" s="2341">
        <v>1285.2</v>
      </c>
      <c r="K769" s="34" t="s">
        <v>454</v>
      </c>
      <c r="L769" s="898" t="s">
        <v>35</v>
      </c>
      <c r="M769" s="898">
        <v>50</v>
      </c>
      <c r="N769" s="898">
        <v>100</v>
      </c>
      <c r="O769" s="898">
        <v>100</v>
      </c>
      <c r="P769" s="898">
        <v>100</v>
      </c>
      <c r="Q769" s="103">
        <v>0</v>
      </c>
    </row>
    <row r="770" spans="1:17" ht="30" customHeight="1" x14ac:dyDescent="0.25">
      <c r="B770" s="2355"/>
      <c r="C770" s="2276"/>
      <c r="D770" s="2358"/>
      <c r="E770" s="2088"/>
      <c r="F770" s="2342"/>
      <c r="G770" s="2342"/>
      <c r="H770" s="2342"/>
      <c r="I770" s="2342"/>
      <c r="J770" s="2342"/>
      <c r="K770" s="39" t="s">
        <v>455</v>
      </c>
      <c r="L770" s="189" t="s">
        <v>35</v>
      </c>
      <c r="M770" s="189">
        <v>4</v>
      </c>
      <c r="N770" s="189">
        <v>6</v>
      </c>
      <c r="O770" s="189">
        <v>8</v>
      </c>
      <c r="P770" s="189">
        <v>10</v>
      </c>
      <c r="Q770" s="104">
        <v>0</v>
      </c>
    </row>
    <row r="771" spans="1:17" x14ac:dyDescent="0.25">
      <c r="B771" s="2362"/>
      <c r="C771" s="2421" t="s">
        <v>137</v>
      </c>
      <c r="D771" s="2357"/>
      <c r="E771" s="2662" t="s">
        <v>456</v>
      </c>
      <c r="F771" s="2341">
        <v>18893</v>
      </c>
      <c r="G771" s="2341">
        <v>10038.799999999999</v>
      </c>
      <c r="H771" s="2341">
        <f>1647.9+1488.5</f>
        <v>3136.4</v>
      </c>
      <c r="I771" s="2341">
        <v>2834.5</v>
      </c>
      <c r="J771" s="2341">
        <v>2842.3</v>
      </c>
      <c r="K771" s="2662" t="s">
        <v>457</v>
      </c>
      <c r="L771" s="2663" t="s">
        <v>40</v>
      </c>
      <c r="M771" s="2663">
        <v>1</v>
      </c>
      <c r="N771" s="2663">
        <v>1</v>
      </c>
      <c r="O771" s="2663">
        <v>1</v>
      </c>
      <c r="P771" s="2663">
        <v>1</v>
      </c>
      <c r="Q771" s="2434">
        <v>0</v>
      </c>
    </row>
    <row r="772" spans="1:17" ht="15" customHeight="1" x14ac:dyDescent="0.25">
      <c r="B772" s="2362"/>
      <c r="C772" s="2422"/>
      <c r="D772" s="2358"/>
      <c r="E772" s="2560"/>
      <c r="F772" s="2342"/>
      <c r="G772" s="2342"/>
      <c r="H772" s="2342"/>
      <c r="I772" s="2342"/>
      <c r="J772" s="2342"/>
      <c r="K772" s="2560"/>
      <c r="L772" s="2664"/>
      <c r="M772" s="2664"/>
      <c r="N772" s="2664"/>
      <c r="O772" s="2664"/>
      <c r="P772" s="2664"/>
      <c r="Q772" s="2435"/>
    </row>
    <row r="773" spans="1:17" ht="87.75" x14ac:dyDescent="0.25">
      <c r="B773" s="728">
        <v>3</v>
      </c>
      <c r="C773" s="39"/>
      <c r="D773" s="39"/>
      <c r="E773" s="190" t="s">
        <v>1006</v>
      </c>
      <c r="F773" s="320">
        <f>F774+F775</f>
        <v>6747.5</v>
      </c>
      <c r="G773" s="320">
        <f t="shared" ref="G773:J773" si="82">G774+G775</f>
        <v>3636.8</v>
      </c>
      <c r="H773" s="320">
        <f t="shared" si="82"/>
        <v>2978.8999999999996</v>
      </c>
      <c r="I773" s="320">
        <f t="shared" si="82"/>
        <v>3059.8999999999996</v>
      </c>
      <c r="J773" s="320">
        <f t="shared" si="82"/>
        <v>3059.8999999999996</v>
      </c>
      <c r="K773" s="198"/>
      <c r="L773" s="25"/>
      <c r="M773" s="25"/>
      <c r="N773" s="25"/>
      <c r="O773" s="25"/>
      <c r="P773" s="715"/>
      <c r="Q773" s="199"/>
    </row>
    <row r="774" spans="1:17" ht="15" customHeight="1" x14ac:dyDescent="0.25">
      <c r="B774" s="832"/>
      <c r="C774" s="837" t="s">
        <v>5</v>
      </c>
      <c r="D774" s="191"/>
      <c r="E774" s="192" t="s">
        <v>458</v>
      </c>
      <c r="F774" s="325">
        <v>4048.5</v>
      </c>
      <c r="G774" s="325">
        <v>1859.5</v>
      </c>
      <c r="H774" s="325">
        <f>879.3+984.3</f>
        <v>1863.6</v>
      </c>
      <c r="I774" s="325">
        <v>1860.1</v>
      </c>
      <c r="J774" s="325">
        <v>1852.3</v>
      </c>
      <c r="K774" s="192" t="s">
        <v>459</v>
      </c>
      <c r="L774" s="189" t="s">
        <v>40</v>
      </c>
      <c r="M774" s="193">
        <v>0</v>
      </c>
      <c r="N774" s="193">
        <v>0</v>
      </c>
      <c r="O774" s="193">
        <v>1</v>
      </c>
      <c r="P774" s="194">
        <v>0</v>
      </c>
      <c r="Q774" s="195">
        <v>0</v>
      </c>
    </row>
    <row r="775" spans="1:17" ht="45" x14ac:dyDescent="0.25">
      <c r="B775" s="200"/>
      <c r="C775" s="835" t="s">
        <v>7</v>
      </c>
      <c r="D775" s="120"/>
      <c r="E775" s="201" t="s">
        <v>460</v>
      </c>
      <c r="F775" s="321">
        <v>2699</v>
      </c>
      <c r="G775" s="321">
        <v>1777.3</v>
      </c>
      <c r="H775" s="321">
        <f>470.4+644.9</f>
        <v>1115.3</v>
      </c>
      <c r="I775" s="321">
        <v>1199.8</v>
      </c>
      <c r="J775" s="321">
        <v>1207.5999999999999</v>
      </c>
      <c r="K775" s="201" t="s">
        <v>461</v>
      </c>
      <c r="L775" s="29" t="s">
        <v>40</v>
      </c>
      <c r="M775" s="202">
        <v>4</v>
      </c>
      <c r="N775" s="202">
        <v>4</v>
      </c>
      <c r="O775" s="202">
        <v>4</v>
      </c>
      <c r="P775" s="203">
        <v>4</v>
      </c>
      <c r="Q775" s="50">
        <v>0</v>
      </c>
    </row>
    <row r="776" spans="1:17" x14ac:dyDescent="0.25">
      <c r="A776" s="30"/>
      <c r="B776" s="2659" t="s">
        <v>85</v>
      </c>
      <c r="C776" s="2660"/>
      <c r="D776" s="2660"/>
      <c r="E776" s="2661"/>
      <c r="F776" s="327">
        <f>F742+F754+F773</f>
        <v>232114.3</v>
      </c>
      <c r="G776" s="327">
        <f t="shared" ref="G776:J776" si="83">G742+G754+G773</f>
        <v>130592.00000000001</v>
      </c>
      <c r="H776" s="327">
        <f t="shared" si="83"/>
        <v>130191.99999999999</v>
      </c>
      <c r="I776" s="327">
        <f t="shared" si="83"/>
        <v>129963.29999999999</v>
      </c>
      <c r="J776" s="327">
        <f t="shared" si="83"/>
        <v>129810.9</v>
      </c>
      <c r="K776" s="196"/>
      <c r="L776" s="196"/>
      <c r="M776" s="196"/>
      <c r="N776" s="196"/>
      <c r="O776" s="196"/>
      <c r="P776" s="197"/>
      <c r="Q776" s="88"/>
    </row>
    <row r="777" spans="1:17" x14ac:dyDescent="0.25">
      <c r="A777" s="2335" t="s">
        <v>1200</v>
      </c>
      <c r="B777" s="2335"/>
      <c r="C777" s="2335"/>
      <c r="D777" s="2335"/>
      <c r="E777" s="2335"/>
      <c r="F777" s="2335"/>
      <c r="G777" s="2335"/>
      <c r="H777" s="2335"/>
      <c r="I777" s="2335"/>
      <c r="J777" s="2335"/>
      <c r="K777" s="2335"/>
      <c r="L777" s="2335"/>
      <c r="M777" s="2335"/>
      <c r="N777" s="2335"/>
      <c r="O777" s="2335"/>
      <c r="P777" s="2335"/>
      <c r="Q777" s="2336"/>
    </row>
    <row r="778" spans="1:17" ht="88.5" x14ac:dyDescent="0.25">
      <c r="A778" s="12"/>
      <c r="B778" s="842" t="s">
        <v>516</v>
      </c>
      <c r="C778" s="842"/>
      <c r="D778" s="842"/>
      <c r="E778" s="81" t="s">
        <v>1201</v>
      </c>
      <c r="F778" s="932">
        <v>546211</v>
      </c>
      <c r="G778" s="932">
        <v>612172</v>
      </c>
      <c r="H778" s="932">
        <f>H779+H780+H781+H782</f>
        <v>586066.4</v>
      </c>
      <c r="I778" s="932">
        <f t="shared" ref="I778:J778" si="84">I779+I780+I781+I782</f>
        <v>590389.19999999995</v>
      </c>
      <c r="J778" s="932">
        <f t="shared" si="84"/>
        <v>590389.19999999995</v>
      </c>
      <c r="K778" s="75"/>
      <c r="L778" s="36"/>
      <c r="M778" s="36"/>
      <c r="N778" s="36"/>
      <c r="O778" s="36"/>
      <c r="P778" s="36"/>
      <c r="Q778" s="36"/>
    </row>
    <row r="779" spans="1:17" x14ac:dyDescent="0.25">
      <c r="B779" s="835"/>
      <c r="C779" s="835" t="s">
        <v>5</v>
      </c>
      <c r="D779" s="36"/>
      <c r="E779" s="933" t="s">
        <v>6</v>
      </c>
      <c r="F779" s="934">
        <v>44361.7</v>
      </c>
      <c r="G779" s="934">
        <v>46032</v>
      </c>
      <c r="H779" s="934">
        <v>50382.6</v>
      </c>
      <c r="I779" s="934">
        <v>50382.6</v>
      </c>
      <c r="J779" s="934">
        <v>50382.6</v>
      </c>
      <c r="K779" s="75"/>
      <c r="L779" s="36"/>
      <c r="M779" s="36"/>
      <c r="N779" s="36"/>
      <c r="O779" s="36"/>
      <c r="P779" s="36"/>
      <c r="Q779" s="111"/>
    </row>
    <row r="780" spans="1:17" ht="30" x14ac:dyDescent="0.25">
      <c r="B780" s="835"/>
      <c r="C780" s="835" t="s">
        <v>129</v>
      </c>
      <c r="D780" s="36"/>
      <c r="E780" s="933" t="s">
        <v>14</v>
      </c>
      <c r="F780" s="934">
        <v>80552.5</v>
      </c>
      <c r="G780" s="934">
        <v>14300</v>
      </c>
      <c r="H780" s="934">
        <v>11826.8</v>
      </c>
      <c r="I780" s="934">
        <v>16149.6</v>
      </c>
      <c r="J780" s="934">
        <v>16149.6</v>
      </c>
      <c r="K780" s="75"/>
      <c r="L780" s="36"/>
      <c r="M780" s="36"/>
      <c r="N780" s="36"/>
      <c r="O780" s="36"/>
      <c r="P780" s="29"/>
      <c r="Q780" s="935"/>
    </row>
    <row r="781" spans="1:17" ht="90" x14ac:dyDescent="0.25">
      <c r="B781" s="835"/>
      <c r="C781" s="835" t="s">
        <v>1202</v>
      </c>
      <c r="D781" s="36"/>
      <c r="E781" s="933" t="s">
        <v>1203</v>
      </c>
      <c r="F781" s="934">
        <v>16557.3</v>
      </c>
      <c r="G781" s="934">
        <v>21581.7</v>
      </c>
      <c r="H781" s="934">
        <f>22077.8+500</f>
        <v>22577.8</v>
      </c>
      <c r="I781" s="934">
        <v>22577.800000000003</v>
      </c>
      <c r="J781" s="934">
        <v>22577.800000000003</v>
      </c>
      <c r="K781" s="36"/>
      <c r="L781" s="36"/>
      <c r="M781" s="36"/>
      <c r="N781" s="36"/>
      <c r="O781" s="36"/>
      <c r="P781" s="36"/>
      <c r="Q781" s="111"/>
    </row>
    <row r="782" spans="1:17" ht="75" x14ac:dyDescent="0.25">
      <c r="B782" s="835"/>
      <c r="C782" s="835" t="s">
        <v>1204</v>
      </c>
      <c r="D782" s="36"/>
      <c r="E782" s="841" t="s">
        <v>1205</v>
      </c>
      <c r="F782" s="936">
        <v>404739.5</v>
      </c>
      <c r="G782" s="936">
        <v>530258.30000000005</v>
      </c>
      <c r="H782" s="936">
        <v>501279.2</v>
      </c>
      <c r="I782" s="936">
        <v>501279.2</v>
      </c>
      <c r="J782" s="936">
        <v>501279.2</v>
      </c>
      <c r="K782" s="29"/>
      <c r="L782" s="36"/>
      <c r="M782" s="36"/>
      <c r="N782" s="36"/>
      <c r="O782" s="36"/>
      <c r="P782" s="36"/>
      <c r="Q782" s="111"/>
    </row>
    <row r="783" spans="1:17" ht="178.5" x14ac:dyDescent="0.25">
      <c r="B783" s="911" t="s">
        <v>467</v>
      </c>
      <c r="C783" s="937"/>
      <c r="D783" s="112"/>
      <c r="E783" s="112" t="s">
        <v>1206</v>
      </c>
      <c r="F783" s="315">
        <v>6564372.1000000006</v>
      </c>
      <c r="G783" s="315">
        <v>8806642.9000000004</v>
      </c>
      <c r="H783" s="315">
        <f>H784+H787+H790+H791+H792+H794+H796+H798+H799</f>
        <v>7539177.2000000002</v>
      </c>
      <c r="I783" s="315">
        <f t="shared" ref="I783:J783" si="85">I784+I787+I790+I791+I792+I794+I796+I798+I799</f>
        <v>7559397.5</v>
      </c>
      <c r="J783" s="315">
        <f t="shared" si="85"/>
        <v>7578764.2000000002</v>
      </c>
      <c r="K783" s="112"/>
      <c r="L783" s="112"/>
      <c r="M783" s="112"/>
      <c r="N783" s="112"/>
      <c r="O783" s="112"/>
      <c r="P783" s="112"/>
      <c r="Q783" s="112"/>
    </row>
    <row r="784" spans="1:17" ht="60" x14ac:dyDescent="0.25">
      <c r="B784" s="2108"/>
      <c r="C784" s="1888" t="s">
        <v>5</v>
      </c>
      <c r="D784" s="2119"/>
      <c r="E784" s="1900" t="s">
        <v>1207</v>
      </c>
      <c r="F784" s="2104">
        <v>3584775.2</v>
      </c>
      <c r="G784" s="2104">
        <v>5314824.4000000004</v>
      </c>
      <c r="H784" s="2104">
        <f>4068747.3</f>
        <v>4068747.3</v>
      </c>
      <c r="I784" s="2104">
        <v>4068747.3</v>
      </c>
      <c r="J784" s="2104">
        <v>4068747.3</v>
      </c>
      <c r="K784" s="113" t="s">
        <v>1208</v>
      </c>
      <c r="L784" s="112" t="s">
        <v>35</v>
      </c>
      <c r="M784" s="112" t="s">
        <v>1209</v>
      </c>
      <c r="N784" s="112">
        <v>48</v>
      </c>
      <c r="O784" s="112">
        <v>48</v>
      </c>
      <c r="P784" s="112">
        <v>48</v>
      </c>
      <c r="Q784" s="112">
        <v>48</v>
      </c>
    </row>
    <row r="785" spans="1:17" ht="45" x14ac:dyDescent="0.25">
      <c r="B785" s="2109"/>
      <c r="C785" s="2121"/>
      <c r="D785" s="2305"/>
      <c r="E785" s="2123"/>
      <c r="F785" s="2114"/>
      <c r="G785" s="2114"/>
      <c r="H785" s="2114"/>
      <c r="I785" s="2114"/>
      <c r="J785" s="2114"/>
      <c r="K785" s="113" t="s">
        <v>1210</v>
      </c>
      <c r="L785" s="112" t="s">
        <v>35</v>
      </c>
      <c r="M785" s="112" t="s">
        <v>1211</v>
      </c>
      <c r="N785" s="112" t="s">
        <v>1212</v>
      </c>
      <c r="O785" s="112" t="s">
        <v>1212</v>
      </c>
      <c r="P785" s="112" t="s">
        <v>1212</v>
      </c>
      <c r="Q785" s="112" t="s">
        <v>1212</v>
      </c>
    </row>
    <row r="786" spans="1:17" ht="75" x14ac:dyDescent="0.25">
      <c r="B786" s="2110"/>
      <c r="C786" s="1898"/>
      <c r="D786" s="2120"/>
      <c r="E786" s="1901"/>
      <c r="F786" s="2105"/>
      <c r="G786" s="2105"/>
      <c r="H786" s="2105"/>
      <c r="I786" s="2105"/>
      <c r="J786" s="2105"/>
      <c r="K786" s="113" t="s">
        <v>1213</v>
      </c>
      <c r="L786" s="112" t="s">
        <v>35</v>
      </c>
      <c r="M786" s="112" t="s">
        <v>1214</v>
      </c>
      <c r="N786" s="112">
        <v>100</v>
      </c>
      <c r="O786" s="112">
        <v>100</v>
      </c>
      <c r="P786" s="112">
        <v>100</v>
      </c>
      <c r="Q786" s="112">
        <v>100</v>
      </c>
    </row>
    <row r="787" spans="1:17" ht="30" x14ac:dyDescent="0.25">
      <c r="B787" s="2108"/>
      <c r="C787" s="1888" t="s">
        <v>7</v>
      </c>
      <c r="D787" s="2119"/>
      <c r="E787" s="1900" t="s">
        <v>1215</v>
      </c>
      <c r="F787" s="2104">
        <v>2940582.2</v>
      </c>
      <c r="G787" s="2104">
        <v>3438424.5</v>
      </c>
      <c r="H787" s="2104">
        <v>3398895.7</v>
      </c>
      <c r="I787" s="2104">
        <f>3433116</f>
        <v>3433116</v>
      </c>
      <c r="J787" s="2104">
        <f>3452482.7</f>
        <v>3452482.7</v>
      </c>
      <c r="K787" s="113" t="s">
        <v>1216</v>
      </c>
      <c r="L787" s="112" t="s">
        <v>35</v>
      </c>
      <c r="M787" s="112">
        <v>168.5</v>
      </c>
      <c r="N787" s="112">
        <v>168.5</v>
      </c>
      <c r="O787" s="112">
        <v>224.7</v>
      </c>
      <c r="P787" s="112">
        <v>224.7</v>
      </c>
      <c r="Q787" s="112">
        <v>224.7</v>
      </c>
    </row>
    <row r="788" spans="1:17" ht="30" x14ac:dyDescent="0.25">
      <c r="B788" s="2109"/>
      <c r="C788" s="2121"/>
      <c r="D788" s="2305"/>
      <c r="E788" s="2123"/>
      <c r="F788" s="2114"/>
      <c r="G788" s="2114"/>
      <c r="H788" s="2114"/>
      <c r="I788" s="2114"/>
      <c r="J788" s="2114"/>
      <c r="K788" s="113" t="s">
        <v>1217</v>
      </c>
      <c r="L788" s="112" t="s">
        <v>35</v>
      </c>
      <c r="M788" s="112" t="s">
        <v>1218</v>
      </c>
      <c r="N788" s="112" t="s">
        <v>1219</v>
      </c>
      <c r="O788" s="112" t="s">
        <v>1219</v>
      </c>
      <c r="P788" s="112" t="s">
        <v>1219</v>
      </c>
      <c r="Q788" s="112" t="s">
        <v>1219</v>
      </c>
    </row>
    <row r="789" spans="1:17" ht="30" x14ac:dyDescent="0.25">
      <c r="B789" s="2110"/>
      <c r="C789" s="1898"/>
      <c r="D789" s="2120"/>
      <c r="E789" s="1901"/>
      <c r="F789" s="2105"/>
      <c r="G789" s="2105"/>
      <c r="H789" s="2105"/>
      <c r="I789" s="2105"/>
      <c r="J789" s="2105"/>
      <c r="K789" s="113" t="s">
        <v>1220</v>
      </c>
      <c r="L789" s="112" t="s">
        <v>35</v>
      </c>
      <c r="M789" s="112">
        <v>56.2</v>
      </c>
      <c r="N789" s="112">
        <v>56.2</v>
      </c>
      <c r="O789" s="112">
        <v>56.2</v>
      </c>
      <c r="P789" s="112">
        <v>56.2</v>
      </c>
      <c r="Q789" s="112">
        <v>56.2</v>
      </c>
    </row>
    <row r="790" spans="1:17" ht="75" x14ac:dyDescent="0.25">
      <c r="A790" s="11"/>
      <c r="B790" s="938"/>
      <c r="C790" s="937" t="s">
        <v>9</v>
      </c>
      <c r="D790" s="112"/>
      <c r="E790" s="112" t="s">
        <v>1221</v>
      </c>
      <c r="F790" s="2104">
        <v>25238.7</v>
      </c>
      <c r="G790" s="114">
        <v>25346.1</v>
      </c>
      <c r="H790" s="114">
        <v>38557.599999999999</v>
      </c>
      <c r="I790" s="114">
        <v>24557.600000000002</v>
      </c>
      <c r="J790" s="114">
        <v>24557.600000000002</v>
      </c>
      <c r="K790" s="113" t="s">
        <v>1222</v>
      </c>
      <c r="L790" s="112" t="s">
        <v>1223</v>
      </c>
      <c r="M790" s="112">
        <v>37</v>
      </c>
      <c r="N790" s="112">
        <v>37</v>
      </c>
      <c r="O790" s="112">
        <v>37</v>
      </c>
      <c r="P790" s="112">
        <v>37</v>
      </c>
      <c r="Q790" s="112">
        <v>37</v>
      </c>
    </row>
    <row r="791" spans="1:17" ht="75" x14ac:dyDescent="0.25">
      <c r="A791" s="11"/>
      <c r="B791" s="938"/>
      <c r="C791" s="937" t="s">
        <v>11</v>
      </c>
      <c r="D791" s="112"/>
      <c r="E791" s="112" t="s">
        <v>1224</v>
      </c>
      <c r="F791" s="2105"/>
      <c r="G791" s="114">
        <v>1213.8</v>
      </c>
      <c r="H791" s="114">
        <v>1214.3999999999999</v>
      </c>
      <c r="I791" s="114">
        <v>1214.3999999999999</v>
      </c>
      <c r="J791" s="114">
        <v>1214.3999999999999</v>
      </c>
      <c r="K791" s="113" t="s">
        <v>1225</v>
      </c>
      <c r="L791" s="112" t="s">
        <v>1226</v>
      </c>
      <c r="M791" s="112">
        <v>37</v>
      </c>
      <c r="N791" s="112">
        <v>37</v>
      </c>
      <c r="O791" s="112">
        <v>37</v>
      </c>
      <c r="P791" s="112">
        <v>37</v>
      </c>
      <c r="Q791" s="112">
        <v>37</v>
      </c>
    </row>
    <row r="792" spans="1:17" ht="30" x14ac:dyDescent="0.25">
      <c r="A792" s="11"/>
      <c r="B792" s="2108"/>
      <c r="C792" s="1888" t="s">
        <v>127</v>
      </c>
      <c r="D792" s="2119"/>
      <c r="E792" s="2303" t="s">
        <v>1227</v>
      </c>
      <c r="F792" s="2104">
        <v>7346.1</v>
      </c>
      <c r="G792" s="2104">
        <v>16600</v>
      </c>
      <c r="H792" s="2104">
        <v>18500</v>
      </c>
      <c r="I792" s="2104">
        <v>18500</v>
      </c>
      <c r="J792" s="2104">
        <v>18500</v>
      </c>
      <c r="K792" s="113" t="s">
        <v>1228</v>
      </c>
      <c r="L792" s="112" t="s">
        <v>1229</v>
      </c>
      <c r="M792" s="112">
        <v>7</v>
      </c>
      <c r="N792" s="112">
        <v>7</v>
      </c>
      <c r="O792" s="112">
        <v>7</v>
      </c>
      <c r="P792" s="112">
        <v>7</v>
      </c>
      <c r="Q792" s="112">
        <v>7</v>
      </c>
    </row>
    <row r="793" spans="1:17" ht="30" x14ac:dyDescent="0.25">
      <c r="A793" s="11"/>
      <c r="B793" s="2110"/>
      <c r="C793" s="1898"/>
      <c r="D793" s="2120"/>
      <c r="E793" s="2304"/>
      <c r="F793" s="2105"/>
      <c r="G793" s="2105"/>
      <c r="H793" s="2105"/>
      <c r="I793" s="2105"/>
      <c r="J793" s="2105"/>
      <c r="K793" s="113" t="s">
        <v>1230</v>
      </c>
      <c r="L793" s="112" t="s">
        <v>1229</v>
      </c>
      <c r="M793" s="112">
        <v>10</v>
      </c>
      <c r="N793" s="112">
        <v>12</v>
      </c>
      <c r="O793" s="112">
        <v>12</v>
      </c>
      <c r="P793" s="112">
        <v>12</v>
      </c>
      <c r="Q793" s="112">
        <v>12</v>
      </c>
    </row>
    <row r="794" spans="1:17" ht="45" x14ac:dyDescent="0.25">
      <c r="A794" s="11"/>
      <c r="B794" s="2108"/>
      <c r="C794" s="1888" t="s">
        <v>129</v>
      </c>
      <c r="D794" s="2119"/>
      <c r="E794" s="2124" t="s">
        <v>1231</v>
      </c>
      <c r="F794" s="2104">
        <v>1998.8</v>
      </c>
      <c r="G794" s="2104">
        <v>2000</v>
      </c>
      <c r="H794" s="2104">
        <v>2600</v>
      </c>
      <c r="I794" s="2104">
        <v>2600</v>
      </c>
      <c r="J794" s="2104">
        <v>2600</v>
      </c>
      <c r="K794" s="113" t="s">
        <v>1232</v>
      </c>
      <c r="L794" s="112" t="s">
        <v>203</v>
      </c>
      <c r="M794" s="112">
        <v>100</v>
      </c>
      <c r="N794" s="112">
        <v>100</v>
      </c>
      <c r="O794" s="112">
        <v>100</v>
      </c>
      <c r="P794" s="112">
        <v>100</v>
      </c>
      <c r="Q794" s="112">
        <v>100</v>
      </c>
    </row>
    <row r="795" spans="1:17" ht="45" x14ac:dyDescent="0.25">
      <c r="A795" s="11"/>
      <c r="B795" s="2110"/>
      <c r="C795" s="1898"/>
      <c r="D795" s="2120"/>
      <c r="E795" s="2125"/>
      <c r="F795" s="2105"/>
      <c r="G795" s="2105"/>
      <c r="H795" s="2105"/>
      <c r="I795" s="2105"/>
      <c r="J795" s="2105"/>
      <c r="K795" s="113" t="s">
        <v>1233</v>
      </c>
      <c r="L795" s="112" t="s">
        <v>203</v>
      </c>
      <c r="M795" s="112">
        <v>36</v>
      </c>
      <c r="N795" s="112">
        <v>35</v>
      </c>
      <c r="O795" s="112">
        <v>35</v>
      </c>
      <c r="P795" s="112">
        <v>35</v>
      </c>
      <c r="Q795" s="112">
        <v>35</v>
      </c>
    </row>
    <row r="796" spans="1:17" ht="30" x14ac:dyDescent="0.25">
      <c r="A796" s="11"/>
      <c r="B796" s="2108"/>
      <c r="C796" s="1888" t="s">
        <v>134</v>
      </c>
      <c r="D796" s="2119"/>
      <c r="E796" s="1900" t="s">
        <v>1234</v>
      </c>
      <c r="F796" s="2104">
        <v>1241.4000000000001</v>
      </c>
      <c r="G796" s="2104">
        <v>4050</v>
      </c>
      <c r="H796" s="2104">
        <v>6409.4</v>
      </c>
      <c r="I796" s="2104">
        <v>6409.4</v>
      </c>
      <c r="J796" s="2104">
        <v>6409.4</v>
      </c>
      <c r="K796" s="113" t="s">
        <v>1235</v>
      </c>
      <c r="L796" s="112" t="s">
        <v>203</v>
      </c>
      <c r="M796" s="112">
        <v>35</v>
      </c>
      <c r="N796" s="112">
        <v>60</v>
      </c>
      <c r="O796" s="112">
        <v>60</v>
      </c>
      <c r="P796" s="112">
        <v>60</v>
      </c>
      <c r="Q796" s="112">
        <v>60</v>
      </c>
    </row>
    <row r="797" spans="1:17" ht="30" x14ac:dyDescent="0.25">
      <c r="A797" s="11"/>
      <c r="B797" s="2110"/>
      <c r="C797" s="1898"/>
      <c r="D797" s="2120"/>
      <c r="E797" s="1901"/>
      <c r="F797" s="2105"/>
      <c r="G797" s="2105"/>
      <c r="H797" s="2105"/>
      <c r="I797" s="2105"/>
      <c r="J797" s="2105"/>
      <c r="K797" s="113" t="s">
        <v>1236</v>
      </c>
      <c r="L797" s="112" t="s">
        <v>203</v>
      </c>
      <c r="M797" s="112">
        <v>30</v>
      </c>
      <c r="N797" s="112">
        <v>40</v>
      </c>
      <c r="O797" s="112">
        <v>60</v>
      </c>
      <c r="P797" s="112">
        <v>60</v>
      </c>
      <c r="Q797" s="112">
        <v>60</v>
      </c>
    </row>
    <row r="798" spans="1:17" ht="60" x14ac:dyDescent="0.25">
      <c r="A798" s="11"/>
      <c r="B798" s="938"/>
      <c r="C798" s="937" t="s">
        <v>137</v>
      </c>
      <c r="D798" s="112"/>
      <c r="E798" s="113" t="s">
        <v>1237</v>
      </c>
      <c r="F798" s="114">
        <v>834.4</v>
      </c>
      <c r="G798" s="114">
        <v>1200</v>
      </c>
      <c r="H798" s="114">
        <v>1204.2</v>
      </c>
      <c r="I798" s="114">
        <v>1204.2</v>
      </c>
      <c r="J798" s="114">
        <v>1204.2</v>
      </c>
      <c r="K798" s="113" t="s">
        <v>1238</v>
      </c>
      <c r="L798" s="112" t="s">
        <v>203</v>
      </c>
      <c r="M798" s="112">
        <v>16</v>
      </c>
      <c r="N798" s="112">
        <v>18</v>
      </c>
      <c r="O798" s="112">
        <v>18</v>
      </c>
      <c r="P798" s="112">
        <v>18</v>
      </c>
      <c r="Q798" s="112">
        <v>18</v>
      </c>
    </row>
    <row r="799" spans="1:17" ht="45" x14ac:dyDescent="0.25">
      <c r="A799" s="11"/>
      <c r="B799" s="938"/>
      <c r="C799" s="937" t="s">
        <v>413</v>
      </c>
      <c r="D799" s="112"/>
      <c r="E799" s="113" t="s">
        <v>1239</v>
      </c>
      <c r="F799" s="114">
        <v>2355.3000000000002</v>
      </c>
      <c r="G799" s="114">
        <v>2984.1</v>
      </c>
      <c r="H799" s="114">
        <v>3048.6</v>
      </c>
      <c r="I799" s="114">
        <v>3048.6</v>
      </c>
      <c r="J799" s="114">
        <v>3048.6</v>
      </c>
      <c r="K799" s="113" t="s">
        <v>1240</v>
      </c>
      <c r="L799" s="112" t="s">
        <v>1241</v>
      </c>
      <c r="M799" s="112">
        <v>745</v>
      </c>
      <c r="N799" s="112">
        <v>1220</v>
      </c>
      <c r="O799" s="112">
        <v>1220</v>
      </c>
      <c r="P799" s="112">
        <v>1220</v>
      </c>
      <c r="Q799" s="112">
        <v>1220</v>
      </c>
    </row>
    <row r="800" spans="1:17" x14ac:dyDescent="0.25">
      <c r="A800" s="11"/>
      <c r="C800" s="939"/>
      <c r="K800" s="940"/>
    </row>
    <row r="801" spans="1:17" ht="133.5" x14ac:dyDescent="0.25">
      <c r="A801" s="11"/>
      <c r="B801" s="911" t="s">
        <v>500</v>
      </c>
      <c r="C801" s="937"/>
      <c r="D801" s="112"/>
      <c r="E801" s="112" t="s">
        <v>1242</v>
      </c>
      <c r="F801" s="315">
        <v>534576.6</v>
      </c>
      <c r="G801" s="315">
        <v>550106.39999999991</v>
      </c>
      <c r="H801" s="315">
        <f>H802+H804+H805+H808+H812+H815+H816</f>
        <v>1090348.2999999998</v>
      </c>
      <c r="I801" s="315">
        <f t="shared" ref="I801:J801" si="86">I802+I804+I805+I808+I812+I815+I816</f>
        <v>1090375.3999999999</v>
      </c>
      <c r="J801" s="315">
        <f t="shared" si="86"/>
        <v>1090532.3999999999</v>
      </c>
      <c r="K801" s="113"/>
      <c r="L801" s="112"/>
      <c r="M801" s="112"/>
      <c r="N801" s="112"/>
      <c r="O801" s="112"/>
      <c r="P801" s="112"/>
      <c r="Q801" s="112"/>
    </row>
    <row r="802" spans="1:17" x14ac:dyDescent="0.25">
      <c r="A802" s="11"/>
      <c r="B802" s="2111"/>
      <c r="C802" s="1888" t="s">
        <v>5</v>
      </c>
      <c r="D802" s="1890"/>
      <c r="E802" s="2303" t="s">
        <v>1243</v>
      </c>
      <c r="F802" s="2104">
        <v>40554.5</v>
      </c>
      <c r="G802" s="2104">
        <v>48539.1</v>
      </c>
      <c r="H802" s="2104">
        <v>54615</v>
      </c>
      <c r="I802" s="2104">
        <v>54615</v>
      </c>
      <c r="J802" s="2104">
        <v>54615</v>
      </c>
      <c r="K802" s="113" t="s">
        <v>1244</v>
      </c>
      <c r="L802" s="112" t="s">
        <v>1245</v>
      </c>
      <c r="M802" s="112">
        <v>0</v>
      </c>
      <c r="N802" s="112">
        <v>1</v>
      </c>
      <c r="O802" s="112">
        <v>1</v>
      </c>
      <c r="P802" s="112">
        <v>1</v>
      </c>
      <c r="Q802" s="112">
        <v>1</v>
      </c>
    </row>
    <row r="803" spans="1:17" ht="30" x14ac:dyDescent="0.25">
      <c r="A803" s="11"/>
      <c r="B803" s="2112"/>
      <c r="C803" s="1898"/>
      <c r="D803" s="1899"/>
      <c r="E803" s="2304"/>
      <c r="F803" s="2105"/>
      <c r="G803" s="2105"/>
      <c r="H803" s="2105"/>
      <c r="I803" s="2105"/>
      <c r="J803" s="2105"/>
      <c r="K803" s="113" t="s">
        <v>1246</v>
      </c>
      <c r="L803" s="112" t="s">
        <v>203</v>
      </c>
      <c r="M803" s="112">
        <v>10</v>
      </c>
      <c r="N803" s="112">
        <v>10</v>
      </c>
      <c r="O803" s="112">
        <v>10</v>
      </c>
      <c r="P803" s="112">
        <v>10</v>
      </c>
      <c r="Q803" s="112">
        <v>10</v>
      </c>
    </row>
    <row r="804" spans="1:17" ht="30" x14ac:dyDescent="0.25">
      <c r="A804" s="11"/>
      <c r="B804" s="941"/>
      <c r="C804" s="937" t="s">
        <v>7</v>
      </c>
      <c r="D804" s="113"/>
      <c r="E804" s="112" t="s">
        <v>1247</v>
      </c>
      <c r="F804" s="114">
        <v>10647.8</v>
      </c>
      <c r="G804" s="114">
        <v>11181</v>
      </c>
      <c r="H804" s="114">
        <v>10481</v>
      </c>
      <c r="I804" s="114">
        <v>10481</v>
      </c>
      <c r="J804" s="114">
        <v>10481</v>
      </c>
      <c r="K804" s="113" t="s">
        <v>1248</v>
      </c>
      <c r="L804" s="112" t="s">
        <v>203</v>
      </c>
      <c r="M804" s="112">
        <v>581</v>
      </c>
      <c r="N804" s="112">
        <v>600</v>
      </c>
      <c r="O804" s="112">
        <v>600</v>
      </c>
      <c r="P804" s="112">
        <v>600</v>
      </c>
      <c r="Q804" s="112">
        <v>600</v>
      </c>
    </row>
    <row r="805" spans="1:17" x14ac:dyDescent="0.25">
      <c r="A805" s="11"/>
      <c r="B805" s="2111"/>
      <c r="C805" s="1888" t="s">
        <v>9</v>
      </c>
      <c r="D805" s="1890"/>
      <c r="E805" s="1900" t="s">
        <v>1249</v>
      </c>
      <c r="F805" s="2104">
        <v>355514.7</v>
      </c>
      <c r="G805" s="2104">
        <v>381876.3</v>
      </c>
      <c r="H805" s="2104">
        <f>383092.9+9699.1</f>
        <v>392792</v>
      </c>
      <c r="I805" s="2104">
        <v>392819.10000000003</v>
      </c>
      <c r="J805" s="2104">
        <v>392976.10000000003</v>
      </c>
      <c r="K805" s="113" t="s">
        <v>1250</v>
      </c>
      <c r="L805" s="112" t="s">
        <v>203</v>
      </c>
      <c r="M805" s="112">
        <v>2406</v>
      </c>
      <c r="N805" s="112">
        <v>2621</v>
      </c>
      <c r="O805" s="112">
        <v>2621</v>
      </c>
      <c r="P805" s="112">
        <v>2621</v>
      </c>
      <c r="Q805" s="112">
        <v>2621</v>
      </c>
    </row>
    <row r="806" spans="1:17" x14ac:dyDescent="0.25">
      <c r="B806" s="2113"/>
      <c r="C806" s="2121"/>
      <c r="D806" s="2122"/>
      <c r="E806" s="2123"/>
      <c r="F806" s="2114"/>
      <c r="G806" s="2114"/>
      <c r="H806" s="2114"/>
      <c r="I806" s="2114"/>
      <c r="J806" s="2114"/>
      <c r="K806" s="113" t="s">
        <v>1251</v>
      </c>
      <c r="L806" s="112" t="s">
        <v>311</v>
      </c>
      <c r="M806" s="112">
        <v>346985.3</v>
      </c>
      <c r="N806" s="112">
        <v>372385</v>
      </c>
      <c r="O806" s="112">
        <v>383092.9</v>
      </c>
      <c r="P806" s="112">
        <v>383092.9</v>
      </c>
      <c r="Q806" s="112">
        <v>383092.9</v>
      </c>
    </row>
    <row r="807" spans="1:17" ht="30" x14ac:dyDescent="0.25">
      <c r="B807" s="2112"/>
      <c r="C807" s="1898"/>
      <c r="D807" s="1899"/>
      <c r="E807" s="1901"/>
      <c r="F807" s="2105"/>
      <c r="G807" s="2105"/>
      <c r="H807" s="2105"/>
      <c r="I807" s="2105"/>
      <c r="J807" s="2105"/>
      <c r="K807" s="113" t="s">
        <v>1252</v>
      </c>
      <c r="L807" s="112" t="s">
        <v>311</v>
      </c>
      <c r="M807" s="112">
        <v>12.018055555555556</v>
      </c>
      <c r="N807" s="112">
        <v>11.839787612870404</v>
      </c>
      <c r="O807" s="112">
        <v>12.180239730382807</v>
      </c>
      <c r="P807" s="112">
        <v>12.180239730382807</v>
      </c>
      <c r="Q807" s="112">
        <v>12.180239730382807</v>
      </c>
    </row>
    <row r="808" spans="1:17" ht="30" x14ac:dyDescent="0.25">
      <c r="B808" s="2111"/>
      <c r="C808" s="1888" t="s">
        <v>11</v>
      </c>
      <c r="D808" s="1890"/>
      <c r="E808" s="1900" t="s">
        <v>1253</v>
      </c>
      <c r="F808" s="2104">
        <v>7061</v>
      </c>
      <c r="G808" s="2104">
        <v>14500</v>
      </c>
      <c r="H808" s="2104">
        <v>22394.2</v>
      </c>
      <c r="I808" s="2104">
        <v>22394.199999999997</v>
      </c>
      <c r="J808" s="2104">
        <v>22394.199999999997</v>
      </c>
      <c r="K808" s="113" t="s">
        <v>1254</v>
      </c>
      <c r="L808" s="112" t="s">
        <v>1245</v>
      </c>
      <c r="M808" s="112">
        <v>1</v>
      </c>
      <c r="N808" s="112">
        <v>0</v>
      </c>
      <c r="O808" s="112">
        <v>0</v>
      </c>
      <c r="P808" s="112">
        <v>1</v>
      </c>
      <c r="Q808" s="112">
        <v>0</v>
      </c>
    </row>
    <row r="809" spans="1:17" ht="45" x14ac:dyDescent="0.25">
      <c r="B809" s="2113"/>
      <c r="C809" s="2121"/>
      <c r="D809" s="2122"/>
      <c r="E809" s="2123"/>
      <c r="F809" s="2114"/>
      <c r="G809" s="2114"/>
      <c r="H809" s="2114"/>
      <c r="I809" s="2114"/>
      <c r="J809" s="2114"/>
      <c r="K809" s="113" t="s">
        <v>1255</v>
      </c>
      <c r="L809" s="112" t="s">
        <v>1245</v>
      </c>
      <c r="M809" s="112">
        <v>0</v>
      </c>
      <c r="N809" s="112">
        <v>1</v>
      </c>
      <c r="O809" s="112">
        <v>0</v>
      </c>
      <c r="P809" s="112">
        <v>0</v>
      </c>
      <c r="Q809" s="112">
        <v>0</v>
      </c>
    </row>
    <row r="810" spans="1:17" ht="30" x14ac:dyDescent="0.25">
      <c r="B810" s="2113"/>
      <c r="C810" s="2121"/>
      <c r="D810" s="2122"/>
      <c r="E810" s="2123"/>
      <c r="F810" s="2114"/>
      <c r="G810" s="2114"/>
      <c r="H810" s="2114"/>
      <c r="I810" s="2114"/>
      <c r="J810" s="2114"/>
      <c r="K810" s="113" t="s">
        <v>1256</v>
      </c>
      <c r="L810" s="112" t="s">
        <v>1257</v>
      </c>
      <c r="M810" s="112">
        <v>500</v>
      </c>
      <c r="N810" s="112">
        <v>600</v>
      </c>
      <c r="O810" s="112">
        <v>600</v>
      </c>
      <c r="P810" s="112">
        <v>600</v>
      </c>
      <c r="Q810" s="112">
        <v>600</v>
      </c>
    </row>
    <row r="811" spans="1:17" ht="45" x14ac:dyDescent="0.25">
      <c r="B811" s="2112"/>
      <c r="C811" s="1898"/>
      <c r="D811" s="1899"/>
      <c r="E811" s="1901"/>
      <c r="F811" s="2105"/>
      <c r="G811" s="2105"/>
      <c r="H811" s="2105"/>
      <c r="I811" s="2105"/>
      <c r="J811" s="2105"/>
      <c r="K811" s="113" t="s">
        <v>1258</v>
      </c>
      <c r="L811" s="112" t="s">
        <v>1257</v>
      </c>
      <c r="M811" s="112">
        <v>200</v>
      </c>
      <c r="N811" s="112">
        <v>400</v>
      </c>
      <c r="O811" s="112">
        <v>500</v>
      </c>
      <c r="P811" s="112">
        <v>500</v>
      </c>
      <c r="Q811" s="112">
        <v>500</v>
      </c>
    </row>
    <row r="812" spans="1:17" ht="45" x14ac:dyDescent="0.25">
      <c r="B812" s="2111"/>
      <c r="C812" s="1888" t="s">
        <v>127</v>
      </c>
      <c r="D812" s="1890"/>
      <c r="E812" s="1900" t="s">
        <v>1259</v>
      </c>
      <c r="F812" s="2104">
        <v>69225.5</v>
      </c>
      <c r="G812" s="2104">
        <v>69010</v>
      </c>
      <c r="H812" s="2104">
        <v>93974</v>
      </c>
      <c r="I812" s="2104">
        <v>93974</v>
      </c>
      <c r="J812" s="2104">
        <v>93974</v>
      </c>
      <c r="K812" s="113" t="s">
        <v>1260</v>
      </c>
      <c r="L812" s="112" t="s">
        <v>173</v>
      </c>
      <c r="M812" s="112">
        <v>992</v>
      </c>
      <c r="N812" s="112">
        <v>2444</v>
      </c>
      <c r="O812" s="112">
        <v>2796</v>
      </c>
      <c r="P812" s="112">
        <v>2740</v>
      </c>
      <c r="Q812" s="112">
        <v>2740</v>
      </c>
    </row>
    <row r="813" spans="1:17" x14ac:dyDescent="0.25">
      <c r="B813" s="2113"/>
      <c r="C813" s="2121"/>
      <c r="D813" s="2122"/>
      <c r="E813" s="2123"/>
      <c r="F813" s="2114"/>
      <c r="G813" s="2114"/>
      <c r="H813" s="2114"/>
      <c r="I813" s="2114"/>
      <c r="J813" s="2114"/>
      <c r="K813" s="113" t="s">
        <v>1261</v>
      </c>
      <c r="L813" s="112" t="s">
        <v>203</v>
      </c>
      <c r="M813" s="112">
        <v>0</v>
      </c>
      <c r="N813" s="112">
        <v>3</v>
      </c>
      <c r="O813" s="112">
        <v>4</v>
      </c>
      <c r="P813" s="112">
        <v>4</v>
      </c>
      <c r="Q813" s="112">
        <v>4</v>
      </c>
    </row>
    <row r="814" spans="1:17" ht="45" x14ac:dyDescent="0.25">
      <c r="B814" s="2112"/>
      <c r="C814" s="1898"/>
      <c r="D814" s="1899"/>
      <c r="E814" s="1901"/>
      <c r="F814" s="2105"/>
      <c r="G814" s="2105"/>
      <c r="H814" s="2105"/>
      <c r="I814" s="2105"/>
      <c r="J814" s="2105"/>
      <c r="K814" s="113" t="s">
        <v>1262</v>
      </c>
      <c r="L814" s="112" t="s">
        <v>173</v>
      </c>
      <c r="M814" s="112">
        <v>13534</v>
      </c>
      <c r="N814" s="112">
        <v>13000</v>
      </c>
      <c r="O814" s="112">
        <v>15000</v>
      </c>
      <c r="P814" s="112">
        <v>14100</v>
      </c>
      <c r="Q814" s="112">
        <v>13900</v>
      </c>
    </row>
    <row r="815" spans="1:17" ht="45" x14ac:dyDescent="0.25">
      <c r="B815" s="941"/>
      <c r="C815" s="937" t="s">
        <v>129</v>
      </c>
      <c r="D815" s="113"/>
      <c r="E815" s="933" t="s">
        <v>1263</v>
      </c>
      <c r="F815" s="114">
        <v>51573.1</v>
      </c>
      <c r="G815" s="114">
        <v>25000</v>
      </c>
      <c r="H815" s="114">
        <v>90000</v>
      </c>
      <c r="I815" s="114">
        <v>90000</v>
      </c>
      <c r="J815" s="114">
        <v>90000</v>
      </c>
      <c r="K815" s="113" t="s">
        <v>1264</v>
      </c>
      <c r="L815" s="112" t="s">
        <v>203</v>
      </c>
      <c r="M815" s="112">
        <v>4217</v>
      </c>
      <c r="N815" s="112">
        <v>8696</v>
      </c>
      <c r="O815" s="112">
        <v>4500</v>
      </c>
      <c r="P815" s="112">
        <v>4500</v>
      </c>
      <c r="Q815" s="112">
        <v>4500</v>
      </c>
    </row>
    <row r="816" spans="1:17" ht="30" x14ac:dyDescent="0.25">
      <c r="B816" s="2111"/>
      <c r="C816" s="1888" t="s">
        <v>131</v>
      </c>
      <c r="D816" s="1890"/>
      <c r="E816" s="1900" t="s">
        <v>1265</v>
      </c>
      <c r="F816" s="2104"/>
      <c r="G816" s="2104"/>
      <c r="H816" s="2104">
        <v>426092.1</v>
      </c>
      <c r="I816" s="2104">
        <v>426092.1</v>
      </c>
      <c r="J816" s="2104">
        <v>426092.1</v>
      </c>
      <c r="K816" s="113" t="s">
        <v>1266</v>
      </c>
      <c r="L816" s="112" t="s">
        <v>1245</v>
      </c>
      <c r="M816" s="112">
        <v>1</v>
      </c>
      <c r="N816" s="112">
        <v>1</v>
      </c>
      <c r="O816" s="112">
        <v>1</v>
      </c>
      <c r="P816" s="112">
        <v>0</v>
      </c>
      <c r="Q816" s="112">
        <v>0</v>
      </c>
    </row>
    <row r="817" spans="1:17" ht="30" x14ac:dyDescent="0.25">
      <c r="B817" s="2112"/>
      <c r="C817" s="1898"/>
      <c r="D817" s="1899"/>
      <c r="E817" s="1901"/>
      <c r="F817" s="2105"/>
      <c r="G817" s="2105"/>
      <c r="H817" s="2105"/>
      <c r="I817" s="2105"/>
      <c r="J817" s="2105"/>
      <c r="K817" s="942" t="s">
        <v>1267</v>
      </c>
      <c r="L817" s="943" t="s">
        <v>1257</v>
      </c>
      <c r="M817" s="943">
        <v>0</v>
      </c>
      <c r="N817" s="943">
        <v>6000</v>
      </c>
      <c r="O817" s="943">
        <v>6000</v>
      </c>
      <c r="P817" s="943">
        <v>6000</v>
      </c>
      <c r="Q817" s="943">
        <v>6000</v>
      </c>
    </row>
    <row r="818" spans="1:17" x14ac:dyDescent="0.25">
      <c r="A818" s="86"/>
      <c r="B818" s="944"/>
      <c r="C818" s="586"/>
      <c r="D818" s="87"/>
      <c r="E818" s="112"/>
      <c r="F818" s="720"/>
      <c r="G818" s="720"/>
      <c r="H818" s="720"/>
      <c r="I818" s="720"/>
      <c r="J818" s="720"/>
      <c r="K818" s="945"/>
      <c r="L818" s="87"/>
      <c r="M818" s="87"/>
      <c r="N818" s="87"/>
      <c r="O818" s="87"/>
      <c r="P818" s="87"/>
      <c r="Q818" s="87"/>
    </row>
    <row r="819" spans="1:17" ht="163.5" x14ac:dyDescent="0.25">
      <c r="A819" s="86"/>
      <c r="B819" s="911" t="s">
        <v>508</v>
      </c>
      <c r="C819" s="937"/>
      <c r="D819" s="112"/>
      <c r="E819" s="112" t="s">
        <v>1268</v>
      </c>
      <c r="F819" s="315">
        <v>1169484.4000000001</v>
      </c>
      <c r="G819" s="315">
        <v>1108408.3999999999</v>
      </c>
      <c r="H819" s="315">
        <f>H820+H821+H822+H823+H824</f>
        <v>1105028.9000000001</v>
      </c>
      <c r="I819" s="315">
        <f t="shared" ref="I819:J819" si="87">I820+I821+I822+I823+I824</f>
        <v>1075921.7000000002</v>
      </c>
      <c r="J819" s="315">
        <f t="shared" si="87"/>
        <v>1058920.5</v>
      </c>
      <c r="K819" s="113"/>
      <c r="L819" s="112"/>
      <c r="M819" s="112"/>
      <c r="N819" s="112"/>
      <c r="O819" s="112"/>
      <c r="P819" s="112"/>
      <c r="Q819" s="112"/>
    </row>
    <row r="820" spans="1:17" ht="45" x14ac:dyDescent="0.25">
      <c r="A820" s="86"/>
      <c r="B820" s="938"/>
      <c r="C820" s="937" t="s">
        <v>5</v>
      </c>
      <c r="D820" s="112"/>
      <c r="E820" s="113" t="s">
        <v>1269</v>
      </c>
      <c r="F820" s="114">
        <v>1068222.7000000002</v>
      </c>
      <c r="G820" s="114">
        <v>1056431.8999999999</v>
      </c>
      <c r="H820" s="114">
        <v>1037926.9</v>
      </c>
      <c r="I820" s="114">
        <v>1020312.6000000001</v>
      </c>
      <c r="J820" s="114">
        <v>1009377.1</v>
      </c>
      <c r="K820" s="113" t="s">
        <v>1270</v>
      </c>
      <c r="L820" s="112" t="s">
        <v>291</v>
      </c>
      <c r="M820" s="112" t="s">
        <v>1271</v>
      </c>
      <c r="N820" s="112" t="s">
        <v>1271</v>
      </c>
      <c r="O820" s="112" t="s">
        <v>1271</v>
      </c>
      <c r="P820" s="112" t="s">
        <v>1271</v>
      </c>
      <c r="Q820" s="112" t="s">
        <v>1271</v>
      </c>
    </row>
    <row r="821" spans="1:17" ht="45" x14ac:dyDescent="0.25">
      <c r="A821" s="86"/>
      <c r="B821" s="938"/>
      <c r="C821" s="937" t="s">
        <v>7</v>
      </c>
      <c r="D821" s="112"/>
      <c r="E821" s="112" t="s">
        <v>1272</v>
      </c>
      <c r="F821" s="114">
        <v>479.9</v>
      </c>
      <c r="G821" s="114">
        <v>374.1</v>
      </c>
      <c r="H821" s="114">
        <v>309.39999999999998</v>
      </c>
      <c r="I821" s="114">
        <v>267.79999999999995</v>
      </c>
      <c r="J821" s="114">
        <v>231.5</v>
      </c>
      <c r="K821" s="113" t="s">
        <v>1273</v>
      </c>
      <c r="L821" s="112" t="s">
        <v>291</v>
      </c>
      <c r="M821" s="112" t="s">
        <v>1274</v>
      </c>
      <c r="N821" s="112" t="s">
        <v>1274</v>
      </c>
      <c r="O821" s="112" t="s">
        <v>1274</v>
      </c>
      <c r="P821" s="112" t="s">
        <v>1274</v>
      </c>
      <c r="Q821" s="112" t="s">
        <v>1274</v>
      </c>
    </row>
    <row r="822" spans="1:17" ht="60" x14ac:dyDescent="0.25">
      <c r="A822" s="86"/>
      <c r="B822" s="938"/>
      <c r="C822" s="937" t="s">
        <v>9</v>
      </c>
      <c r="D822" s="112"/>
      <c r="E822" s="113" t="s">
        <v>1275</v>
      </c>
      <c r="F822" s="114">
        <v>35840</v>
      </c>
      <c r="G822" s="114">
        <v>26976.2</v>
      </c>
      <c r="H822" s="114">
        <v>22858.3</v>
      </c>
      <c r="I822" s="114">
        <v>20128.899999999998</v>
      </c>
      <c r="J822" s="114">
        <v>17803.5</v>
      </c>
      <c r="K822" s="113" t="s">
        <v>1276</v>
      </c>
      <c r="L822" s="112" t="s">
        <v>291</v>
      </c>
      <c r="M822" s="112" t="s">
        <v>1277</v>
      </c>
      <c r="N822" s="112" t="s">
        <v>1277</v>
      </c>
      <c r="O822" s="112" t="s">
        <v>1277</v>
      </c>
      <c r="P822" s="112" t="s">
        <v>1277</v>
      </c>
      <c r="Q822" s="112" t="s">
        <v>1277</v>
      </c>
    </row>
    <row r="823" spans="1:17" ht="45" x14ac:dyDescent="0.25">
      <c r="A823" s="86"/>
      <c r="B823" s="938"/>
      <c r="C823" s="937" t="s">
        <v>11</v>
      </c>
      <c r="D823" s="112"/>
      <c r="E823" s="112" t="s">
        <v>1278</v>
      </c>
      <c r="F823" s="114">
        <v>54029.2</v>
      </c>
      <c r="G823" s="114">
        <v>12326.2</v>
      </c>
      <c r="H823" s="114">
        <v>32084.3</v>
      </c>
      <c r="I823" s="114">
        <v>23362.400000000001</v>
      </c>
      <c r="J823" s="114">
        <v>19658.400000000001</v>
      </c>
      <c r="K823" s="113" t="s">
        <v>1279</v>
      </c>
      <c r="L823" s="112" t="s">
        <v>291</v>
      </c>
      <c r="M823" s="112">
        <v>3000</v>
      </c>
      <c r="N823" s="112">
        <v>3000</v>
      </c>
      <c r="O823" s="112">
        <v>3000</v>
      </c>
      <c r="P823" s="112">
        <v>3000</v>
      </c>
      <c r="Q823" s="112">
        <v>3000</v>
      </c>
    </row>
    <row r="824" spans="1:17" ht="60" x14ac:dyDescent="0.25">
      <c r="A824" s="86"/>
      <c r="B824" s="938"/>
      <c r="C824" s="937" t="s">
        <v>127</v>
      </c>
      <c r="D824" s="112"/>
      <c r="E824" s="933" t="s">
        <v>1280</v>
      </c>
      <c r="F824" s="114">
        <v>10912.6</v>
      </c>
      <c r="G824" s="114">
        <v>12300</v>
      </c>
      <c r="H824" s="114">
        <v>11850</v>
      </c>
      <c r="I824" s="114">
        <v>11850</v>
      </c>
      <c r="J824" s="114">
        <v>11850</v>
      </c>
      <c r="K824" s="113" t="s">
        <v>1281</v>
      </c>
      <c r="L824" s="112" t="s">
        <v>35</v>
      </c>
      <c r="M824" s="112">
        <v>48.9</v>
      </c>
      <c r="N824" s="112">
        <v>49.4</v>
      </c>
      <c r="O824" s="112">
        <v>49.9</v>
      </c>
      <c r="P824" s="112">
        <v>50</v>
      </c>
      <c r="Q824" s="112">
        <v>48.3</v>
      </c>
    </row>
    <row r="825" spans="1:17" x14ac:dyDescent="0.25">
      <c r="A825" s="86"/>
      <c r="B825" s="938"/>
      <c r="C825" s="937"/>
      <c r="D825" s="112"/>
      <c r="E825" s="112"/>
      <c r="F825" s="114"/>
      <c r="G825" s="114"/>
      <c r="H825" s="114"/>
      <c r="I825" s="114"/>
      <c r="J825" s="114"/>
      <c r="K825" s="113"/>
      <c r="L825" s="112"/>
      <c r="M825" s="112"/>
      <c r="N825" s="112"/>
      <c r="O825" s="112"/>
      <c r="P825" s="112"/>
      <c r="Q825" s="112"/>
    </row>
    <row r="826" spans="1:17" ht="180" x14ac:dyDescent="0.25">
      <c r="A826" s="86"/>
      <c r="B826" s="911" t="s">
        <v>601</v>
      </c>
      <c r="C826" s="937"/>
      <c r="D826" s="112"/>
      <c r="E826" s="112" t="s">
        <v>1282</v>
      </c>
      <c r="F826" s="315">
        <v>481812.6</v>
      </c>
      <c r="G826" s="315">
        <v>662180.9</v>
      </c>
      <c r="H826" s="315">
        <f>H827+H828+H829+H831+H833</f>
        <v>515376.80000000005</v>
      </c>
      <c r="I826" s="315">
        <f t="shared" ref="I826:J826" si="88">I827+I828+I829+I831+I833</f>
        <v>515376.8</v>
      </c>
      <c r="J826" s="315">
        <f t="shared" si="88"/>
        <v>515376.80000000005</v>
      </c>
      <c r="K826" s="113"/>
      <c r="L826" s="112"/>
      <c r="M826" s="112"/>
      <c r="N826" s="112"/>
      <c r="O826" s="112"/>
      <c r="P826" s="112"/>
      <c r="Q826" s="112"/>
    </row>
    <row r="827" spans="1:17" ht="30" x14ac:dyDescent="0.25">
      <c r="A827" s="86"/>
      <c r="B827" s="938"/>
      <c r="C827" s="937" t="s">
        <v>5</v>
      </c>
      <c r="D827" s="112"/>
      <c r="E827" s="933" t="s">
        <v>1283</v>
      </c>
      <c r="F827" s="2104">
        <v>82496.899999999994</v>
      </c>
      <c r="G827" s="114">
        <v>5046.6000000000004</v>
      </c>
      <c r="H827" s="114">
        <v>5068.5999999999995</v>
      </c>
      <c r="I827" s="114">
        <v>5068.5999999999995</v>
      </c>
      <c r="J827" s="114">
        <v>5068.5999999999995</v>
      </c>
      <c r="K827" s="113" t="s">
        <v>1284</v>
      </c>
      <c r="L827" s="112" t="s">
        <v>1257</v>
      </c>
      <c r="M827" s="112">
        <v>50</v>
      </c>
      <c r="N827" s="112">
        <v>500</v>
      </c>
      <c r="O827" s="112">
        <v>500</v>
      </c>
      <c r="P827" s="112">
        <v>500</v>
      </c>
      <c r="Q827" s="112">
        <v>500</v>
      </c>
    </row>
    <row r="828" spans="1:17" ht="45" x14ac:dyDescent="0.25">
      <c r="A828" s="86"/>
      <c r="B828" s="938"/>
      <c r="C828" s="937" t="s">
        <v>7</v>
      </c>
      <c r="D828" s="112"/>
      <c r="E828" s="933" t="s">
        <v>1285</v>
      </c>
      <c r="F828" s="2114"/>
      <c r="G828" s="114">
        <v>37098.1</v>
      </c>
      <c r="H828" s="114">
        <v>39123.700000000012</v>
      </c>
      <c r="I828" s="114">
        <v>39123.699999999997</v>
      </c>
      <c r="J828" s="114">
        <v>39123.699999999997</v>
      </c>
      <c r="K828" s="113" t="s">
        <v>1286</v>
      </c>
      <c r="L828" s="112" t="s">
        <v>35</v>
      </c>
      <c r="M828" s="112">
        <v>69</v>
      </c>
      <c r="N828" s="112">
        <v>70</v>
      </c>
      <c r="O828" s="112">
        <v>70</v>
      </c>
      <c r="P828" s="112">
        <v>70</v>
      </c>
      <c r="Q828" s="112">
        <v>70</v>
      </c>
    </row>
    <row r="829" spans="1:17" ht="45" x14ac:dyDescent="0.25">
      <c r="A829" s="86"/>
      <c r="B829" s="938"/>
      <c r="C829" s="937" t="s">
        <v>9</v>
      </c>
      <c r="D829" s="112"/>
      <c r="E829" s="933" t="s">
        <v>1287</v>
      </c>
      <c r="F829" s="2105"/>
      <c r="G829" s="114">
        <v>44546.7</v>
      </c>
      <c r="H829" s="114">
        <v>47052.699999999983</v>
      </c>
      <c r="I829" s="114">
        <v>47052.699999999983</v>
      </c>
      <c r="J829" s="114">
        <v>47052.700000000012</v>
      </c>
      <c r="K829" s="113" t="s">
        <v>1288</v>
      </c>
      <c r="L829" s="112" t="s">
        <v>1289</v>
      </c>
      <c r="M829" s="112">
        <v>17.8</v>
      </c>
      <c r="N829" s="112">
        <v>15</v>
      </c>
      <c r="O829" s="112">
        <v>17.8</v>
      </c>
      <c r="P829" s="112">
        <v>18.600000000000001</v>
      </c>
      <c r="Q829" s="112">
        <v>19.600000000000001</v>
      </c>
    </row>
    <row r="830" spans="1:17" x14ac:dyDescent="0.25">
      <c r="A830" s="86"/>
      <c r="B830" s="938"/>
      <c r="C830" s="937" t="s">
        <v>11</v>
      </c>
      <c r="D830" s="112"/>
      <c r="E830" s="933" t="s">
        <v>1290</v>
      </c>
      <c r="F830" s="114">
        <v>0</v>
      </c>
      <c r="G830" s="114">
        <v>0</v>
      </c>
      <c r="H830" s="114">
        <v>0</v>
      </c>
      <c r="I830" s="114">
        <v>0</v>
      </c>
      <c r="J830" s="114">
        <v>0</v>
      </c>
      <c r="K830" s="113" t="s">
        <v>1291</v>
      </c>
      <c r="L830" s="112" t="s">
        <v>1257</v>
      </c>
      <c r="M830" s="112">
        <v>0</v>
      </c>
      <c r="N830" s="112">
        <v>0</v>
      </c>
      <c r="O830" s="112">
        <v>0</v>
      </c>
      <c r="P830" s="112">
        <v>0</v>
      </c>
      <c r="Q830" s="112">
        <v>0</v>
      </c>
    </row>
    <row r="831" spans="1:17" ht="30" x14ac:dyDescent="0.25">
      <c r="A831" s="86"/>
      <c r="B831" s="2108"/>
      <c r="C831" s="1888" t="s">
        <v>127</v>
      </c>
      <c r="D831" s="2119"/>
      <c r="E831" s="1900" t="s">
        <v>1292</v>
      </c>
      <c r="F831" s="2104">
        <v>28112.900000000005</v>
      </c>
      <c r="G831" s="2104">
        <v>21790.2</v>
      </c>
      <c r="H831" s="2104">
        <v>21349.399999999998</v>
      </c>
      <c r="I831" s="2104">
        <v>21349.399999999998</v>
      </c>
      <c r="J831" s="2104">
        <v>21349.399999999998</v>
      </c>
      <c r="K831" s="113" t="s">
        <v>1293</v>
      </c>
      <c r="L831" s="112" t="s">
        <v>1257</v>
      </c>
      <c r="M831" s="112">
        <v>502</v>
      </c>
      <c r="N831" s="112">
        <v>500</v>
      </c>
      <c r="O831" s="112">
        <v>500</v>
      </c>
      <c r="P831" s="112">
        <v>500</v>
      </c>
      <c r="Q831" s="112">
        <v>500</v>
      </c>
    </row>
    <row r="832" spans="1:17" x14ac:dyDescent="0.25">
      <c r="A832" s="86"/>
      <c r="B832" s="2110"/>
      <c r="C832" s="1898"/>
      <c r="D832" s="2120"/>
      <c r="E832" s="1901"/>
      <c r="F832" s="2105"/>
      <c r="G832" s="2105"/>
      <c r="H832" s="2105"/>
      <c r="I832" s="2105"/>
      <c r="J832" s="2105"/>
      <c r="K832" s="113" t="s">
        <v>1294</v>
      </c>
      <c r="L832" s="112" t="s">
        <v>35</v>
      </c>
      <c r="M832" s="112">
        <v>38.4</v>
      </c>
      <c r="N832" s="112">
        <v>40</v>
      </c>
      <c r="O832" s="112">
        <v>40</v>
      </c>
      <c r="P832" s="112">
        <v>40</v>
      </c>
      <c r="Q832" s="112">
        <v>40</v>
      </c>
    </row>
    <row r="833" spans="1:17" ht="45" x14ac:dyDescent="0.25">
      <c r="A833" s="86"/>
      <c r="B833" s="938"/>
      <c r="C833" s="937" t="s">
        <v>131</v>
      </c>
      <c r="D833" s="112"/>
      <c r="E833" s="933" t="s">
        <v>1295</v>
      </c>
      <c r="F833" s="114">
        <v>371202.8</v>
      </c>
      <c r="G833" s="114">
        <v>553699.30000000005</v>
      </c>
      <c r="H833" s="114">
        <v>402782.4</v>
      </c>
      <c r="I833" s="114">
        <v>402782.4</v>
      </c>
      <c r="J833" s="114">
        <v>402782.4</v>
      </c>
      <c r="K833" s="113" t="s">
        <v>1296</v>
      </c>
      <c r="L833" s="112" t="s">
        <v>35</v>
      </c>
      <c r="M833" s="112">
        <v>11.6</v>
      </c>
      <c r="N833" s="112">
        <v>11.3</v>
      </c>
      <c r="O833" s="112">
        <v>11</v>
      </c>
      <c r="P833" s="112">
        <v>14.2</v>
      </c>
      <c r="Q833" s="112">
        <v>13.8</v>
      </c>
    </row>
    <row r="834" spans="1:17" x14ac:dyDescent="0.25">
      <c r="A834" s="86"/>
      <c r="B834" s="938"/>
      <c r="C834" s="937"/>
      <c r="D834" s="112"/>
      <c r="E834" s="112"/>
      <c r="F834" s="114"/>
      <c r="G834" s="114"/>
      <c r="H834" s="114"/>
      <c r="I834" s="114"/>
      <c r="J834" s="114"/>
      <c r="K834" s="113"/>
      <c r="L834" s="112"/>
      <c r="M834" s="112"/>
      <c r="N834" s="112"/>
      <c r="O834" s="112"/>
      <c r="P834" s="112"/>
      <c r="Q834" s="112"/>
    </row>
    <row r="835" spans="1:17" ht="163.5" x14ac:dyDescent="0.25">
      <c r="A835" s="86"/>
      <c r="B835" s="911" t="s">
        <v>1297</v>
      </c>
      <c r="C835" s="937"/>
      <c r="D835" s="112"/>
      <c r="E835" s="113" t="s">
        <v>1298</v>
      </c>
      <c r="F835" s="315">
        <v>1399.4</v>
      </c>
      <c r="G835" s="315">
        <v>6960.4000000000005</v>
      </c>
      <c r="H835" s="315">
        <f>H836+H837</f>
        <v>7863.3</v>
      </c>
      <c r="I835" s="315">
        <f t="shared" ref="I835:J835" si="89">I836+I837</f>
        <v>7863.3</v>
      </c>
      <c r="J835" s="315">
        <f t="shared" si="89"/>
        <v>7863.3000000000011</v>
      </c>
      <c r="K835" s="113"/>
      <c r="L835" s="112"/>
      <c r="M835" s="112"/>
      <c r="N835" s="112"/>
      <c r="O835" s="112"/>
      <c r="P835" s="112"/>
      <c r="Q835" s="112"/>
    </row>
    <row r="836" spans="1:17" ht="75" x14ac:dyDescent="0.25">
      <c r="A836" s="86"/>
      <c r="B836" s="938"/>
      <c r="C836" s="937" t="s">
        <v>5</v>
      </c>
      <c r="D836" s="112"/>
      <c r="E836" s="112" t="s">
        <v>1299</v>
      </c>
      <c r="F836" s="2104">
        <v>1399.4</v>
      </c>
      <c r="G836" s="2104">
        <v>6960.4000000000005</v>
      </c>
      <c r="H836" s="114">
        <v>680</v>
      </c>
      <c r="I836" s="114">
        <v>680</v>
      </c>
      <c r="J836" s="114">
        <v>680</v>
      </c>
      <c r="K836" s="113" t="s">
        <v>1300</v>
      </c>
      <c r="L836" s="112" t="s">
        <v>35</v>
      </c>
      <c r="M836" s="112">
        <v>48.3</v>
      </c>
      <c r="N836" s="112">
        <v>49.5</v>
      </c>
      <c r="O836" s="112">
        <v>49.5</v>
      </c>
      <c r="P836" s="112">
        <v>50.5</v>
      </c>
      <c r="Q836" s="112">
        <v>51</v>
      </c>
    </row>
    <row r="837" spans="1:17" ht="75" x14ac:dyDescent="0.25">
      <c r="A837" s="86"/>
      <c r="B837" s="938"/>
      <c r="C837" s="937" t="s">
        <v>7</v>
      </c>
      <c r="D837" s="112"/>
      <c r="E837" s="112" t="s">
        <v>1301</v>
      </c>
      <c r="F837" s="2105"/>
      <c r="G837" s="2105"/>
      <c r="H837" s="114">
        <v>7183.3</v>
      </c>
      <c r="I837" s="114">
        <v>7183.3</v>
      </c>
      <c r="J837" s="114">
        <v>7183.3000000000011</v>
      </c>
      <c r="K837" s="113" t="s">
        <v>1302</v>
      </c>
      <c r="L837" s="112" t="s">
        <v>1303</v>
      </c>
      <c r="M837" s="112">
        <v>0</v>
      </c>
      <c r="N837" s="112">
        <v>8</v>
      </c>
      <c r="O837" s="112">
        <v>9</v>
      </c>
      <c r="P837" s="112">
        <v>10</v>
      </c>
      <c r="Q837" s="112">
        <v>11</v>
      </c>
    </row>
    <row r="838" spans="1:17" x14ac:dyDescent="0.25">
      <c r="A838" s="86"/>
      <c r="B838" s="938"/>
      <c r="C838" s="935"/>
      <c r="D838" s="112"/>
      <c r="E838" s="112"/>
      <c r="F838" s="114"/>
      <c r="G838" s="114"/>
      <c r="H838" s="114"/>
      <c r="I838" s="114"/>
      <c r="J838" s="114"/>
      <c r="K838" s="112"/>
      <c r="L838" s="112"/>
      <c r="M838" s="112"/>
      <c r="N838" s="112"/>
      <c r="O838" s="112"/>
      <c r="P838" s="112"/>
      <c r="Q838" s="112"/>
    </row>
    <row r="839" spans="1:17" x14ac:dyDescent="0.25">
      <c r="A839" s="2115" t="s">
        <v>85</v>
      </c>
      <c r="B839" s="2116"/>
      <c r="C839" s="2116"/>
      <c r="D839" s="2116"/>
      <c r="E839" s="2117"/>
      <c r="F839" s="317">
        <v>9297856.0999999996</v>
      </c>
      <c r="G839" s="317">
        <v>11746471.000000002</v>
      </c>
      <c r="H839" s="317">
        <f>H778+H783+H801+H819+H826+H835</f>
        <v>10843860.900000002</v>
      </c>
      <c r="I839" s="317">
        <f t="shared" ref="I839:J839" si="90">I778+I783+I801+I819+I826+I835</f>
        <v>10839323.900000002</v>
      </c>
      <c r="J839" s="317">
        <f t="shared" si="90"/>
        <v>10841846.400000002</v>
      </c>
      <c r="K839" s="946"/>
      <c r="L839" s="946"/>
      <c r="M839" s="946"/>
      <c r="N839" s="946"/>
      <c r="O839" s="946"/>
      <c r="P839" s="946"/>
      <c r="Q839" s="946"/>
    </row>
    <row r="840" spans="1:17" x14ac:dyDescent="0.25">
      <c r="A840" s="782" t="s">
        <v>1304</v>
      </c>
      <c r="B840" s="123" t="s">
        <v>1305</v>
      </c>
      <c r="C840" s="782"/>
      <c r="D840" s="782"/>
      <c r="E840" s="947"/>
      <c r="F840" s="948"/>
      <c r="G840" s="948"/>
      <c r="H840" s="948"/>
      <c r="I840" s="948"/>
      <c r="J840" s="948"/>
      <c r="K840" s="782"/>
      <c r="L840" s="782"/>
      <c r="M840" s="782"/>
      <c r="N840" s="782"/>
      <c r="O840" s="782"/>
      <c r="P840" s="782"/>
      <c r="Q840" s="783"/>
    </row>
    <row r="841" spans="1:17" ht="73.5" x14ac:dyDescent="0.25">
      <c r="B841" s="949">
        <v>1</v>
      </c>
      <c r="C841" s="950"/>
      <c r="D841" s="951"/>
      <c r="E841" s="952" t="s">
        <v>71</v>
      </c>
      <c r="F841" s="672">
        <f>F842+F843+F844+F845+F846+F847+F848</f>
        <v>16126.099999999999</v>
      </c>
      <c r="G841" s="672">
        <f>G842+G843+G844+G845+G846+G847+G848</f>
        <v>21087.1</v>
      </c>
      <c r="H841" s="672">
        <f>H842+H843+H844+H845+H846+H847+H848</f>
        <v>23242.1</v>
      </c>
      <c r="I841" s="672">
        <f t="shared" ref="I841:J841" si="91">I842+I843+I844+I845+I846+I847+I848</f>
        <v>21129.3</v>
      </c>
      <c r="J841" s="672">
        <f t="shared" si="91"/>
        <v>21129.3</v>
      </c>
      <c r="K841" s="797" t="s">
        <v>34</v>
      </c>
      <c r="L841" s="500" t="s">
        <v>35</v>
      </c>
      <c r="M841" s="953">
        <v>4.6899999999999997E-2</v>
      </c>
      <c r="N841" s="953">
        <v>2.86E-2</v>
      </c>
      <c r="O841" s="953">
        <v>2.86E-2</v>
      </c>
      <c r="P841" s="953">
        <v>2.86E-2</v>
      </c>
      <c r="Q841" s="953">
        <v>2.86E-2</v>
      </c>
    </row>
    <row r="842" spans="1:17" x14ac:dyDescent="0.25">
      <c r="B842" s="954"/>
      <c r="C842" s="888">
        <v>1</v>
      </c>
      <c r="D842" s="887"/>
      <c r="E842" s="261" t="s">
        <v>6</v>
      </c>
      <c r="F842" s="761">
        <v>2487.9</v>
      </c>
      <c r="G842" s="761">
        <v>4405.5</v>
      </c>
      <c r="H842" s="761">
        <f>721.3+4473.69</f>
        <v>5194.99</v>
      </c>
      <c r="I842" s="761">
        <v>4447.7</v>
      </c>
      <c r="J842" s="761">
        <v>4447.7</v>
      </c>
      <c r="K842" s="774" t="s">
        <v>36</v>
      </c>
      <c r="L842" s="915" t="s">
        <v>37</v>
      </c>
      <c r="M842" s="500"/>
      <c r="N842" s="500"/>
      <c r="O842" s="500"/>
      <c r="P842" s="500"/>
      <c r="Q842" s="500"/>
    </row>
    <row r="843" spans="1:17" ht="30" x14ac:dyDescent="0.25">
      <c r="B843" s="954"/>
      <c r="C843" s="27">
        <v>2</v>
      </c>
      <c r="D843" s="887"/>
      <c r="E843" s="126" t="s">
        <v>8</v>
      </c>
      <c r="F843" s="761">
        <v>1149.3</v>
      </c>
      <c r="G843" s="761">
        <v>2083.6999999999998</v>
      </c>
      <c r="H843" s="761">
        <f>718.2+1542.83</f>
        <v>2261.0299999999997</v>
      </c>
      <c r="I843" s="761">
        <v>2083.6999999999998</v>
      </c>
      <c r="J843" s="761">
        <v>2083.6999999999998</v>
      </c>
      <c r="K843" s="774" t="s">
        <v>38</v>
      </c>
      <c r="L843" s="915" t="s">
        <v>35</v>
      </c>
      <c r="M843" s="955">
        <v>1</v>
      </c>
      <c r="N843" s="955">
        <v>0</v>
      </c>
      <c r="O843" s="955">
        <v>0</v>
      </c>
      <c r="P843" s="955">
        <v>0</v>
      </c>
      <c r="Q843" s="955">
        <v>0</v>
      </c>
    </row>
    <row r="844" spans="1:17" ht="30" x14ac:dyDescent="0.25">
      <c r="B844" s="954"/>
      <c r="C844" s="27">
        <v>3</v>
      </c>
      <c r="D844" s="887"/>
      <c r="E844" s="126" t="s">
        <v>10</v>
      </c>
      <c r="F844" s="761">
        <v>1150.0999999999999</v>
      </c>
      <c r="G844" s="761">
        <v>1733.8</v>
      </c>
      <c r="H844" s="761">
        <f>556.7+1339.73</f>
        <v>1896.43</v>
      </c>
      <c r="I844" s="761">
        <v>1733.8</v>
      </c>
      <c r="J844" s="761">
        <v>1733.8</v>
      </c>
      <c r="K844" s="10" t="s">
        <v>39</v>
      </c>
      <c r="L844" s="915" t="s">
        <v>35</v>
      </c>
      <c r="M844" s="955">
        <v>0</v>
      </c>
      <c r="N844" s="955">
        <v>0</v>
      </c>
      <c r="O844" s="955">
        <v>0</v>
      </c>
      <c r="P844" s="955">
        <v>0</v>
      </c>
      <c r="Q844" s="955">
        <v>0</v>
      </c>
    </row>
    <row r="845" spans="1:17" ht="30" x14ac:dyDescent="0.25">
      <c r="B845" s="954"/>
      <c r="C845" s="27">
        <v>4</v>
      </c>
      <c r="D845" s="887"/>
      <c r="E845" s="126" t="s">
        <v>12</v>
      </c>
      <c r="F845" s="761">
        <v>327.3</v>
      </c>
      <c r="G845" s="761">
        <v>513.79999999999995</v>
      </c>
      <c r="H845" s="761">
        <v>144.1</v>
      </c>
      <c r="I845" s="761">
        <v>513.79999999999995</v>
      </c>
      <c r="J845" s="761">
        <v>513.79999999999995</v>
      </c>
      <c r="K845" s="774" t="s">
        <v>191</v>
      </c>
      <c r="L845" s="915" t="s">
        <v>192</v>
      </c>
      <c r="M845" s="500">
        <v>0</v>
      </c>
      <c r="N845" s="500">
        <v>0</v>
      </c>
      <c r="O845" s="500">
        <v>0</v>
      </c>
      <c r="P845" s="500">
        <v>0</v>
      </c>
      <c r="Q845" s="500">
        <v>0</v>
      </c>
    </row>
    <row r="846" spans="1:17" ht="30" x14ac:dyDescent="0.25">
      <c r="B846" s="954"/>
      <c r="C846" s="27">
        <v>5</v>
      </c>
      <c r="D846" s="887"/>
      <c r="E846" s="126" t="s">
        <v>13</v>
      </c>
      <c r="F846" s="761">
        <v>1365.8</v>
      </c>
      <c r="G846" s="761">
        <v>2853.9</v>
      </c>
      <c r="H846" s="761">
        <f>421.2+2096.43</f>
        <v>2517.6299999999997</v>
      </c>
      <c r="I846" s="761">
        <v>2853.9</v>
      </c>
      <c r="J846" s="761">
        <v>2853.9</v>
      </c>
      <c r="K846" s="774" t="s">
        <v>194</v>
      </c>
      <c r="L846" s="915" t="s">
        <v>40</v>
      </c>
      <c r="M846" s="500"/>
      <c r="N846" s="500"/>
      <c r="O846" s="500"/>
      <c r="P846" s="500"/>
      <c r="Q846" s="500"/>
    </row>
    <row r="847" spans="1:17" ht="30" x14ac:dyDescent="0.25">
      <c r="B847" s="954"/>
      <c r="C847" s="28">
        <v>6</v>
      </c>
      <c r="D847" s="887"/>
      <c r="E847" s="918" t="s">
        <v>14</v>
      </c>
      <c r="F847" s="761">
        <v>7723.9</v>
      </c>
      <c r="G847" s="761">
        <v>7650.1</v>
      </c>
      <c r="H847" s="761">
        <f>2489.1+6721.59</f>
        <v>9210.69</v>
      </c>
      <c r="I847" s="761">
        <v>7650.1</v>
      </c>
      <c r="J847" s="761">
        <v>7650.1</v>
      </c>
      <c r="K847" s="774" t="s">
        <v>196</v>
      </c>
      <c r="L847" s="915" t="s">
        <v>35</v>
      </c>
      <c r="M847" s="956">
        <v>0.34</v>
      </c>
      <c r="N847" s="957">
        <v>0.36199999999999999</v>
      </c>
      <c r="O847" s="957">
        <v>0.36199999999999999</v>
      </c>
      <c r="P847" s="957">
        <v>0.36199999999999999</v>
      </c>
      <c r="Q847" s="957">
        <v>0.36199999999999999</v>
      </c>
    </row>
    <row r="848" spans="1:17" ht="30" x14ac:dyDescent="0.25">
      <c r="B848" s="954"/>
      <c r="C848" s="28">
        <v>7</v>
      </c>
      <c r="D848" s="887"/>
      <c r="E848" s="918" t="s">
        <v>464</v>
      </c>
      <c r="F848" s="761">
        <v>1921.8</v>
      </c>
      <c r="G848" s="761">
        <v>1846.3</v>
      </c>
      <c r="H848" s="761">
        <f>700.9+1316.33</f>
        <v>2017.23</v>
      </c>
      <c r="I848" s="761">
        <v>1846.3</v>
      </c>
      <c r="J848" s="761">
        <v>1846.3</v>
      </c>
      <c r="K848" s="774" t="s">
        <v>1306</v>
      </c>
      <c r="L848" s="915"/>
      <c r="M848" s="500"/>
      <c r="N848" s="500"/>
      <c r="O848" s="500"/>
      <c r="P848" s="500"/>
      <c r="Q848" s="500"/>
    </row>
    <row r="849" spans="1:17" ht="117" x14ac:dyDescent="0.25">
      <c r="B849" s="958">
        <v>2</v>
      </c>
      <c r="C849" s="959"/>
      <c r="D849" s="959"/>
      <c r="E849" s="81" t="s">
        <v>1307</v>
      </c>
      <c r="F849" s="672">
        <f>SUM(F850:F851)</f>
        <v>33478.6</v>
      </c>
      <c r="G849" s="672">
        <f>SUM(G850:G851)</f>
        <v>48252.799999999996</v>
      </c>
      <c r="H849" s="672">
        <f>SUM(H850:H851)</f>
        <v>38036.299999999996</v>
      </c>
      <c r="I849" s="672">
        <f>SUM(I850:I851)</f>
        <v>37108</v>
      </c>
      <c r="J849" s="672">
        <f>SUM(J850:J851)</f>
        <v>37108</v>
      </c>
      <c r="K849" s="952" t="s">
        <v>1308</v>
      </c>
      <c r="L849" s="915"/>
      <c r="M849" s="953">
        <v>0.30940000000000001</v>
      </c>
      <c r="N849" s="953">
        <v>0.3135</v>
      </c>
      <c r="O849" s="953">
        <v>0.3135</v>
      </c>
      <c r="P849" s="953">
        <v>0.3135</v>
      </c>
      <c r="Q849" s="953">
        <v>0.3135</v>
      </c>
    </row>
    <row r="850" spans="1:17" x14ac:dyDescent="0.25">
      <c r="B850" s="958"/>
      <c r="C850" s="793" t="s">
        <v>5</v>
      </c>
      <c r="D850" s="959"/>
      <c r="E850" s="918" t="s">
        <v>1309</v>
      </c>
      <c r="F850" s="761">
        <v>6955.8</v>
      </c>
      <c r="G850" s="761">
        <v>8687.1</v>
      </c>
      <c r="H850" s="761">
        <f>2094.1+7397.44</f>
        <v>9491.5399999999991</v>
      </c>
      <c r="I850" s="761">
        <v>8763.1</v>
      </c>
      <c r="J850" s="761">
        <v>8763.1</v>
      </c>
      <c r="K850" s="918" t="s">
        <v>1310</v>
      </c>
      <c r="L850" s="142"/>
      <c r="M850" s="45">
        <v>1274</v>
      </c>
      <c r="N850" s="45"/>
      <c r="O850" s="45"/>
      <c r="P850" s="45"/>
      <c r="Q850" s="45"/>
    </row>
    <row r="851" spans="1:17" ht="60" x14ac:dyDescent="0.25">
      <c r="B851" s="954"/>
      <c r="C851" s="702" t="s">
        <v>7</v>
      </c>
      <c r="D851" s="149"/>
      <c r="E851" s="918" t="s">
        <v>1311</v>
      </c>
      <c r="F851" s="759">
        <v>26522.799999999999</v>
      </c>
      <c r="G851" s="759">
        <v>39565.699999999997</v>
      </c>
      <c r="H851" s="761">
        <f>2770.1+25774.66</f>
        <v>28544.76</v>
      </c>
      <c r="I851" s="761">
        <v>28344.9</v>
      </c>
      <c r="J851" s="761">
        <v>28344.9</v>
      </c>
      <c r="K851" s="918" t="s">
        <v>1312</v>
      </c>
      <c r="L851" s="918" t="s">
        <v>35</v>
      </c>
      <c r="M851" s="960"/>
      <c r="N851" s="141"/>
      <c r="O851" s="141"/>
      <c r="P851" s="141"/>
      <c r="Q851" s="141"/>
    </row>
    <row r="852" spans="1:17" ht="102.75" x14ac:dyDescent="0.25">
      <c r="B852" s="954">
        <v>3</v>
      </c>
      <c r="C852" s="149"/>
      <c r="D852" s="149"/>
      <c r="E852" s="81" t="s">
        <v>1313</v>
      </c>
      <c r="F852" s="759">
        <f>F853</f>
        <v>2135.4</v>
      </c>
      <c r="G852" s="759">
        <v>9633.5</v>
      </c>
      <c r="H852" s="672">
        <f>H853</f>
        <v>10820.2</v>
      </c>
      <c r="I852" s="672">
        <f t="shared" ref="I852:J852" si="92">I853</f>
        <v>10705.9</v>
      </c>
      <c r="J852" s="672">
        <f t="shared" si="92"/>
        <v>10705.9</v>
      </c>
      <c r="K852" s="952" t="s">
        <v>1314</v>
      </c>
      <c r="L852" s="952"/>
      <c r="M852" s="961"/>
      <c r="N852" s="962"/>
      <c r="O852" s="962"/>
      <c r="P852" s="962"/>
      <c r="Q852" s="962"/>
    </row>
    <row r="853" spans="1:17" ht="30" x14ac:dyDescent="0.25">
      <c r="B853" s="954"/>
      <c r="C853" s="702" t="s">
        <v>5</v>
      </c>
      <c r="D853" s="149"/>
      <c r="E853" s="25" t="s">
        <v>1315</v>
      </c>
      <c r="F853" s="759">
        <v>2135.4</v>
      </c>
      <c r="G853" s="759">
        <v>9633.5</v>
      </c>
      <c r="H853" s="761">
        <v>10820.2</v>
      </c>
      <c r="I853" s="761">
        <v>10705.9</v>
      </c>
      <c r="J853" s="761">
        <v>10705.9</v>
      </c>
      <c r="K853" s="918" t="s">
        <v>1316</v>
      </c>
      <c r="L853" s="918"/>
      <c r="M853" s="960"/>
      <c r="N853" s="141"/>
      <c r="O853" s="141"/>
      <c r="P853" s="141"/>
      <c r="Q853" s="141"/>
    </row>
    <row r="854" spans="1:17" ht="117" x14ac:dyDescent="0.25">
      <c r="B854" s="954">
        <v>4</v>
      </c>
      <c r="C854" s="149"/>
      <c r="D854" s="149"/>
      <c r="E854" s="81" t="s">
        <v>1317</v>
      </c>
      <c r="F854" s="469">
        <f>F855</f>
        <v>51754.8</v>
      </c>
      <c r="G854" s="469">
        <v>57044</v>
      </c>
      <c r="H854" s="672">
        <f>H855</f>
        <v>59447.3</v>
      </c>
      <c r="I854" s="672">
        <f>I855</f>
        <v>62621.4</v>
      </c>
      <c r="J854" s="672">
        <f>J855</f>
        <v>62663.200000000004</v>
      </c>
      <c r="K854" s="952" t="s">
        <v>1318</v>
      </c>
      <c r="L854" s="918"/>
      <c r="M854" s="963"/>
      <c r="N854" s="122"/>
      <c r="O854" s="122"/>
      <c r="P854" s="122"/>
      <c r="Q854" s="122"/>
    </row>
    <row r="855" spans="1:17" ht="60" x14ac:dyDescent="0.25">
      <c r="B855" s="954"/>
      <c r="C855" s="702" t="s">
        <v>5</v>
      </c>
      <c r="D855" s="149"/>
      <c r="E855" s="528" t="s">
        <v>1319</v>
      </c>
      <c r="F855" s="759">
        <v>51754.8</v>
      </c>
      <c r="G855" s="759">
        <v>57044</v>
      </c>
      <c r="H855" s="759">
        <v>59447.3</v>
      </c>
      <c r="I855" s="759">
        <f>60523.9+2097.5</f>
        <v>62621.4</v>
      </c>
      <c r="J855" s="759">
        <f>60523.9+2139.3</f>
        <v>62663.200000000004</v>
      </c>
      <c r="K855" s="528" t="s">
        <v>1320</v>
      </c>
      <c r="L855" s="528"/>
      <c r="M855" s="964"/>
      <c r="N855" s="559"/>
      <c r="O855" s="559"/>
      <c r="P855" s="559"/>
      <c r="Q855" s="559"/>
    </row>
    <row r="856" spans="1:17" x14ac:dyDescent="0.25">
      <c r="A856" s="2118" t="s">
        <v>1321</v>
      </c>
      <c r="B856" s="2118"/>
      <c r="C856" s="2118"/>
      <c r="D856" s="2118"/>
      <c r="E856" s="2118"/>
      <c r="F856" s="8">
        <f>F841+F849+F852+F854</f>
        <v>103494.9</v>
      </c>
      <c r="G856" s="8">
        <f>G841+G849+G852+G854</f>
        <v>136017.4</v>
      </c>
      <c r="H856" s="8">
        <f>H841+H849+H852+H854</f>
        <v>131545.9</v>
      </c>
      <c r="I856" s="8">
        <f>I841+I849+I852+I854</f>
        <v>131564.6</v>
      </c>
      <c r="J856" s="8">
        <f>J841+J849+J852+J854</f>
        <v>131606.39999999999</v>
      </c>
      <c r="K856" s="88"/>
      <c r="L856" s="697"/>
      <c r="M856" s="697"/>
      <c r="N856" s="697"/>
      <c r="O856" s="697"/>
      <c r="P856" s="697"/>
      <c r="Q856" s="697"/>
    </row>
    <row r="857" spans="1:17" x14ac:dyDescent="0.25">
      <c r="A857" s="965"/>
      <c r="B857" s="1696" t="s">
        <v>1322</v>
      </c>
      <c r="C857" s="1697"/>
      <c r="D857" s="1697"/>
      <c r="E857" s="1697"/>
      <c r="F857" s="1697"/>
      <c r="G857" s="1697"/>
      <c r="H857" s="1697"/>
      <c r="I857" s="1697"/>
      <c r="J857" s="1697"/>
      <c r="K857" s="1697"/>
      <c r="L857" s="1697"/>
      <c r="M857" s="1697"/>
      <c r="N857" s="1697"/>
      <c r="O857" s="1697"/>
      <c r="P857" s="1697"/>
      <c r="Q857" s="1697"/>
    </row>
    <row r="858" spans="1:17" ht="42.75" x14ac:dyDescent="0.25">
      <c r="A858" s="965"/>
      <c r="B858" s="966">
        <v>2</v>
      </c>
      <c r="C858" s="361"/>
      <c r="D858" s="967"/>
      <c r="E858" s="81" t="s">
        <v>1323</v>
      </c>
      <c r="F858" s="29">
        <f t="shared" ref="F858:J858" si="93">F859</f>
        <v>739.4</v>
      </c>
      <c r="G858" s="29">
        <f t="shared" si="93"/>
        <v>739.4</v>
      </c>
      <c r="H858" s="29">
        <f t="shared" si="93"/>
        <v>739.4</v>
      </c>
      <c r="I858" s="968">
        <f t="shared" si="93"/>
        <v>740</v>
      </c>
      <c r="J858" s="29">
        <f t="shared" si="93"/>
        <v>741.5</v>
      </c>
      <c r="K858" s="528"/>
      <c r="L858" s="36" t="s">
        <v>35</v>
      </c>
      <c r="M858" s="36">
        <v>739.4</v>
      </c>
      <c r="N858" s="36">
        <v>739.4</v>
      </c>
      <c r="O858" s="36">
        <v>739.4</v>
      </c>
      <c r="P858" s="36">
        <v>739.4</v>
      </c>
      <c r="Q858" s="36">
        <v>739.4</v>
      </c>
    </row>
    <row r="859" spans="1:17" x14ac:dyDescent="0.25">
      <c r="A859" s="965"/>
      <c r="B859" s="2111"/>
      <c r="C859" s="1888" t="s">
        <v>5</v>
      </c>
      <c r="D859" s="1888"/>
      <c r="E859" s="2034" t="s">
        <v>1324</v>
      </c>
      <c r="F859" s="2298">
        <v>739.4</v>
      </c>
      <c r="G859" s="2298">
        <v>739.4</v>
      </c>
      <c r="H859" s="2300">
        <v>739.4</v>
      </c>
      <c r="I859" s="2300">
        <v>740</v>
      </c>
      <c r="J859" s="2300">
        <v>741.5</v>
      </c>
      <c r="K859" s="969"/>
      <c r="L859" s="935"/>
      <c r="M859" s="111"/>
      <c r="N859" s="111"/>
      <c r="O859" s="111"/>
      <c r="P859" s="111"/>
      <c r="Q859" s="111"/>
    </row>
    <row r="860" spans="1:17" x14ac:dyDescent="0.25">
      <c r="A860" s="965"/>
      <c r="B860" s="2112"/>
      <c r="C860" s="1898"/>
      <c r="D860" s="1898"/>
      <c r="E860" s="2034"/>
      <c r="F860" s="2299"/>
      <c r="G860" s="2299"/>
      <c r="H860" s="2301"/>
      <c r="I860" s="2301"/>
      <c r="J860" s="2301"/>
      <c r="K860" s="130"/>
      <c r="L860" s="935"/>
      <c r="M860" s="111">
        <v>100</v>
      </c>
      <c r="N860" s="111">
        <v>100</v>
      </c>
      <c r="O860" s="111">
        <v>100</v>
      </c>
      <c r="P860" s="111">
        <v>100</v>
      </c>
      <c r="Q860" s="111">
        <v>100</v>
      </c>
    </row>
    <row r="861" spans="1:17" x14ac:dyDescent="0.25">
      <c r="A861" s="965"/>
      <c r="B861" s="1874" t="s">
        <v>85</v>
      </c>
      <c r="C861" s="1874"/>
      <c r="D861" s="1874"/>
      <c r="E861" s="1874"/>
      <c r="F861" s="498">
        <f>F858</f>
        <v>739.4</v>
      </c>
      <c r="G861" s="498">
        <f t="shared" ref="G861:J861" si="94">G858</f>
        <v>739.4</v>
      </c>
      <c r="H861" s="498">
        <f t="shared" si="94"/>
        <v>739.4</v>
      </c>
      <c r="I861" s="498">
        <f t="shared" si="94"/>
        <v>740</v>
      </c>
      <c r="J861" s="498">
        <f t="shared" si="94"/>
        <v>741.5</v>
      </c>
      <c r="K861" s="767"/>
      <c r="L861" s="503"/>
      <c r="M861" s="503"/>
      <c r="N861" s="503"/>
      <c r="O861" s="503"/>
      <c r="P861" s="503"/>
      <c r="Q861" s="503"/>
    </row>
    <row r="862" spans="1:17" x14ac:dyDescent="0.25">
      <c r="A862" s="1696" t="s">
        <v>1325</v>
      </c>
      <c r="B862" s="1697"/>
      <c r="C862" s="1697"/>
      <c r="D862" s="1697"/>
      <c r="E862" s="1697"/>
      <c r="F862" s="1697"/>
      <c r="G862" s="1697"/>
      <c r="H862" s="1697"/>
      <c r="I862" s="1697"/>
      <c r="J862" s="1697"/>
      <c r="K862" s="1697"/>
      <c r="L862" s="1697"/>
      <c r="M862" s="1697"/>
      <c r="N862" s="1697"/>
      <c r="O862" s="1697"/>
      <c r="P862" s="1697"/>
      <c r="Q862" s="2302"/>
    </row>
    <row r="863" spans="1:17" ht="73.5" x14ac:dyDescent="0.25">
      <c r="A863" s="970"/>
      <c r="B863" s="971" t="s">
        <v>516</v>
      </c>
      <c r="C863" s="207"/>
      <c r="D863" s="207"/>
      <c r="E863" s="684" t="s">
        <v>1326</v>
      </c>
      <c r="F863" s="683">
        <f>F865+F876+F886+F892</f>
        <v>118477.59999999999</v>
      </c>
      <c r="G863" s="683">
        <f>G865+G876+G886+G892</f>
        <v>132784.40000000002</v>
      </c>
      <c r="H863" s="683">
        <f>H865+H876+H886+H892</f>
        <v>138701</v>
      </c>
      <c r="I863" s="683">
        <f>I865+I876+I886+I892</f>
        <v>140625.79999999999</v>
      </c>
      <c r="J863" s="683">
        <f>J865+J876+J886+J892</f>
        <v>140625.79999999999</v>
      </c>
      <c r="K863" s="659" t="s">
        <v>1327</v>
      </c>
      <c r="L863" s="660" t="s">
        <v>35</v>
      </c>
      <c r="M863" s="915">
        <v>1.3</v>
      </c>
      <c r="N863" s="915">
        <v>1.4</v>
      </c>
      <c r="O863" s="915">
        <v>1.8</v>
      </c>
      <c r="P863" s="660">
        <v>1.9</v>
      </c>
      <c r="Q863" s="660">
        <v>1.9</v>
      </c>
    </row>
    <row r="864" spans="1:17" x14ac:dyDescent="0.25">
      <c r="A864" s="970"/>
      <c r="B864" s="971"/>
      <c r="C864" s="756" t="s">
        <v>5</v>
      </c>
      <c r="D864" s="972"/>
      <c r="E864" s="762" t="s">
        <v>6</v>
      </c>
      <c r="F864" s="973"/>
      <c r="G864" s="973"/>
      <c r="H864" s="753"/>
      <c r="I864" s="973"/>
      <c r="J864" s="973"/>
      <c r="K864" s="659"/>
      <c r="L864" s="660"/>
      <c r="M864" s="915"/>
      <c r="N864" s="915"/>
      <c r="O864" s="915"/>
      <c r="P864" s="660"/>
      <c r="Q864" s="660"/>
    </row>
    <row r="865" spans="1:17" ht="30" x14ac:dyDescent="0.25">
      <c r="A865" s="970"/>
      <c r="B865" s="1805"/>
      <c r="C865" s="1805" t="s">
        <v>1328</v>
      </c>
      <c r="D865" s="1831"/>
      <c r="E865" s="1845" t="s">
        <v>1329</v>
      </c>
      <c r="F865" s="2140">
        <v>20779.400000000001</v>
      </c>
      <c r="G865" s="1823">
        <v>21075.7</v>
      </c>
      <c r="H865" s="1823">
        <f>14235.8+2221.2+9308+279.2+200</f>
        <v>26244.2</v>
      </c>
      <c r="I865" s="1823">
        <f>29453-180.8</f>
        <v>29272.2</v>
      </c>
      <c r="J865" s="1823">
        <f>29453-180.8</f>
        <v>29272.2</v>
      </c>
      <c r="K865" s="659" t="s">
        <v>1330</v>
      </c>
      <c r="L865" s="660"/>
      <c r="M865" s="660"/>
      <c r="N865" s="660"/>
      <c r="O865" s="915"/>
      <c r="P865" s="660"/>
      <c r="Q865" s="660"/>
    </row>
    <row r="866" spans="1:17" x14ac:dyDescent="0.25">
      <c r="A866" s="970"/>
      <c r="B866" s="1844"/>
      <c r="C866" s="1844"/>
      <c r="D866" s="2138"/>
      <c r="E866" s="1846"/>
      <c r="F866" s="2141"/>
      <c r="G866" s="1847"/>
      <c r="H866" s="1847"/>
      <c r="I866" s="1847"/>
      <c r="J866" s="1847"/>
      <c r="K866" s="659" t="s">
        <v>1331</v>
      </c>
      <c r="L866" s="660" t="s">
        <v>1332</v>
      </c>
      <c r="M866" s="660">
        <v>203.8</v>
      </c>
      <c r="N866" s="665">
        <v>212.2</v>
      </c>
      <c r="O866" s="665">
        <v>222.6</v>
      </c>
      <c r="P866" s="665">
        <v>235.5</v>
      </c>
      <c r="Q866" s="665">
        <v>250.9</v>
      </c>
    </row>
    <row r="867" spans="1:17" ht="30" x14ac:dyDescent="0.25">
      <c r="A867" s="970"/>
      <c r="B867" s="1844"/>
      <c r="C867" s="1844"/>
      <c r="D867" s="2138"/>
      <c r="E867" s="1846"/>
      <c r="F867" s="2141"/>
      <c r="G867" s="1847"/>
      <c r="H867" s="1847"/>
      <c r="I867" s="1847"/>
      <c r="J867" s="1847"/>
      <c r="K867" s="659" t="s">
        <v>1333</v>
      </c>
      <c r="L867" s="660" t="s">
        <v>35</v>
      </c>
      <c r="M867" s="660">
        <v>102.7</v>
      </c>
      <c r="N867" s="665">
        <v>103</v>
      </c>
      <c r="O867" s="665">
        <v>103.1</v>
      </c>
      <c r="P867" s="665">
        <v>103.3</v>
      </c>
      <c r="Q867" s="665">
        <v>103.5</v>
      </c>
    </row>
    <row r="868" spans="1:17" x14ac:dyDescent="0.25">
      <c r="A868" s="970"/>
      <c r="B868" s="1844"/>
      <c r="C868" s="1844"/>
      <c r="D868" s="2138"/>
      <c r="E868" s="1846"/>
      <c r="F868" s="2141"/>
      <c r="G868" s="1847"/>
      <c r="H868" s="1847"/>
      <c r="I868" s="1847"/>
      <c r="J868" s="1847"/>
      <c r="K868" s="659" t="s">
        <v>1334</v>
      </c>
      <c r="L868" s="660" t="s">
        <v>1332</v>
      </c>
      <c r="M868" s="915">
        <v>189.9</v>
      </c>
      <c r="N868" s="915">
        <v>205</v>
      </c>
      <c r="O868" s="915">
        <v>213.4</v>
      </c>
      <c r="P868" s="915">
        <v>222.6</v>
      </c>
      <c r="Q868" s="915">
        <v>247.1</v>
      </c>
    </row>
    <row r="869" spans="1:17" ht="30" x14ac:dyDescent="0.25">
      <c r="A869" s="970"/>
      <c r="B869" s="1844"/>
      <c r="C869" s="1844"/>
      <c r="D869" s="2138"/>
      <c r="E869" s="1846"/>
      <c r="F869" s="2141"/>
      <c r="G869" s="1847"/>
      <c r="H869" s="1847"/>
      <c r="I869" s="1847"/>
      <c r="J869" s="1847"/>
      <c r="K869" s="659" t="s">
        <v>1333</v>
      </c>
      <c r="L869" s="660" t="s">
        <v>35</v>
      </c>
      <c r="M869" s="915">
        <v>105</v>
      </c>
      <c r="N869" s="915">
        <v>105.5</v>
      </c>
      <c r="O869" s="915">
        <v>101.9</v>
      </c>
      <c r="P869" s="915">
        <v>101.4</v>
      </c>
      <c r="Q869" s="915">
        <v>109.7</v>
      </c>
    </row>
    <row r="870" spans="1:17" x14ac:dyDescent="0.25">
      <c r="A870" s="970"/>
      <c r="B870" s="1844"/>
      <c r="C870" s="1844"/>
      <c r="D870" s="2138"/>
      <c r="E870" s="1846"/>
      <c r="F870" s="2141"/>
      <c r="G870" s="1847"/>
      <c r="H870" s="1847"/>
      <c r="I870" s="1847"/>
      <c r="J870" s="1847"/>
      <c r="K870" s="974" t="s">
        <v>1335</v>
      </c>
      <c r="L870" s="660" t="s">
        <v>1332</v>
      </c>
      <c r="M870" s="660">
        <v>100.4</v>
      </c>
      <c r="N870" s="660">
        <v>105</v>
      </c>
      <c r="O870" s="660">
        <v>111.3</v>
      </c>
      <c r="P870" s="660">
        <v>119.2</v>
      </c>
      <c r="Q870" s="660">
        <v>128.69999999999999</v>
      </c>
    </row>
    <row r="871" spans="1:17" ht="30" x14ac:dyDescent="0.25">
      <c r="A871" s="970"/>
      <c r="B871" s="1844"/>
      <c r="C871" s="1844"/>
      <c r="D871" s="2138"/>
      <c r="E871" s="1846"/>
      <c r="F871" s="2141"/>
      <c r="G871" s="1847"/>
      <c r="H871" s="1847"/>
      <c r="I871" s="1847"/>
      <c r="J871" s="1847"/>
      <c r="K871" s="659" t="s">
        <v>1333</v>
      </c>
      <c r="L871" s="660" t="s">
        <v>35</v>
      </c>
      <c r="M871" s="660">
        <v>103.4</v>
      </c>
      <c r="N871" s="660">
        <v>103.8</v>
      </c>
      <c r="O871" s="660">
        <v>104.1</v>
      </c>
      <c r="P871" s="660">
        <v>104.2</v>
      </c>
      <c r="Q871" s="660">
        <v>104.4</v>
      </c>
    </row>
    <row r="872" spans="1:17" x14ac:dyDescent="0.25">
      <c r="A872" s="970"/>
      <c r="B872" s="1844"/>
      <c r="C872" s="1844"/>
      <c r="D872" s="2138"/>
      <c r="E872" s="1846"/>
      <c r="F872" s="2141"/>
      <c r="G872" s="1847"/>
      <c r="H872" s="1847"/>
      <c r="I872" s="1847"/>
      <c r="J872" s="1847"/>
      <c r="K872" s="974" t="s">
        <v>1336</v>
      </c>
      <c r="L872" s="660" t="s">
        <v>1332</v>
      </c>
      <c r="M872" s="660">
        <v>98.3</v>
      </c>
      <c r="N872" s="660">
        <v>102</v>
      </c>
      <c r="O872" s="660">
        <v>106.1</v>
      </c>
      <c r="P872" s="660">
        <v>111.1</v>
      </c>
      <c r="Q872" s="660">
        <v>116.9</v>
      </c>
    </row>
    <row r="873" spans="1:17" ht="30" x14ac:dyDescent="0.25">
      <c r="A873" s="970"/>
      <c r="B873" s="1844"/>
      <c r="C873" s="1844"/>
      <c r="D873" s="2138"/>
      <c r="E873" s="1846"/>
      <c r="F873" s="2141"/>
      <c r="G873" s="1847"/>
      <c r="H873" s="1847"/>
      <c r="I873" s="1847"/>
      <c r="J873" s="1847"/>
      <c r="K873" s="659" t="s">
        <v>1333</v>
      </c>
      <c r="L873" s="660" t="s">
        <v>35</v>
      </c>
      <c r="M873" s="660">
        <v>102.2</v>
      </c>
      <c r="N873" s="660">
        <v>102.3</v>
      </c>
      <c r="O873" s="660">
        <v>102.4</v>
      </c>
      <c r="P873" s="660">
        <v>102.5</v>
      </c>
      <c r="Q873" s="660">
        <v>102.6</v>
      </c>
    </row>
    <row r="874" spans="1:17" ht="30" x14ac:dyDescent="0.25">
      <c r="A874" s="970"/>
      <c r="B874" s="1844"/>
      <c r="C874" s="1844"/>
      <c r="D874" s="2138"/>
      <c r="E874" s="1846"/>
      <c r="F874" s="2141"/>
      <c r="G874" s="1847"/>
      <c r="H874" s="1847"/>
      <c r="I874" s="1847"/>
      <c r="J874" s="1847"/>
      <c r="K874" s="659" t="s">
        <v>1337</v>
      </c>
      <c r="L874" s="660"/>
      <c r="M874" s="660"/>
      <c r="N874" s="660"/>
      <c r="O874" s="915"/>
      <c r="P874" s="660"/>
      <c r="Q874" s="660"/>
    </row>
    <row r="875" spans="1:17" x14ac:dyDescent="0.25">
      <c r="A875" s="970"/>
      <c r="B875" s="1844"/>
      <c r="C875" s="1844"/>
      <c r="D875" s="2138"/>
      <c r="E875" s="1846"/>
      <c r="F875" s="2141"/>
      <c r="G875" s="1847"/>
      <c r="H875" s="1847"/>
      <c r="I875" s="1847"/>
      <c r="J875" s="1847"/>
      <c r="K875" s="762" t="s">
        <v>1338</v>
      </c>
      <c r="L875" s="660"/>
      <c r="M875" s="660"/>
      <c r="N875" s="660"/>
      <c r="O875" s="915"/>
      <c r="P875" s="660"/>
      <c r="Q875" s="660"/>
    </row>
    <row r="876" spans="1:17" ht="45" x14ac:dyDescent="0.25">
      <c r="A876" s="970"/>
      <c r="B876" s="1805"/>
      <c r="C876" s="1805" t="s">
        <v>1339</v>
      </c>
      <c r="D876" s="1831"/>
      <c r="E876" s="1845" t="s">
        <v>1340</v>
      </c>
      <c r="F876" s="2140">
        <v>14530.5</v>
      </c>
      <c r="G876" s="1823">
        <v>14552.3</v>
      </c>
      <c r="H876" s="1823">
        <f>11655.9+1701.7+3724.5+172.3</f>
        <v>17254.399999999998</v>
      </c>
      <c r="I876" s="1823">
        <v>15057.4</v>
      </c>
      <c r="J876" s="1823">
        <v>15057.4</v>
      </c>
      <c r="K876" s="659" t="s">
        <v>1341</v>
      </c>
      <c r="L876" s="262" t="s">
        <v>35</v>
      </c>
      <c r="M876" s="262">
        <v>1</v>
      </c>
      <c r="N876" s="262">
        <v>1.1000000000000001</v>
      </c>
      <c r="O876" s="500">
        <v>1.1000000000000001</v>
      </c>
      <c r="P876" s="262">
        <v>1.1000000000000001</v>
      </c>
      <c r="Q876" s="262">
        <v>1.1000000000000001</v>
      </c>
    </row>
    <row r="877" spans="1:17" ht="60" x14ac:dyDescent="0.25">
      <c r="A877" s="970"/>
      <c r="B877" s="1844"/>
      <c r="C877" s="1844"/>
      <c r="D877" s="2138"/>
      <c r="E877" s="1846"/>
      <c r="F877" s="2141"/>
      <c r="G877" s="1847"/>
      <c r="H877" s="1847"/>
      <c r="I877" s="1847"/>
      <c r="J877" s="1847"/>
      <c r="K877" s="762" t="s">
        <v>1342</v>
      </c>
      <c r="L877" s="660" t="s">
        <v>35</v>
      </c>
      <c r="M877" s="660">
        <v>91.7</v>
      </c>
      <c r="N877" s="660">
        <v>100</v>
      </c>
      <c r="O877" s="660">
        <v>100</v>
      </c>
      <c r="P877" s="660">
        <v>100</v>
      </c>
      <c r="Q877" s="660">
        <v>100</v>
      </c>
    </row>
    <row r="878" spans="1:17" ht="45" x14ac:dyDescent="0.25">
      <c r="A878" s="970"/>
      <c r="B878" s="1844"/>
      <c r="C878" s="1844"/>
      <c r="D878" s="2138"/>
      <c r="E878" s="1846"/>
      <c r="F878" s="2141"/>
      <c r="G878" s="1847"/>
      <c r="H878" s="1847"/>
      <c r="I878" s="1847"/>
      <c r="J878" s="1847"/>
      <c r="K878" s="659" t="s">
        <v>1343</v>
      </c>
      <c r="L878" s="660" t="s">
        <v>116</v>
      </c>
      <c r="M878" s="660">
        <v>3</v>
      </c>
      <c r="N878" s="660">
        <v>5</v>
      </c>
      <c r="O878" s="660">
        <v>5</v>
      </c>
      <c r="P878" s="660">
        <v>5</v>
      </c>
      <c r="Q878" s="660">
        <v>5</v>
      </c>
    </row>
    <row r="879" spans="1:17" ht="45" x14ac:dyDescent="0.25">
      <c r="A879" s="970"/>
      <c r="B879" s="1844"/>
      <c r="C879" s="1844"/>
      <c r="D879" s="2138"/>
      <c r="E879" s="1846"/>
      <c r="F879" s="2141"/>
      <c r="G879" s="1847"/>
      <c r="H879" s="1847"/>
      <c r="I879" s="1847"/>
      <c r="J879" s="1847"/>
      <c r="K879" s="764" t="s">
        <v>1344</v>
      </c>
      <c r="L879" s="660" t="s">
        <v>1345</v>
      </c>
      <c r="M879" s="660"/>
      <c r="N879" s="660"/>
      <c r="O879" s="660"/>
      <c r="P879" s="660"/>
      <c r="Q879" s="660"/>
    </row>
    <row r="880" spans="1:17" ht="75" x14ac:dyDescent="0.25">
      <c r="A880" s="970"/>
      <c r="B880" s="1844"/>
      <c r="C880" s="1844"/>
      <c r="D880" s="2138"/>
      <c r="E880" s="1846"/>
      <c r="F880" s="2141"/>
      <c r="G880" s="1847"/>
      <c r="H880" s="1847"/>
      <c r="I880" s="1847"/>
      <c r="J880" s="1847"/>
      <c r="K880" s="764" t="s">
        <v>1346</v>
      </c>
      <c r="L880" s="660" t="s">
        <v>1347</v>
      </c>
      <c r="M880" s="660">
        <v>100</v>
      </c>
      <c r="N880" s="660">
        <v>100</v>
      </c>
      <c r="O880" s="660">
        <v>100</v>
      </c>
      <c r="P880" s="660">
        <v>100</v>
      </c>
      <c r="Q880" s="660">
        <v>100</v>
      </c>
    </row>
    <row r="881" spans="1:17" ht="45" x14ac:dyDescent="0.25">
      <c r="A881" s="970"/>
      <c r="B881" s="1844"/>
      <c r="C881" s="1844"/>
      <c r="D881" s="2138"/>
      <c r="E881" s="1846"/>
      <c r="F881" s="2141"/>
      <c r="G881" s="1847"/>
      <c r="H881" s="1847"/>
      <c r="I881" s="1847"/>
      <c r="J881" s="1847"/>
      <c r="K881" s="764" t="s">
        <v>1348</v>
      </c>
      <c r="L881" s="660" t="s">
        <v>1347</v>
      </c>
      <c r="M881" s="660">
        <v>100</v>
      </c>
      <c r="N881" s="660">
        <v>100</v>
      </c>
      <c r="O881" s="660">
        <v>100</v>
      </c>
      <c r="P881" s="660">
        <v>100</v>
      </c>
      <c r="Q881" s="660">
        <v>100</v>
      </c>
    </row>
    <row r="882" spans="1:17" ht="30" x14ac:dyDescent="0.25">
      <c r="A882" s="970"/>
      <c r="B882" s="1844"/>
      <c r="C882" s="1844"/>
      <c r="D882" s="2138"/>
      <c r="E882" s="1846"/>
      <c r="F882" s="2141"/>
      <c r="G882" s="1847"/>
      <c r="H882" s="1847"/>
      <c r="I882" s="1847"/>
      <c r="J882" s="1847"/>
      <c r="K882" s="659" t="s">
        <v>1349</v>
      </c>
      <c r="L882" s="660"/>
      <c r="M882" s="660"/>
      <c r="N882" s="660"/>
      <c r="O882" s="660"/>
      <c r="P882" s="660"/>
      <c r="Q882" s="660"/>
    </row>
    <row r="883" spans="1:17" x14ac:dyDescent="0.25">
      <c r="A883" s="970"/>
      <c r="B883" s="1844"/>
      <c r="C883" s="1844"/>
      <c r="D883" s="2138"/>
      <c r="E883" s="1846"/>
      <c r="F883" s="2141"/>
      <c r="G883" s="1847"/>
      <c r="H883" s="1847"/>
      <c r="I883" s="1847"/>
      <c r="J883" s="1847"/>
      <c r="K883" s="659"/>
      <c r="L883" s="660"/>
      <c r="M883" s="660"/>
      <c r="N883" s="660"/>
      <c r="O883" s="660"/>
      <c r="P883" s="660"/>
      <c r="Q883" s="660"/>
    </row>
    <row r="884" spans="1:17" x14ac:dyDescent="0.25">
      <c r="A884" s="970"/>
      <c r="B884" s="1844"/>
      <c r="C884" s="1844"/>
      <c r="D884" s="2138"/>
      <c r="E884" s="1846"/>
      <c r="F884" s="2141"/>
      <c r="G884" s="1847"/>
      <c r="H884" s="1847"/>
      <c r="I884" s="1847"/>
      <c r="J884" s="1847"/>
      <c r="K884" s="659"/>
      <c r="L884" s="660"/>
      <c r="M884" s="660"/>
      <c r="N884" s="660"/>
      <c r="O884" s="660"/>
      <c r="P884" s="660"/>
      <c r="Q884" s="660"/>
    </row>
    <row r="885" spans="1:17" x14ac:dyDescent="0.25">
      <c r="A885" s="970"/>
      <c r="B885" s="1806"/>
      <c r="C885" s="1806"/>
      <c r="D885" s="1832"/>
      <c r="E885" s="1852"/>
      <c r="F885" s="2142"/>
      <c r="G885" s="1824"/>
      <c r="H885" s="1824"/>
      <c r="I885" s="1824"/>
      <c r="J885" s="1824"/>
      <c r="K885" s="659"/>
      <c r="L885" s="660"/>
      <c r="M885" s="660"/>
      <c r="N885" s="660"/>
      <c r="O885" s="660"/>
      <c r="P885" s="660"/>
      <c r="Q885" s="660"/>
    </row>
    <row r="886" spans="1:17" ht="45" x14ac:dyDescent="0.25">
      <c r="A886" s="970"/>
      <c r="B886" s="1805"/>
      <c r="C886" s="1805" t="s">
        <v>1350</v>
      </c>
      <c r="D886" s="1831"/>
      <c r="E886" s="1845" t="s">
        <v>1351</v>
      </c>
      <c r="F886" s="2140">
        <v>14540.3</v>
      </c>
      <c r="G886" s="1823">
        <v>14552.3</v>
      </c>
      <c r="H886" s="1823">
        <f>8902.8+1226.7+2320.3+148.5</f>
        <v>12598.3</v>
      </c>
      <c r="I886" s="1823">
        <v>12784.8</v>
      </c>
      <c r="J886" s="1823">
        <v>12784.8</v>
      </c>
      <c r="K886" s="659" t="s">
        <v>1352</v>
      </c>
      <c r="L886" s="262" t="s">
        <v>35</v>
      </c>
      <c r="M886" s="262">
        <v>0.8</v>
      </c>
      <c r="N886" s="262">
        <v>0.8</v>
      </c>
      <c r="O886" s="262">
        <v>0.9</v>
      </c>
      <c r="P886" s="262">
        <v>0.9</v>
      </c>
      <c r="Q886" s="262">
        <v>0.9</v>
      </c>
    </row>
    <row r="887" spans="1:17" ht="45" x14ac:dyDescent="0.25">
      <c r="A887" s="970"/>
      <c r="B887" s="1844"/>
      <c r="C887" s="1844"/>
      <c r="D887" s="2138"/>
      <c r="E887" s="1846"/>
      <c r="F887" s="2141"/>
      <c r="G887" s="1847"/>
      <c r="H887" s="1847"/>
      <c r="I887" s="1847"/>
      <c r="J887" s="1847"/>
      <c r="K887" s="659" t="s">
        <v>1353</v>
      </c>
      <c r="L887" s="660" t="s">
        <v>35</v>
      </c>
      <c r="M887" s="660">
        <v>33.299999999999997</v>
      </c>
      <c r="N887" s="660" t="s">
        <v>190</v>
      </c>
      <c r="O887" s="660" t="s">
        <v>190</v>
      </c>
      <c r="P887" s="660" t="s">
        <v>190</v>
      </c>
      <c r="Q887" s="660" t="s">
        <v>190</v>
      </c>
    </row>
    <row r="888" spans="1:17" ht="45" x14ac:dyDescent="0.25">
      <c r="A888" s="970"/>
      <c r="B888" s="1844"/>
      <c r="C888" s="1844"/>
      <c r="D888" s="2138"/>
      <c r="E888" s="1846"/>
      <c r="F888" s="2141"/>
      <c r="G888" s="1847"/>
      <c r="H888" s="1847"/>
      <c r="I888" s="1847"/>
      <c r="J888" s="1847"/>
      <c r="K888" s="659" t="s">
        <v>1354</v>
      </c>
      <c r="L888" s="660" t="s">
        <v>192</v>
      </c>
      <c r="M888" s="658" t="s">
        <v>1355</v>
      </c>
      <c r="N888" s="660" t="s">
        <v>190</v>
      </c>
      <c r="O888" s="660" t="s">
        <v>190</v>
      </c>
      <c r="P888" s="660" t="s">
        <v>190</v>
      </c>
      <c r="Q888" s="660" t="s">
        <v>190</v>
      </c>
    </row>
    <row r="889" spans="1:17" ht="45" x14ac:dyDescent="0.25">
      <c r="A889" s="970"/>
      <c r="B889" s="1844"/>
      <c r="C889" s="1844"/>
      <c r="D889" s="2138"/>
      <c r="E889" s="1846"/>
      <c r="F889" s="2141"/>
      <c r="G889" s="1847"/>
      <c r="H889" s="1847"/>
      <c r="I889" s="1847"/>
      <c r="J889" s="1847"/>
      <c r="K889" s="764" t="s">
        <v>1356</v>
      </c>
      <c r="L889" s="975" t="s">
        <v>1357</v>
      </c>
      <c r="M889" s="665"/>
      <c r="N889" s="665"/>
      <c r="O889" s="665"/>
      <c r="P889" s="665"/>
      <c r="Q889" s="665"/>
    </row>
    <row r="890" spans="1:17" ht="60" x14ac:dyDescent="0.25">
      <c r="A890" s="970"/>
      <c r="B890" s="1844"/>
      <c r="C890" s="1844"/>
      <c r="D890" s="2138"/>
      <c r="E890" s="1846"/>
      <c r="F890" s="2141"/>
      <c r="G890" s="1847"/>
      <c r="H890" s="1847"/>
      <c r="I890" s="1847"/>
      <c r="J890" s="1847"/>
      <c r="K890" s="762" t="s">
        <v>1358</v>
      </c>
      <c r="L890" s="784" t="s">
        <v>116</v>
      </c>
      <c r="M890" s="784">
        <v>736</v>
      </c>
      <c r="N890" s="660" t="s">
        <v>190</v>
      </c>
      <c r="O890" s="660" t="s">
        <v>190</v>
      </c>
      <c r="P890" s="660" t="s">
        <v>190</v>
      </c>
      <c r="Q890" s="660" t="s">
        <v>190</v>
      </c>
    </row>
    <row r="891" spans="1:17" ht="60" x14ac:dyDescent="0.25">
      <c r="A891" s="970"/>
      <c r="B891" s="1806"/>
      <c r="C891" s="1806"/>
      <c r="D891" s="1832"/>
      <c r="E891" s="1852"/>
      <c r="F891" s="2142"/>
      <c r="G891" s="1824"/>
      <c r="H891" s="1824"/>
      <c r="I891" s="1824"/>
      <c r="J891" s="1824"/>
      <c r="K891" s="762" t="s">
        <v>1359</v>
      </c>
      <c r="L891" s="784" t="s">
        <v>35</v>
      </c>
      <c r="M891" s="660">
        <v>16</v>
      </c>
      <c r="N891" s="660">
        <v>16</v>
      </c>
      <c r="O891" s="660">
        <v>16</v>
      </c>
      <c r="P891" s="660">
        <v>16</v>
      </c>
      <c r="Q891" s="660">
        <v>16</v>
      </c>
    </row>
    <row r="892" spans="1:17" ht="45" x14ac:dyDescent="0.25">
      <c r="A892" s="970"/>
      <c r="B892" s="661"/>
      <c r="C892" s="661" t="s">
        <v>1360</v>
      </c>
      <c r="D892" s="665"/>
      <c r="E892" s="659" t="s">
        <v>1361</v>
      </c>
      <c r="F892" s="976">
        <v>68627.399999999994</v>
      </c>
      <c r="G892" s="786">
        <v>82604.100000000006</v>
      </c>
      <c r="H892" s="786">
        <v>82604.100000000006</v>
      </c>
      <c r="I892" s="786">
        <v>83511.399999999994</v>
      </c>
      <c r="J892" s="786">
        <v>83511.399999999994</v>
      </c>
      <c r="K892" s="659" t="s">
        <v>1362</v>
      </c>
      <c r="L892" s="975" t="s">
        <v>35</v>
      </c>
      <c r="M892" s="660">
        <v>5.9</v>
      </c>
      <c r="N892" s="660">
        <v>6.7</v>
      </c>
      <c r="O892" s="660">
        <v>6.9</v>
      </c>
      <c r="P892" s="660">
        <v>7.1</v>
      </c>
      <c r="Q892" s="660">
        <v>7.2</v>
      </c>
    </row>
    <row r="893" spans="1:17" ht="28.5" x14ac:dyDescent="0.25">
      <c r="A893" s="970"/>
      <c r="B893" s="971" t="s">
        <v>467</v>
      </c>
      <c r="C893" s="756"/>
      <c r="D893" s="756"/>
      <c r="E893" s="977" t="s">
        <v>1363</v>
      </c>
      <c r="F893" s="973">
        <f>F894+F899+F901+F907+F909+F919+F922+F927+F928+F934+F936+F942+F944+F948+F954+F959+F962+F965+F966</f>
        <v>807308.2</v>
      </c>
      <c r="G893" s="973">
        <f t="shared" ref="G893:J893" si="95">G894+G899+G901+G907+G909+G919+G922+G927+G928+G934+G936+G942+G944+G948+G954+G959+G962+G965+G966</f>
        <v>971851.2</v>
      </c>
      <c r="H893" s="973">
        <f>H894+H899+H901+H907+H909+H919+H922+H927+H928+H934+H936+H942+H944+H948+H954+H959+H962+H965+H966+H969+H970</f>
        <v>839550.99999999988</v>
      </c>
      <c r="I893" s="973">
        <f t="shared" si="95"/>
        <v>606004.14999999991</v>
      </c>
      <c r="J893" s="973">
        <f t="shared" si="95"/>
        <v>517774.86000000004</v>
      </c>
      <c r="K893" s="660"/>
      <c r="L893" s="660"/>
      <c r="M893" s="660"/>
      <c r="N893" s="665"/>
      <c r="O893" s="665"/>
      <c r="P893" s="665"/>
      <c r="Q893" s="665"/>
    </row>
    <row r="894" spans="1:17" ht="45" x14ac:dyDescent="0.25">
      <c r="A894" s="970"/>
      <c r="B894" s="1805"/>
      <c r="C894" s="1805" t="s">
        <v>5</v>
      </c>
      <c r="D894" s="1805"/>
      <c r="E894" s="1845" t="s">
        <v>1364</v>
      </c>
      <c r="F894" s="1893">
        <v>117369.8</v>
      </c>
      <c r="G894" s="1893">
        <f>7322.9+42427.6+1763.8+59012</f>
        <v>110526.3</v>
      </c>
      <c r="H894" s="1893">
        <f>41037.8+6073.7+10110.3+44381+804.8+1695.3+161.5+2596.3+4345.2+749.5+2383.6+1062.4+472.4+3579.7</f>
        <v>119453.5</v>
      </c>
      <c r="I894" s="1893">
        <f>65738.3+41122.4+12732.6-51335.5</f>
        <v>68257.800000000017</v>
      </c>
      <c r="J894" s="1893">
        <f>65738.3+41122.4+12732.6-53975.9</f>
        <v>65617.400000000023</v>
      </c>
      <c r="K894" s="659" t="s">
        <v>1365</v>
      </c>
      <c r="L894" s="660" t="s">
        <v>1366</v>
      </c>
      <c r="M894" s="421">
        <v>174.9</v>
      </c>
      <c r="N894" s="421">
        <v>170</v>
      </c>
      <c r="O894" s="421">
        <v>160</v>
      </c>
      <c r="P894" s="421">
        <v>160</v>
      </c>
      <c r="Q894" s="421">
        <v>160</v>
      </c>
    </row>
    <row r="895" spans="1:17" ht="45" x14ac:dyDescent="0.25">
      <c r="A895" s="970"/>
      <c r="B895" s="1844"/>
      <c r="C895" s="1844"/>
      <c r="D895" s="1844"/>
      <c r="E895" s="1846"/>
      <c r="F895" s="2103"/>
      <c r="G895" s="2103"/>
      <c r="H895" s="2103"/>
      <c r="I895" s="2103"/>
      <c r="J895" s="2103"/>
      <c r="K895" s="659" t="s">
        <v>1367</v>
      </c>
      <c r="L895" s="660" t="s">
        <v>1366</v>
      </c>
      <c r="M895" s="421" t="s">
        <v>1368</v>
      </c>
      <c r="N895" s="421" t="s">
        <v>1369</v>
      </c>
      <c r="O895" s="421" t="s">
        <v>1370</v>
      </c>
      <c r="P895" s="421" t="s">
        <v>1371</v>
      </c>
      <c r="Q895" s="421" t="s">
        <v>1371</v>
      </c>
    </row>
    <row r="896" spans="1:17" ht="30" x14ac:dyDescent="0.25">
      <c r="A896" s="970"/>
      <c r="B896" s="1844"/>
      <c r="C896" s="1844"/>
      <c r="D896" s="1844"/>
      <c r="E896" s="1846"/>
      <c r="F896" s="2103"/>
      <c r="G896" s="2103"/>
      <c r="H896" s="2103"/>
      <c r="I896" s="2103"/>
      <c r="J896" s="2103"/>
      <c r="K896" s="659" t="s">
        <v>1372</v>
      </c>
      <c r="L896" s="660" t="s">
        <v>1366</v>
      </c>
      <c r="M896" s="421">
        <v>146</v>
      </c>
      <c r="N896" s="421">
        <v>125</v>
      </c>
      <c r="O896" s="421">
        <v>120</v>
      </c>
      <c r="P896" s="421">
        <v>120</v>
      </c>
      <c r="Q896" s="421">
        <v>120</v>
      </c>
    </row>
    <row r="897" spans="1:17" ht="30" x14ac:dyDescent="0.25">
      <c r="A897" s="970"/>
      <c r="B897" s="1844"/>
      <c r="C897" s="1844"/>
      <c r="D897" s="1844"/>
      <c r="E897" s="1846"/>
      <c r="F897" s="2103"/>
      <c r="G897" s="2103"/>
      <c r="H897" s="2103"/>
      <c r="I897" s="2103"/>
      <c r="J897" s="2103"/>
      <c r="K897" s="659" t="s">
        <v>1373</v>
      </c>
      <c r="L897" s="660" t="s">
        <v>1366</v>
      </c>
      <c r="M897" s="421">
        <v>1.1000000000000001</v>
      </c>
      <c r="N897" s="421">
        <v>2</v>
      </c>
      <c r="O897" s="421">
        <v>2</v>
      </c>
      <c r="P897" s="421">
        <v>2</v>
      </c>
      <c r="Q897" s="421">
        <v>2</v>
      </c>
    </row>
    <row r="898" spans="1:17" ht="30" x14ac:dyDescent="0.25">
      <c r="A898" s="970"/>
      <c r="B898" s="1806"/>
      <c r="C898" s="1806"/>
      <c r="D898" s="1806"/>
      <c r="E898" s="1852"/>
      <c r="F898" s="1894"/>
      <c r="G898" s="1894"/>
      <c r="H898" s="1894"/>
      <c r="I898" s="1894"/>
      <c r="J898" s="1894"/>
      <c r="K898" s="659" t="s">
        <v>1374</v>
      </c>
      <c r="L898" s="660" t="s">
        <v>1375</v>
      </c>
      <c r="M898" s="421">
        <v>45.5</v>
      </c>
      <c r="N898" s="421">
        <v>45</v>
      </c>
      <c r="O898" s="421">
        <v>45</v>
      </c>
      <c r="P898" s="421">
        <v>45</v>
      </c>
      <c r="Q898" s="421">
        <v>34.700000000000003</v>
      </c>
    </row>
    <row r="899" spans="1:17" x14ac:dyDescent="0.25">
      <c r="A899" s="970"/>
      <c r="B899" s="1805"/>
      <c r="C899" s="1805" t="s">
        <v>7</v>
      </c>
      <c r="D899" s="1803"/>
      <c r="E899" s="2296" t="s">
        <v>1376</v>
      </c>
      <c r="F899" s="2106" t="s">
        <v>1377</v>
      </c>
      <c r="G899" s="2106">
        <f>3858.5+6156+1763.7+5341.5</f>
        <v>17119.7</v>
      </c>
      <c r="H899" s="2106">
        <f>12375.7+1831.6+1294.3+1302.3+221.5+320.7+30.5+1694.7+950.2+163.9+555.7+212.5+121.7+751.7</f>
        <v>21827.000000000007</v>
      </c>
      <c r="I899" s="2106">
        <f>8574.8+10496.5+2615.9</f>
        <v>21687.200000000001</v>
      </c>
      <c r="J899" s="2106">
        <f>8574.8+10496.5+2615.9</f>
        <v>21687.200000000001</v>
      </c>
      <c r="K899" s="659" t="s">
        <v>1378</v>
      </c>
      <c r="L899" s="658" t="s">
        <v>1345</v>
      </c>
      <c r="M899" s="658" t="s">
        <v>1379</v>
      </c>
      <c r="N899" s="771" t="s">
        <v>1380</v>
      </c>
      <c r="O899" s="771" t="s">
        <v>1380</v>
      </c>
      <c r="P899" s="771" t="s">
        <v>1380</v>
      </c>
      <c r="Q899" s="771" t="s">
        <v>1380</v>
      </c>
    </row>
    <row r="900" spans="1:17" ht="30" x14ac:dyDescent="0.25">
      <c r="A900" s="970"/>
      <c r="B900" s="1806"/>
      <c r="C900" s="1806"/>
      <c r="D900" s="1804"/>
      <c r="E900" s="2297"/>
      <c r="F900" s="2289"/>
      <c r="G900" s="2289"/>
      <c r="H900" s="2289"/>
      <c r="I900" s="2289"/>
      <c r="J900" s="2289"/>
      <c r="K900" s="659" t="s">
        <v>1381</v>
      </c>
      <c r="L900" s="660" t="s">
        <v>1366</v>
      </c>
      <c r="M900" s="784">
        <v>182.4</v>
      </c>
      <c r="N900" s="784">
        <v>171.7</v>
      </c>
      <c r="O900" s="784">
        <v>180.3</v>
      </c>
      <c r="P900" s="784">
        <v>189.3</v>
      </c>
      <c r="Q900" s="784">
        <v>198.2</v>
      </c>
    </row>
    <row r="901" spans="1:17" ht="45" x14ac:dyDescent="0.25">
      <c r="A901" s="970"/>
      <c r="B901" s="1985"/>
      <c r="C901" s="1985" t="s">
        <v>9</v>
      </c>
      <c r="D901" s="1985"/>
      <c r="E901" s="2293" t="s">
        <v>1382</v>
      </c>
      <c r="F901" s="1893" t="s">
        <v>1383</v>
      </c>
      <c r="G901" s="1893" t="s">
        <v>1384</v>
      </c>
      <c r="H901" s="1893">
        <f>18492.3+1300</f>
        <v>19792.3</v>
      </c>
      <c r="I901" s="1893" t="s">
        <v>1384</v>
      </c>
      <c r="J901" s="1893" t="s">
        <v>1384</v>
      </c>
      <c r="K901" s="659" t="s">
        <v>1385</v>
      </c>
      <c r="L901" s="660" t="s">
        <v>1366</v>
      </c>
      <c r="M901" s="660">
        <v>138.30000000000001</v>
      </c>
      <c r="N901" s="660">
        <v>140</v>
      </c>
      <c r="O901" s="660">
        <v>140</v>
      </c>
      <c r="P901" s="660">
        <v>142</v>
      </c>
      <c r="Q901" s="660">
        <v>145</v>
      </c>
    </row>
    <row r="902" spans="1:17" ht="30" x14ac:dyDescent="0.25">
      <c r="A902" s="970"/>
      <c r="B902" s="1985"/>
      <c r="C902" s="1985"/>
      <c r="D902" s="1985"/>
      <c r="E902" s="2293"/>
      <c r="F902" s="2103"/>
      <c r="G902" s="2294"/>
      <c r="H902" s="2103"/>
      <c r="I902" s="2103"/>
      <c r="J902" s="2103"/>
      <c r="K902" s="659" t="s">
        <v>1386</v>
      </c>
      <c r="L902" s="421"/>
      <c r="M902" s="421"/>
      <c r="N902" s="421"/>
      <c r="O902" s="660"/>
      <c r="P902" s="660"/>
      <c r="Q902" s="660"/>
    </row>
    <row r="903" spans="1:17" x14ac:dyDescent="0.25">
      <c r="A903" s="970"/>
      <c r="B903" s="1985"/>
      <c r="C903" s="1985"/>
      <c r="D903" s="1985"/>
      <c r="E903" s="2293"/>
      <c r="F903" s="2103"/>
      <c r="G903" s="2294"/>
      <c r="H903" s="2103"/>
      <c r="I903" s="2103"/>
      <c r="J903" s="2103"/>
      <c r="K903" s="659" t="s">
        <v>1387</v>
      </c>
      <c r="L903" s="660" t="s">
        <v>1388</v>
      </c>
      <c r="M903" s="660">
        <v>42.4</v>
      </c>
      <c r="N903" s="660">
        <v>43</v>
      </c>
      <c r="O903" s="421">
        <v>44</v>
      </c>
      <c r="P903" s="660">
        <v>45</v>
      </c>
      <c r="Q903" s="421">
        <v>45</v>
      </c>
    </row>
    <row r="904" spans="1:17" x14ac:dyDescent="0.25">
      <c r="A904" s="970"/>
      <c r="B904" s="1985"/>
      <c r="C904" s="1985"/>
      <c r="D904" s="1985"/>
      <c r="E904" s="2293"/>
      <c r="F904" s="2103"/>
      <c r="G904" s="2294"/>
      <c r="H904" s="2103"/>
      <c r="I904" s="2103"/>
      <c r="J904" s="2103"/>
      <c r="K904" s="659" t="s">
        <v>1389</v>
      </c>
      <c r="L904" s="660" t="s">
        <v>1390</v>
      </c>
      <c r="M904" s="975">
        <v>8700</v>
      </c>
      <c r="N904" s="975">
        <v>9000</v>
      </c>
      <c r="O904" s="978">
        <v>9200</v>
      </c>
      <c r="P904" s="978">
        <v>9700</v>
      </c>
      <c r="Q904" s="978">
        <v>9900</v>
      </c>
    </row>
    <row r="905" spans="1:17" x14ac:dyDescent="0.25">
      <c r="A905" s="970"/>
      <c r="B905" s="1985"/>
      <c r="C905" s="1985"/>
      <c r="D905" s="1985"/>
      <c r="E905" s="2293"/>
      <c r="F905" s="2103"/>
      <c r="G905" s="2294"/>
      <c r="H905" s="2103"/>
      <c r="I905" s="2103"/>
      <c r="J905" s="2103"/>
      <c r="K905" s="659" t="s">
        <v>1391</v>
      </c>
      <c r="L905" s="660" t="s">
        <v>1392</v>
      </c>
      <c r="M905" s="975">
        <v>195000</v>
      </c>
      <c r="N905" s="978">
        <v>200000</v>
      </c>
      <c r="O905" s="978">
        <v>202000</v>
      </c>
      <c r="P905" s="978">
        <v>205000</v>
      </c>
      <c r="Q905" s="978">
        <v>2010000</v>
      </c>
    </row>
    <row r="906" spans="1:17" x14ac:dyDescent="0.25">
      <c r="A906" s="970"/>
      <c r="B906" s="1985"/>
      <c r="C906" s="1985"/>
      <c r="D906" s="1985"/>
      <c r="E906" s="2293"/>
      <c r="F906" s="1894"/>
      <c r="G906" s="2295"/>
      <c r="H906" s="1894"/>
      <c r="I906" s="1894"/>
      <c r="J906" s="1894"/>
      <c r="K906" s="659" t="s">
        <v>1393</v>
      </c>
      <c r="L906" s="660" t="s">
        <v>1394</v>
      </c>
      <c r="M906" s="975">
        <v>48885</v>
      </c>
      <c r="N906" s="978">
        <v>49000</v>
      </c>
      <c r="O906" s="978">
        <v>49000</v>
      </c>
      <c r="P906" s="978">
        <v>49000</v>
      </c>
      <c r="Q906" s="978">
        <v>50000</v>
      </c>
    </row>
    <row r="907" spans="1:17" ht="45" x14ac:dyDescent="0.25">
      <c r="A907" s="970"/>
      <c r="B907" s="1805"/>
      <c r="C907" s="1805" t="s">
        <v>11</v>
      </c>
      <c r="D907" s="1805"/>
      <c r="E907" s="1838" t="s">
        <v>1395</v>
      </c>
      <c r="F907" s="1893">
        <v>11365.7</v>
      </c>
      <c r="G907" s="1893">
        <v>10575.7</v>
      </c>
      <c r="H907" s="1893">
        <f>130+30+40+8077.7</f>
        <v>8277.7000000000007</v>
      </c>
      <c r="I907" s="1893">
        <v>10575.7</v>
      </c>
      <c r="J907" s="1893">
        <v>10575.7</v>
      </c>
      <c r="K907" s="659" t="s">
        <v>1396</v>
      </c>
      <c r="L907" s="660" t="s">
        <v>116</v>
      </c>
      <c r="M907" s="660">
        <v>338</v>
      </c>
      <c r="N907" s="660">
        <v>290</v>
      </c>
      <c r="O907" s="660">
        <v>300</v>
      </c>
      <c r="P907" s="660">
        <v>320</v>
      </c>
      <c r="Q907" s="660">
        <v>320</v>
      </c>
    </row>
    <row r="908" spans="1:17" ht="30" x14ac:dyDescent="0.25">
      <c r="A908" s="970"/>
      <c r="B908" s="1844"/>
      <c r="C908" s="1844"/>
      <c r="D908" s="1844"/>
      <c r="E908" s="2271"/>
      <c r="F908" s="2103"/>
      <c r="G908" s="2103"/>
      <c r="H908" s="2103"/>
      <c r="I908" s="2103"/>
      <c r="J908" s="2103"/>
      <c r="K908" s="659" t="s">
        <v>1397</v>
      </c>
      <c r="L908" s="660" t="s">
        <v>1357</v>
      </c>
      <c r="M908" s="660">
        <v>71</v>
      </c>
      <c r="N908" s="660">
        <v>73</v>
      </c>
      <c r="O908" s="660">
        <v>75</v>
      </c>
      <c r="P908" s="660">
        <v>78</v>
      </c>
      <c r="Q908" s="660">
        <v>78</v>
      </c>
    </row>
    <row r="909" spans="1:17" x14ac:dyDescent="0.25">
      <c r="A909" s="970"/>
      <c r="B909" s="1805"/>
      <c r="C909" s="1805" t="s">
        <v>127</v>
      </c>
      <c r="D909" s="1805"/>
      <c r="E909" s="1845" t="s">
        <v>1398</v>
      </c>
      <c r="F909" s="1893">
        <f>15974.1+4000</f>
        <v>19974.099999999999</v>
      </c>
      <c r="G909" s="1893">
        <v>19129.3</v>
      </c>
      <c r="H909" s="1897">
        <f>43400+502.7+74.4+133.3+36+240+14430.7+2135.7+2035.1+1165.7+696+21506.3</f>
        <v>86355.9</v>
      </c>
      <c r="I909" s="1897">
        <v>85536.4</v>
      </c>
      <c r="J909" s="1897">
        <v>88964.800000000003</v>
      </c>
      <c r="K909" s="1914" t="s">
        <v>1399</v>
      </c>
      <c r="L909" s="1694" t="s">
        <v>1366</v>
      </c>
      <c r="M909" s="1694">
        <v>1214.9000000000001</v>
      </c>
      <c r="N909" s="1694">
        <v>1214.9000000000001</v>
      </c>
      <c r="O909" s="1694">
        <v>1214.9000000000001</v>
      </c>
      <c r="P909" s="1694">
        <v>1214.9000000000001</v>
      </c>
      <c r="Q909" s="1694">
        <v>1214.9000000000001</v>
      </c>
    </row>
    <row r="910" spans="1:17" x14ac:dyDescent="0.25">
      <c r="A910" s="970"/>
      <c r="B910" s="1844"/>
      <c r="C910" s="1844"/>
      <c r="D910" s="1844"/>
      <c r="E910" s="1846"/>
      <c r="F910" s="2103"/>
      <c r="G910" s="2103"/>
      <c r="H910" s="1897"/>
      <c r="I910" s="1897"/>
      <c r="J910" s="1897"/>
      <c r="K910" s="1914"/>
      <c r="L910" s="1694"/>
      <c r="M910" s="1694"/>
      <c r="N910" s="1694"/>
      <c r="O910" s="1694"/>
      <c r="P910" s="1694"/>
      <c r="Q910" s="1694"/>
    </row>
    <row r="911" spans="1:17" x14ac:dyDescent="0.25">
      <c r="A911" s="970"/>
      <c r="B911" s="1844"/>
      <c r="C911" s="1844"/>
      <c r="D911" s="1844"/>
      <c r="E911" s="1846"/>
      <c r="F911" s="2103"/>
      <c r="G911" s="2103"/>
      <c r="H911" s="1897"/>
      <c r="I911" s="1897"/>
      <c r="J911" s="1897"/>
      <c r="K911" s="1914"/>
      <c r="L911" s="1694"/>
      <c r="M911" s="1694"/>
      <c r="N911" s="1694"/>
      <c r="O911" s="1694"/>
      <c r="P911" s="1694"/>
      <c r="Q911" s="1694"/>
    </row>
    <row r="912" spans="1:17" x14ac:dyDescent="0.25">
      <c r="A912" s="970"/>
      <c r="B912" s="1844"/>
      <c r="C912" s="1844"/>
      <c r="D912" s="1844"/>
      <c r="E912" s="1846"/>
      <c r="F912" s="2103"/>
      <c r="G912" s="2103"/>
      <c r="H912" s="1897"/>
      <c r="I912" s="1897"/>
      <c r="J912" s="1897"/>
      <c r="K912" s="1914"/>
      <c r="L912" s="1694"/>
      <c r="M912" s="1694"/>
      <c r="N912" s="1694"/>
      <c r="O912" s="1694"/>
      <c r="P912" s="1694"/>
      <c r="Q912" s="1694"/>
    </row>
    <row r="913" spans="1:17" x14ac:dyDescent="0.25">
      <c r="A913" s="970"/>
      <c r="B913" s="1844"/>
      <c r="C913" s="1844"/>
      <c r="D913" s="1844"/>
      <c r="E913" s="1846"/>
      <c r="F913" s="2103"/>
      <c r="G913" s="2103"/>
      <c r="H913" s="1897"/>
      <c r="I913" s="1897"/>
      <c r="J913" s="1897"/>
      <c r="K913" s="1914"/>
      <c r="L913" s="1694"/>
      <c r="M913" s="1694"/>
      <c r="N913" s="1694"/>
      <c r="O913" s="1694"/>
      <c r="P913" s="1694"/>
      <c r="Q913" s="1694"/>
    </row>
    <row r="914" spans="1:17" ht="30" x14ac:dyDescent="0.25">
      <c r="A914" s="970"/>
      <c r="B914" s="1844"/>
      <c r="C914" s="1844"/>
      <c r="D914" s="1844"/>
      <c r="E914" s="1846"/>
      <c r="F914" s="2103"/>
      <c r="G914" s="2103"/>
      <c r="H914" s="1897"/>
      <c r="I914" s="1897"/>
      <c r="J914" s="1897"/>
      <c r="K914" s="659" t="s">
        <v>1400</v>
      </c>
      <c r="L914" s="660" t="s">
        <v>1366</v>
      </c>
      <c r="M914" s="660">
        <v>13.2</v>
      </c>
      <c r="N914" s="915">
        <v>10.5</v>
      </c>
      <c r="O914" s="915">
        <v>10.5</v>
      </c>
      <c r="P914" s="915">
        <v>10.5</v>
      </c>
      <c r="Q914" s="915">
        <v>10.5</v>
      </c>
    </row>
    <row r="915" spans="1:17" ht="30" x14ac:dyDescent="0.25">
      <c r="A915" s="970"/>
      <c r="B915" s="1844"/>
      <c r="C915" s="1844"/>
      <c r="D915" s="1844"/>
      <c r="E915" s="1846"/>
      <c r="F915" s="2103"/>
      <c r="G915" s="2103"/>
      <c r="H915" s="1897"/>
      <c r="I915" s="1897"/>
      <c r="J915" s="1897"/>
      <c r="K915" s="762" t="s">
        <v>1401</v>
      </c>
      <c r="L915" s="784" t="s">
        <v>1366</v>
      </c>
      <c r="M915" s="979">
        <v>1.6</v>
      </c>
      <c r="N915" s="664">
        <v>1.6</v>
      </c>
      <c r="O915" s="664">
        <v>1.6</v>
      </c>
      <c r="P915" s="664">
        <v>1.6</v>
      </c>
      <c r="Q915" s="664">
        <v>1.6</v>
      </c>
    </row>
    <row r="916" spans="1:17" x14ac:dyDescent="0.25">
      <c r="A916" s="970"/>
      <c r="B916" s="1844"/>
      <c r="C916" s="1844"/>
      <c r="D916" s="1844"/>
      <c r="E916" s="1846"/>
      <c r="F916" s="2103"/>
      <c r="G916" s="2103"/>
      <c r="H916" s="1897"/>
      <c r="I916" s="1897"/>
      <c r="J916" s="1897"/>
      <c r="K916" s="762" t="s">
        <v>1402</v>
      </c>
      <c r="L916" s="784" t="s">
        <v>1375</v>
      </c>
      <c r="M916" s="979">
        <v>61</v>
      </c>
      <c r="N916" s="664">
        <v>50</v>
      </c>
      <c r="O916" s="664">
        <v>50</v>
      </c>
      <c r="P916" s="664">
        <v>50</v>
      </c>
      <c r="Q916" s="664">
        <v>50</v>
      </c>
    </row>
    <row r="917" spans="1:17" x14ac:dyDescent="0.25">
      <c r="A917" s="970"/>
      <c r="B917" s="1844"/>
      <c r="C917" s="1844"/>
      <c r="D917" s="1844"/>
      <c r="E917" s="1846"/>
      <c r="F917" s="2103"/>
      <c r="G917" s="2103"/>
      <c r="H917" s="1897"/>
      <c r="I917" s="1897"/>
      <c r="J917" s="1897"/>
      <c r="K917" s="1845" t="s">
        <v>1403</v>
      </c>
      <c r="L917" s="784" t="s">
        <v>1375</v>
      </c>
      <c r="M917" s="979">
        <v>88</v>
      </c>
      <c r="N917" s="784">
        <v>88</v>
      </c>
      <c r="O917" s="784">
        <v>88</v>
      </c>
      <c r="P917" s="784">
        <v>88</v>
      </c>
      <c r="Q917" s="784">
        <v>88</v>
      </c>
    </row>
    <row r="918" spans="1:17" x14ac:dyDescent="0.25">
      <c r="A918" s="970"/>
      <c r="B918" s="1844"/>
      <c r="C918" s="1844"/>
      <c r="D918" s="1844"/>
      <c r="E918" s="1846"/>
      <c r="F918" s="2103"/>
      <c r="G918" s="2103"/>
      <c r="H918" s="1897"/>
      <c r="I918" s="1897"/>
      <c r="J918" s="1897"/>
      <c r="K918" s="1852"/>
      <c r="L918" s="784"/>
      <c r="M918" s="979"/>
      <c r="N918" s="784"/>
      <c r="O918" s="784"/>
      <c r="P918" s="784"/>
      <c r="Q918" s="784"/>
    </row>
    <row r="919" spans="1:17" x14ac:dyDescent="0.25">
      <c r="A919" s="970"/>
      <c r="B919" s="1805"/>
      <c r="C919" s="1805" t="s">
        <v>129</v>
      </c>
      <c r="D919" s="1984"/>
      <c r="E919" s="1845" t="s">
        <v>1404</v>
      </c>
      <c r="F919" s="1893">
        <v>3280.4</v>
      </c>
      <c r="G919" s="1893">
        <v>4941</v>
      </c>
      <c r="H919" s="1893">
        <f>246.8+36.5+22.1+10+2171.3+321.4+337.4+118.3+92+500</f>
        <v>3855.8000000000006</v>
      </c>
      <c r="I919" s="1893">
        <v>4058.8</v>
      </c>
      <c r="J919" s="1893">
        <v>4058.8</v>
      </c>
      <c r="K919" s="980"/>
      <c r="L919" s="385"/>
      <c r="M919" s="385"/>
      <c r="N919" s="981"/>
      <c r="O919" s="981"/>
      <c r="P919" s="981"/>
      <c r="Q919" s="981"/>
    </row>
    <row r="920" spans="1:17" ht="45" x14ac:dyDescent="0.25">
      <c r="A920" s="970"/>
      <c r="B920" s="1844"/>
      <c r="C920" s="1844"/>
      <c r="D920" s="1984"/>
      <c r="E920" s="1846"/>
      <c r="F920" s="2103"/>
      <c r="G920" s="2103"/>
      <c r="H920" s="2103"/>
      <c r="I920" s="2103"/>
      <c r="J920" s="2103"/>
      <c r="K920" s="659" t="s">
        <v>1405</v>
      </c>
      <c r="L920" s="660" t="s">
        <v>1366</v>
      </c>
      <c r="M920" s="421">
        <v>3</v>
      </c>
      <c r="N920" s="421">
        <v>3.2</v>
      </c>
      <c r="O920" s="421">
        <v>3.4</v>
      </c>
      <c r="P920" s="421">
        <v>3.4</v>
      </c>
      <c r="Q920" s="421">
        <v>3.4</v>
      </c>
    </row>
    <row r="921" spans="1:17" ht="45" x14ac:dyDescent="0.25">
      <c r="A921" s="970"/>
      <c r="B921" s="1806"/>
      <c r="C921" s="1806"/>
      <c r="D921" s="1984"/>
      <c r="E921" s="1852"/>
      <c r="F921" s="1894"/>
      <c r="G921" s="1894"/>
      <c r="H921" s="1894"/>
      <c r="I921" s="1894"/>
      <c r="J921" s="1894"/>
      <c r="K921" s="764" t="s">
        <v>1406</v>
      </c>
      <c r="L921" s="785" t="s">
        <v>1388</v>
      </c>
      <c r="M921" s="982">
        <v>235</v>
      </c>
      <c r="N921" s="982">
        <v>280</v>
      </c>
      <c r="O921" s="982">
        <v>285</v>
      </c>
      <c r="P921" s="982">
        <v>285</v>
      </c>
      <c r="Q921" s="982">
        <v>285</v>
      </c>
    </row>
    <row r="922" spans="1:17" ht="30" x14ac:dyDescent="0.25">
      <c r="A922" s="970"/>
      <c r="B922" s="1805"/>
      <c r="C922" s="1805" t="s">
        <v>131</v>
      </c>
      <c r="D922" s="1805"/>
      <c r="E922" s="1845" t="s">
        <v>1407</v>
      </c>
      <c r="F922" s="1893">
        <f>4878.9+1795</f>
        <v>6673.9</v>
      </c>
      <c r="G922" s="1893">
        <v>6945.8</v>
      </c>
      <c r="H922" s="1893">
        <f>144.5+43.1+26.2+10+3995.9+591.4+713.7+140+214.2</f>
        <v>5878.9999999999991</v>
      </c>
      <c r="I922" s="1893">
        <v>5852.7</v>
      </c>
      <c r="J922" s="1893">
        <v>5852.7</v>
      </c>
      <c r="K922" s="659" t="s">
        <v>1408</v>
      </c>
      <c r="L922" s="660" t="s">
        <v>1409</v>
      </c>
      <c r="M922" s="660">
        <v>1820</v>
      </c>
      <c r="N922" s="761">
        <v>1400</v>
      </c>
      <c r="O922" s="761">
        <v>1400</v>
      </c>
      <c r="P922" s="761">
        <v>1400</v>
      </c>
      <c r="Q922" s="761">
        <v>1400</v>
      </c>
    </row>
    <row r="923" spans="1:17" ht="45" x14ac:dyDescent="0.25">
      <c r="A923" s="970"/>
      <c r="B923" s="1844"/>
      <c r="C923" s="1844"/>
      <c r="D923" s="1844"/>
      <c r="E923" s="1846"/>
      <c r="F923" s="2103"/>
      <c r="G923" s="2103"/>
      <c r="H923" s="2103"/>
      <c r="I923" s="2103"/>
      <c r="J923" s="2103"/>
      <c r="K923" s="659" t="s">
        <v>1410</v>
      </c>
      <c r="L923" s="983" t="s">
        <v>1411</v>
      </c>
      <c r="M923" s="660">
        <v>7994</v>
      </c>
      <c r="N923" s="761">
        <v>4250</v>
      </c>
      <c r="O923" s="761">
        <v>4250</v>
      </c>
      <c r="P923" s="761">
        <v>4250</v>
      </c>
      <c r="Q923" s="761">
        <v>4250</v>
      </c>
    </row>
    <row r="924" spans="1:17" ht="30" x14ac:dyDescent="0.25">
      <c r="A924" s="970"/>
      <c r="B924" s="1844"/>
      <c r="C924" s="1844"/>
      <c r="D924" s="1844"/>
      <c r="E924" s="1846"/>
      <c r="F924" s="2103"/>
      <c r="G924" s="2103"/>
      <c r="H924" s="2103"/>
      <c r="I924" s="2103"/>
      <c r="J924" s="2103"/>
      <c r="K924" s="659" t="s">
        <v>1408</v>
      </c>
      <c r="L924" s="785"/>
      <c r="M924" s="785"/>
      <c r="N924" s="785"/>
      <c r="O924" s="785"/>
      <c r="P924" s="785"/>
      <c r="Q924" s="785"/>
    </row>
    <row r="925" spans="1:17" x14ac:dyDescent="0.25">
      <c r="A925" s="970"/>
      <c r="B925" s="1844"/>
      <c r="C925" s="1844"/>
      <c r="D925" s="1844"/>
      <c r="E925" s="1846"/>
      <c r="F925" s="2103"/>
      <c r="G925" s="2103"/>
      <c r="H925" s="2103"/>
      <c r="I925" s="2103"/>
      <c r="J925" s="2103"/>
      <c r="K925" s="659" t="s">
        <v>1412</v>
      </c>
      <c r="L925" s="660" t="s">
        <v>1413</v>
      </c>
      <c r="M925" s="785">
        <v>1974</v>
      </c>
      <c r="N925" s="754">
        <v>2000</v>
      </c>
      <c r="O925" s="754">
        <v>2200</v>
      </c>
      <c r="P925" s="754">
        <v>2400</v>
      </c>
      <c r="Q925" s="754">
        <v>2600</v>
      </c>
    </row>
    <row r="926" spans="1:17" x14ac:dyDescent="0.25">
      <c r="A926" s="970"/>
      <c r="B926" s="757"/>
      <c r="C926" s="1806"/>
      <c r="D926" s="1806"/>
      <c r="E926" s="1852"/>
      <c r="F926" s="1894"/>
      <c r="G926" s="1894"/>
      <c r="H926" s="1894"/>
      <c r="I926" s="1894"/>
      <c r="J926" s="1894"/>
      <c r="K926" s="659"/>
      <c r="L926" s="660"/>
      <c r="M926" s="755"/>
      <c r="N926" s="755"/>
      <c r="O926" s="755"/>
      <c r="P926" s="755"/>
      <c r="Q926" s="755"/>
    </row>
    <row r="927" spans="1:17" ht="90" x14ac:dyDescent="0.25">
      <c r="A927" s="970"/>
      <c r="B927" s="661"/>
      <c r="C927" s="661" t="s">
        <v>137</v>
      </c>
      <c r="D927" s="661"/>
      <c r="E927" s="659" t="s">
        <v>1084</v>
      </c>
      <c r="F927" s="761">
        <v>53195.8</v>
      </c>
      <c r="G927" s="761">
        <f>44578.2-435.8</f>
        <v>44142.399999999994</v>
      </c>
      <c r="H927" s="761">
        <f>2283.1+337.2+980.9+60.5+73.2</f>
        <v>3734.8999999999996</v>
      </c>
      <c r="I927" s="761">
        <v>47649.8</v>
      </c>
      <c r="J927" s="761">
        <v>47649.8</v>
      </c>
      <c r="K927" s="659" t="s">
        <v>1414</v>
      </c>
      <c r="L927" s="660" t="s">
        <v>1415</v>
      </c>
      <c r="M927" s="984" t="s">
        <v>1416</v>
      </c>
      <c r="N927" s="984" t="s">
        <v>1417</v>
      </c>
      <c r="O927" s="984" t="s">
        <v>1418</v>
      </c>
      <c r="P927" s="984" t="s">
        <v>1419</v>
      </c>
      <c r="Q927" s="984" t="s">
        <v>1420</v>
      </c>
    </row>
    <row r="928" spans="1:17" ht="45" x14ac:dyDescent="0.25">
      <c r="A928" s="970"/>
      <c r="B928" s="1805"/>
      <c r="C928" s="1805" t="s">
        <v>405</v>
      </c>
      <c r="D928" s="1805"/>
      <c r="E928" s="1845" t="s">
        <v>1421</v>
      </c>
      <c r="F928" s="1893">
        <v>10088.6</v>
      </c>
      <c r="G928" s="1893">
        <f>9028.7-435.8</f>
        <v>8592.9000000000015</v>
      </c>
      <c r="H928" s="1893">
        <f>7021.7+2000.2+345+903+1601.8+400+1195.5+914.5+65+123</f>
        <v>14569.699999999999</v>
      </c>
      <c r="I928" s="1893">
        <v>5085.5</v>
      </c>
      <c r="J928" s="1893">
        <v>5085.5</v>
      </c>
      <c r="K928" s="659" t="s">
        <v>1422</v>
      </c>
      <c r="L928" s="660" t="s">
        <v>1415</v>
      </c>
      <c r="M928" s="915" t="s">
        <v>1423</v>
      </c>
      <c r="N928" s="915" t="s">
        <v>1424</v>
      </c>
      <c r="O928" s="915" t="s">
        <v>1424</v>
      </c>
      <c r="P928" s="915" t="s">
        <v>1425</v>
      </c>
      <c r="Q928" s="915" t="s">
        <v>1426</v>
      </c>
    </row>
    <row r="929" spans="1:17" ht="30" x14ac:dyDescent="0.25">
      <c r="A929" s="970"/>
      <c r="B929" s="1844"/>
      <c r="C929" s="1844"/>
      <c r="D929" s="1844"/>
      <c r="E929" s="1846"/>
      <c r="F929" s="2103"/>
      <c r="G929" s="2103"/>
      <c r="H929" s="2103"/>
      <c r="I929" s="2103"/>
      <c r="J929" s="2103"/>
      <c r="K929" s="659" t="s">
        <v>1427</v>
      </c>
      <c r="L929" s="660" t="s">
        <v>1428</v>
      </c>
      <c r="M929" s="660"/>
      <c r="N929" s="660"/>
      <c r="O929" s="660"/>
      <c r="P929" s="660"/>
      <c r="Q929" s="660"/>
    </row>
    <row r="930" spans="1:17" ht="30" x14ac:dyDescent="0.25">
      <c r="A930" s="970"/>
      <c r="B930" s="1844"/>
      <c r="C930" s="1844"/>
      <c r="D930" s="1844"/>
      <c r="E930" s="1846"/>
      <c r="F930" s="2103"/>
      <c r="G930" s="2103"/>
      <c r="H930" s="2103"/>
      <c r="I930" s="2103"/>
      <c r="J930" s="2103"/>
      <c r="K930" s="659" t="s">
        <v>1429</v>
      </c>
      <c r="L930" s="660" t="s">
        <v>1428</v>
      </c>
      <c r="M930" s="660"/>
      <c r="N930" s="660"/>
      <c r="O930" s="660"/>
      <c r="P930" s="660"/>
      <c r="Q930" s="660"/>
    </row>
    <row r="931" spans="1:17" ht="30" x14ac:dyDescent="0.25">
      <c r="A931" s="970"/>
      <c r="B931" s="1844"/>
      <c r="C931" s="1844"/>
      <c r="D931" s="1844"/>
      <c r="E931" s="1846"/>
      <c r="F931" s="2103"/>
      <c r="G931" s="2103"/>
      <c r="H931" s="2103"/>
      <c r="I931" s="2103"/>
      <c r="J931" s="2103"/>
      <c r="K931" s="659" t="s">
        <v>1430</v>
      </c>
      <c r="L931" s="660" t="s">
        <v>1428</v>
      </c>
      <c r="M931" s="660"/>
      <c r="N931" s="660"/>
      <c r="O931" s="660"/>
      <c r="P931" s="660"/>
      <c r="Q931" s="660"/>
    </row>
    <row r="932" spans="1:17" ht="30" x14ac:dyDescent="0.25">
      <c r="A932" s="970"/>
      <c r="B932" s="1844"/>
      <c r="C932" s="1844"/>
      <c r="D932" s="1844"/>
      <c r="E932" s="1846"/>
      <c r="F932" s="2103"/>
      <c r="G932" s="2103"/>
      <c r="H932" s="2103"/>
      <c r="I932" s="2103"/>
      <c r="J932" s="2103"/>
      <c r="K932" s="659" t="s">
        <v>1431</v>
      </c>
      <c r="L932" s="660" t="s">
        <v>1428</v>
      </c>
      <c r="M932" s="660"/>
      <c r="N932" s="660"/>
      <c r="O932" s="660"/>
      <c r="P932" s="660"/>
      <c r="Q932" s="660"/>
    </row>
    <row r="933" spans="1:17" x14ac:dyDescent="0.25">
      <c r="A933" s="970"/>
      <c r="B933" s="1806"/>
      <c r="C933" s="1806"/>
      <c r="D933" s="1806"/>
      <c r="E933" s="1852"/>
      <c r="F933" s="1894"/>
      <c r="G933" s="1894"/>
      <c r="H933" s="1894"/>
      <c r="I933" s="1894"/>
      <c r="J933" s="1894"/>
      <c r="K933" s="659"/>
      <c r="L933" s="660"/>
      <c r="M933" s="660"/>
      <c r="N933" s="660"/>
      <c r="O933" s="660"/>
      <c r="P933" s="660"/>
      <c r="Q933" s="660"/>
    </row>
    <row r="934" spans="1:17" ht="45" x14ac:dyDescent="0.25">
      <c r="A934" s="970"/>
      <c r="B934" s="1805"/>
      <c r="C934" s="1805" t="s">
        <v>134</v>
      </c>
      <c r="D934" s="1803"/>
      <c r="E934" s="1845" t="s">
        <v>1432</v>
      </c>
      <c r="F934" s="2106">
        <v>210000</v>
      </c>
      <c r="G934" s="1893">
        <v>192551.3</v>
      </c>
      <c r="H934" s="1893">
        <v>133315.5</v>
      </c>
      <c r="I934" s="1893">
        <v>0</v>
      </c>
      <c r="J934" s="1893">
        <v>0</v>
      </c>
      <c r="K934" s="659" t="s">
        <v>1433</v>
      </c>
      <c r="L934" s="385" t="s">
        <v>40</v>
      </c>
      <c r="M934" s="985">
        <v>2558</v>
      </c>
      <c r="N934" s="986"/>
      <c r="O934" s="986"/>
      <c r="P934" s="986"/>
      <c r="Q934" s="665"/>
    </row>
    <row r="935" spans="1:17" x14ac:dyDescent="0.25">
      <c r="A935" s="970"/>
      <c r="B935" s="1844"/>
      <c r="C935" s="1844"/>
      <c r="D935" s="1913"/>
      <c r="E935" s="1846"/>
      <c r="F935" s="2107"/>
      <c r="G935" s="2103"/>
      <c r="H935" s="2103"/>
      <c r="I935" s="2103"/>
      <c r="J935" s="2103"/>
      <c r="K935" s="659" t="s">
        <v>1434</v>
      </c>
      <c r="L935" s="660" t="s">
        <v>35</v>
      </c>
      <c r="M935" s="665"/>
      <c r="N935" s="986"/>
      <c r="O935" s="986"/>
      <c r="P935" s="986"/>
      <c r="Q935" s="665"/>
    </row>
    <row r="936" spans="1:17" ht="30" x14ac:dyDescent="0.25">
      <c r="A936" s="970"/>
      <c r="B936" s="1805"/>
      <c r="C936" s="1805" t="s">
        <v>347</v>
      </c>
      <c r="D936" s="1805"/>
      <c r="E936" s="1845" t="s">
        <v>1435</v>
      </c>
      <c r="F936" s="1893">
        <v>3735.6</v>
      </c>
      <c r="G936" s="1893">
        <f>3149.1+585.8</f>
        <v>3734.8999999999996</v>
      </c>
      <c r="H936" s="1893"/>
      <c r="I936" s="1893">
        <v>3734.9</v>
      </c>
      <c r="J936" s="1893">
        <v>3734.9</v>
      </c>
      <c r="K936" s="659" t="s">
        <v>1436</v>
      </c>
      <c r="L936" s="660" t="s">
        <v>35</v>
      </c>
      <c r="M936" s="660">
        <v>102</v>
      </c>
      <c r="N936" s="660">
        <v>102.4</v>
      </c>
      <c r="O936" s="660">
        <v>102.6</v>
      </c>
      <c r="P936" s="660">
        <v>102.6</v>
      </c>
      <c r="Q936" s="660">
        <v>102.6</v>
      </c>
    </row>
    <row r="937" spans="1:17" x14ac:dyDescent="0.25">
      <c r="A937" s="970"/>
      <c r="B937" s="1844"/>
      <c r="C937" s="1844"/>
      <c r="D937" s="1844"/>
      <c r="E937" s="1846"/>
      <c r="F937" s="2103"/>
      <c r="G937" s="2103"/>
      <c r="H937" s="2103"/>
      <c r="I937" s="2103"/>
      <c r="J937" s="2103"/>
      <c r="K937" s="659" t="s">
        <v>1437</v>
      </c>
      <c r="L937" s="915" t="s">
        <v>1438</v>
      </c>
      <c r="M937" s="660">
        <v>83231</v>
      </c>
      <c r="N937" s="665">
        <v>85000</v>
      </c>
      <c r="O937" s="665">
        <v>85000</v>
      </c>
      <c r="P937" s="665">
        <v>90000</v>
      </c>
      <c r="Q937" s="665">
        <v>95000</v>
      </c>
    </row>
    <row r="938" spans="1:17" x14ac:dyDescent="0.25">
      <c r="A938" s="970"/>
      <c r="B938" s="1844"/>
      <c r="C938" s="1844"/>
      <c r="D938" s="1844"/>
      <c r="E938" s="1846"/>
      <c r="F938" s="2103"/>
      <c r="G938" s="2103"/>
      <c r="H938" s="2103"/>
      <c r="I938" s="2103"/>
      <c r="J938" s="2103"/>
      <c r="K938" s="659" t="s">
        <v>1439</v>
      </c>
      <c r="L938" s="915" t="s">
        <v>1438</v>
      </c>
      <c r="M938" s="660">
        <v>25000</v>
      </c>
      <c r="N938" s="665">
        <v>20000</v>
      </c>
      <c r="O938" s="665">
        <v>25000</v>
      </c>
      <c r="P938" s="665">
        <v>30000</v>
      </c>
      <c r="Q938" s="665">
        <v>36000</v>
      </c>
    </row>
    <row r="939" spans="1:17" ht="30" x14ac:dyDescent="0.25">
      <c r="A939" s="970"/>
      <c r="B939" s="1844"/>
      <c r="C939" s="1844"/>
      <c r="D939" s="1844"/>
      <c r="E939" s="1846"/>
      <c r="F939" s="2103"/>
      <c r="G939" s="2103"/>
      <c r="H939" s="2103"/>
      <c r="I939" s="2103"/>
      <c r="J939" s="2103"/>
      <c r="K939" s="659" t="s">
        <v>1440</v>
      </c>
      <c r="L939" s="915"/>
      <c r="M939" s="660"/>
      <c r="N939" s="665"/>
      <c r="O939" s="665"/>
      <c r="P939" s="665"/>
      <c r="Q939" s="665"/>
    </row>
    <row r="940" spans="1:17" x14ac:dyDescent="0.25">
      <c r="A940" s="970"/>
      <c r="B940" s="1844"/>
      <c r="C940" s="1844"/>
      <c r="D940" s="1844"/>
      <c r="E940" s="1846"/>
      <c r="F940" s="2103"/>
      <c r="G940" s="2103"/>
      <c r="H940" s="2103"/>
      <c r="I940" s="2103"/>
      <c r="J940" s="2103"/>
      <c r="K940" s="659" t="s">
        <v>1441</v>
      </c>
      <c r="L940" s="915"/>
      <c r="M940" s="660"/>
      <c r="N940" s="665"/>
      <c r="O940" s="665"/>
      <c r="P940" s="665"/>
      <c r="Q940" s="665"/>
    </row>
    <row r="941" spans="1:17" ht="30" x14ac:dyDescent="0.25">
      <c r="A941" s="970"/>
      <c r="B941" s="1806"/>
      <c r="C941" s="1806"/>
      <c r="D941" s="1806"/>
      <c r="E941" s="1852"/>
      <c r="F941" s="1894"/>
      <c r="G941" s="1894"/>
      <c r="H941" s="1894"/>
      <c r="I941" s="1894"/>
      <c r="J941" s="1894"/>
      <c r="K941" s="659" t="s">
        <v>1442</v>
      </c>
      <c r="L941" s="915" t="s">
        <v>1438</v>
      </c>
      <c r="M941" s="660">
        <v>300</v>
      </c>
      <c r="N941" s="987">
        <v>300</v>
      </c>
      <c r="O941" s="987">
        <v>300</v>
      </c>
      <c r="P941" s="987">
        <v>300</v>
      </c>
      <c r="Q941" s="987">
        <v>300</v>
      </c>
    </row>
    <row r="942" spans="1:17" ht="45" x14ac:dyDescent="0.25">
      <c r="A942" s="970"/>
      <c r="B942" s="1805"/>
      <c r="C942" s="1805" t="s">
        <v>351</v>
      </c>
      <c r="D942" s="1805"/>
      <c r="E942" s="1845" t="s">
        <v>1443</v>
      </c>
      <c r="F942" s="1893">
        <v>10444.4</v>
      </c>
      <c r="G942" s="1893">
        <v>13797.1</v>
      </c>
      <c r="H942" s="1893"/>
      <c r="I942" s="1893">
        <v>12472.4</v>
      </c>
      <c r="J942" s="1893">
        <v>12472.4</v>
      </c>
      <c r="K942" s="408" t="s">
        <v>1444</v>
      </c>
      <c r="L942" s="416" t="s">
        <v>173</v>
      </c>
      <c r="M942" s="660">
        <v>396</v>
      </c>
      <c r="N942" s="786">
        <v>350</v>
      </c>
      <c r="O942" s="786">
        <v>350</v>
      </c>
      <c r="P942" s="786">
        <v>350</v>
      </c>
      <c r="Q942" s="786">
        <v>350</v>
      </c>
    </row>
    <row r="943" spans="1:17" ht="30" x14ac:dyDescent="0.25">
      <c r="A943" s="970"/>
      <c r="B943" s="1844"/>
      <c r="C943" s="1844"/>
      <c r="D943" s="1844"/>
      <c r="E943" s="1852"/>
      <c r="F943" s="1894"/>
      <c r="G943" s="1894"/>
      <c r="H943" s="1894"/>
      <c r="I943" s="1894"/>
      <c r="J943" s="1894"/>
      <c r="K943" s="408" t="s">
        <v>1445</v>
      </c>
      <c r="L943" s="416" t="s">
        <v>173</v>
      </c>
      <c r="M943" s="660">
        <v>108</v>
      </c>
      <c r="N943" s="786">
        <v>125</v>
      </c>
      <c r="O943" s="786">
        <v>125</v>
      </c>
      <c r="P943" s="786">
        <v>125</v>
      </c>
      <c r="Q943" s="786">
        <v>125</v>
      </c>
    </row>
    <row r="944" spans="1:17" ht="30" x14ac:dyDescent="0.25">
      <c r="A944" s="970"/>
      <c r="B944" s="1984"/>
      <c r="C944" s="1984" t="s">
        <v>407</v>
      </c>
      <c r="D944" s="1805"/>
      <c r="E944" s="1845" t="s">
        <v>1446</v>
      </c>
      <c r="F944" s="1893">
        <v>8415.2000000000007</v>
      </c>
      <c r="G944" s="1893">
        <f>8247.8+585.8</f>
        <v>8833.5999999999985</v>
      </c>
      <c r="H944" s="1893">
        <f>45+8+452+150+30+65+6467.2+951+424.4+35.6+43.8+161.6</f>
        <v>8833.6</v>
      </c>
      <c r="I944" s="1893">
        <v>8833.6</v>
      </c>
      <c r="J944" s="1893">
        <v>8833.6</v>
      </c>
      <c r="K944" s="408" t="s">
        <v>1447</v>
      </c>
      <c r="L944" s="416" t="s">
        <v>173</v>
      </c>
      <c r="M944" s="660">
        <v>2355</v>
      </c>
      <c r="N944" s="786" t="s">
        <v>190</v>
      </c>
      <c r="O944" s="786" t="s">
        <v>190</v>
      </c>
      <c r="P944" s="786" t="s">
        <v>190</v>
      </c>
      <c r="Q944" s="786" t="s">
        <v>190</v>
      </c>
    </row>
    <row r="945" spans="1:17" ht="30" x14ac:dyDescent="0.25">
      <c r="A945" s="970"/>
      <c r="B945" s="1984"/>
      <c r="C945" s="1984"/>
      <c r="D945" s="1844"/>
      <c r="E945" s="1846"/>
      <c r="F945" s="2103"/>
      <c r="G945" s="2103"/>
      <c r="H945" s="2103"/>
      <c r="I945" s="2103"/>
      <c r="J945" s="2103"/>
      <c r="K945" s="408" t="s">
        <v>1448</v>
      </c>
      <c r="L945" s="416" t="s">
        <v>1345</v>
      </c>
      <c r="M945" s="660">
        <v>169</v>
      </c>
      <c r="N945" s="786" t="s">
        <v>190</v>
      </c>
      <c r="O945" s="786" t="s">
        <v>190</v>
      </c>
      <c r="P945" s="786" t="s">
        <v>190</v>
      </c>
      <c r="Q945" s="786" t="s">
        <v>190</v>
      </c>
    </row>
    <row r="946" spans="1:17" ht="30" x14ac:dyDescent="0.25">
      <c r="A946" s="970"/>
      <c r="B946" s="1984"/>
      <c r="C946" s="1984"/>
      <c r="D946" s="1844"/>
      <c r="E946" s="1846"/>
      <c r="F946" s="2103"/>
      <c r="G946" s="2103"/>
      <c r="H946" s="2103"/>
      <c r="I946" s="2103"/>
      <c r="J946" s="2103"/>
      <c r="K946" s="659" t="s">
        <v>1449</v>
      </c>
      <c r="L946" s="660" t="s">
        <v>1450</v>
      </c>
      <c r="M946" s="660">
        <v>8.9</v>
      </c>
      <c r="N946" s="761">
        <v>8.9</v>
      </c>
      <c r="O946" s="761">
        <v>8.9499999999999993</v>
      </c>
      <c r="P946" s="761">
        <v>8.9499999999999993</v>
      </c>
      <c r="Q946" s="761">
        <v>9.5</v>
      </c>
    </row>
    <row r="947" spans="1:17" x14ac:dyDescent="0.25">
      <c r="A947" s="970"/>
      <c r="B947" s="1984"/>
      <c r="C947" s="1984"/>
      <c r="D947" s="1806"/>
      <c r="E947" s="1852"/>
      <c r="F947" s="1894"/>
      <c r="G947" s="1894"/>
      <c r="H947" s="1894"/>
      <c r="I947" s="1894"/>
      <c r="J947" s="1894"/>
      <c r="K947" s="659" t="s">
        <v>1451</v>
      </c>
      <c r="L947" s="660" t="s">
        <v>1452</v>
      </c>
      <c r="M947" s="660">
        <v>2.4</v>
      </c>
      <c r="N947" s="915">
        <v>2.4</v>
      </c>
      <c r="O947" s="915">
        <v>2.4</v>
      </c>
      <c r="P947" s="915">
        <v>2.5</v>
      </c>
      <c r="Q947" s="915">
        <v>2.5</v>
      </c>
    </row>
    <row r="948" spans="1:17" x14ac:dyDescent="0.25">
      <c r="A948" s="970"/>
      <c r="B948" s="1805"/>
      <c r="C948" s="1805" t="s">
        <v>409</v>
      </c>
      <c r="D948" s="1805"/>
      <c r="E948" s="1845" t="s">
        <v>1453</v>
      </c>
      <c r="F948" s="1893">
        <v>4177.8999999999996</v>
      </c>
      <c r="G948" s="1893">
        <f>3599+585.8</f>
        <v>4184.8</v>
      </c>
      <c r="H948" s="1893">
        <f>3203.7+481+433.7+27.1+33+6.3</f>
        <v>4184.8</v>
      </c>
      <c r="I948" s="1893">
        <v>4184.8</v>
      </c>
      <c r="J948" s="1893">
        <v>4184.8</v>
      </c>
      <c r="K948" s="659" t="s">
        <v>1454</v>
      </c>
      <c r="L948" s="660" t="s">
        <v>1366</v>
      </c>
      <c r="M948" s="660">
        <v>9030.9</v>
      </c>
      <c r="N948" s="660">
        <v>9030.9</v>
      </c>
      <c r="O948" s="660">
        <v>9030.9</v>
      </c>
      <c r="P948" s="660">
        <v>9030.9</v>
      </c>
      <c r="Q948" s="660">
        <v>9030.9</v>
      </c>
    </row>
    <row r="949" spans="1:17" ht="30" x14ac:dyDescent="0.25">
      <c r="A949" s="970"/>
      <c r="B949" s="1844"/>
      <c r="C949" s="1844"/>
      <c r="D949" s="1844"/>
      <c r="E949" s="1846"/>
      <c r="F949" s="2103"/>
      <c r="G949" s="2103"/>
      <c r="H949" s="2103"/>
      <c r="I949" s="2103"/>
      <c r="J949" s="2103"/>
      <c r="K949" s="659" t="s">
        <v>1455</v>
      </c>
      <c r="L949" s="660" t="s">
        <v>1366</v>
      </c>
      <c r="M949" s="660">
        <v>3987.2</v>
      </c>
      <c r="N949" s="660">
        <v>3987.2</v>
      </c>
      <c r="O949" s="660">
        <v>3987.2</v>
      </c>
      <c r="P949" s="660">
        <v>3987.2</v>
      </c>
      <c r="Q949" s="660">
        <v>3987.2</v>
      </c>
    </row>
    <row r="950" spans="1:17" ht="30" x14ac:dyDescent="0.25">
      <c r="A950" s="970"/>
      <c r="B950" s="1844"/>
      <c r="C950" s="1844"/>
      <c r="D950" s="1844"/>
      <c r="E950" s="1846"/>
      <c r="F950" s="2103"/>
      <c r="G950" s="2103"/>
      <c r="H950" s="2103"/>
      <c r="I950" s="2103"/>
      <c r="J950" s="2103"/>
      <c r="K950" s="659" t="s">
        <v>1456</v>
      </c>
      <c r="L950" s="660" t="s">
        <v>40</v>
      </c>
      <c r="M950" s="660">
        <v>409</v>
      </c>
      <c r="N950" s="660">
        <v>420</v>
      </c>
      <c r="O950" s="660">
        <v>440</v>
      </c>
      <c r="P950" s="660">
        <v>454</v>
      </c>
      <c r="Q950" s="660">
        <v>454</v>
      </c>
    </row>
    <row r="951" spans="1:17" x14ac:dyDescent="0.25">
      <c r="A951" s="970"/>
      <c r="B951" s="1844"/>
      <c r="C951" s="1844"/>
      <c r="D951" s="1844"/>
      <c r="E951" s="1846"/>
      <c r="F951" s="2103"/>
      <c r="G951" s="2103"/>
      <c r="H951" s="2103"/>
      <c r="I951" s="2103"/>
      <c r="J951" s="2103"/>
      <c r="K951" s="659"/>
      <c r="L951" s="660"/>
      <c r="M951" s="660"/>
      <c r="N951" s="660"/>
      <c r="O951" s="660"/>
      <c r="P951" s="660"/>
      <c r="Q951" s="660"/>
    </row>
    <row r="952" spans="1:17" x14ac:dyDescent="0.25">
      <c r="A952" s="970"/>
      <c r="B952" s="1844"/>
      <c r="C952" s="1844"/>
      <c r="D952" s="1844"/>
      <c r="E952" s="1846"/>
      <c r="F952" s="2103"/>
      <c r="G952" s="2103"/>
      <c r="H952" s="2103"/>
      <c r="I952" s="2103"/>
      <c r="J952" s="2103"/>
      <c r="K952" s="988"/>
      <c r="L952" s="660"/>
      <c r="M952" s="660"/>
      <c r="N952" s="660"/>
      <c r="O952" s="660"/>
      <c r="P952" s="660"/>
      <c r="Q952" s="660"/>
    </row>
    <row r="953" spans="1:17" ht="45" x14ac:dyDescent="0.25">
      <c r="A953" s="970"/>
      <c r="B953" s="1806"/>
      <c r="C953" s="1806"/>
      <c r="D953" s="1806"/>
      <c r="E953" s="1852"/>
      <c r="F953" s="1894"/>
      <c r="G953" s="1894"/>
      <c r="H953" s="1894"/>
      <c r="I953" s="1894"/>
      <c r="J953" s="1894"/>
      <c r="K953" s="989" t="s">
        <v>1457</v>
      </c>
      <c r="L953" s="660" t="s">
        <v>1357</v>
      </c>
      <c r="M953" s="660">
        <v>3</v>
      </c>
      <c r="N953" s="660">
        <v>3</v>
      </c>
      <c r="O953" s="660">
        <v>2</v>
      </c>
      <c r="P953" s="660">
        <v>1</v>
      </c>
      <c r="Q953" s="660">
        <v>1</v>
      </c>
    </row>
    <row r="954" spans="1:17" x14ac:dyDescent="0.25">
      <c r="A954" s="970"/>
      <c r="B954" s="1805"/>
      <c r="C954" s="1805" t="s">
        <v>411</v>
      </c>
      <c r="D954" s="1805"/>
      <c r="E954" s="1845" t="s">
        <v>1458</v>
      </c>
      <c r="F954" s="1893">
        <v>248530</v>
      </c>
      <c r="G954" s="1893">
        <v>133624.79999999999</v>
      </c>
      <c r="H954" s="1893">
        <v>7730</v>
      </c>
      <c r="I954" s="1893">
        <v>0</v>
      </c>
      <c r="J954" s="1893">
        <v>0</v>
      </c>
      <c r="K954" s="989" t="s">
        <v>1459</v>
      </c>
      <c r="L954" s="660"/>
      <c r="M954" s="660"/>
      <c r="N954" s="660"/>
      <c r="O954" s="660"/>
      <c r="P954" s="660"/>
      <c r="Q954" s="660"/>
    </row>
    <row r="955" spans="1:17" ht="30" x14ac:dyDescent="0.25">
      <c r="A955" s="970"/>
      <c r="B955" s="1844"/>
      <c r="C955" s="1844"/>
      <c r="D955" s="1844"/>
      <c r="E955" s="1846"/>
      <c r="F955" s="2103"/>
      <c r="G955" s="2103"/>
      <c r="H955" s="2103"/>
      <c r="I955" s="2103"/>
      <c r="J955" s="2103"/>
      <c r="K955" s="989" t="s">
        <v>1460</v>
      </c>
      <c r="L955" s="660"/>
      <c r="M955" s="660"/>
      <c r="N955" s="660"/>
      <c r="O955" s="660"/>
      <c r="P955" s="660"/>
      <c r="Q955" s="660"/>
    </row>
    <row r="956" spans="1:17" ht="45" x14ac:dyDescent="0.25">
      <c r="A956" s="970"/>
      <c r="B956" s="1844"/>
      <c r="C956" s="1844"/>
      <c r="D956" s="1844"/>
      <c r="E956" s="1846"/>
      <c r="F956" s="2103"/>
      <c r="G956" s="2103"/>
      <c r="H956" s="2103"/>
      <c r="I956" s="2103"/>
      <c r="J956" s="2103"/>
      <c r="K956" s="989" t="s">
        <v>1461</v>
      </c>
      <c r="L956" s="660"/>
      <c r="M956" s="660"/>
      <c r="N956" s="660"/>
      <c r="O956" s="660"/>
      <c r="P956" s="660"/>
      <c r="Q956" s="660"/>
    </row>
    <row r="957" spans="1:17" ht="45" x14ac:dyDescent="0.25">
      <c r="A957" s="970"/>
      <c r="B957" s="1844"/>
      <c r="C957" s="1844"/>
      <c r="D957" s="1844"/>
      <c r="E957" s="1846"/>
      <c r="F957" s="2103"/>
      <c r="G957" s="2103"/>
      <c r="H957" s="2103"/>
      <c r="I957" s="2103"/>
      <c r="J957" s="2103"/>
      <c r="K957" s="989" t="s">
        <v>1462</v>
      </c>
      <c r="L957" s="660"/>
      <c r="M957" s="660"/>
      <c r="N957" s="660"/>
      <c r="O957" s="660"/>
      <c r="P957" s="660"/>
      <c r="Q957" s="660"/>
    </row>
    <row r="958" spans="1:17" x14ac:dyDescent="0.25">
      <c r="A958" s="970"/>
      <c r="B958" s="1806"/>
      <c r="C958" s="1806"/>
      <c r="D958" s="1806"/>
      <c r="E958" s="1852"/>
      <c r="F958" s="1894"/>
      <c r="G958" s="1894"/>
      <c r="H958" s="1894"/>
      <c r="I958" s="1894"/>
      <c r="J958" s="1894"/>
      <c r="K958" s="659"/>
      <c r="L958" s="660"/>
      <c r="M958" s="660"/>
      <c r="N958" s="786"/>
      <c r="O958" s="786"/>
      <c r="P958" s="786"/>
      <c r="Q958" s="786"/>
    </row>
    <row r="959" spans="1:17" ht="60" x14ac:dyDescent="0.25">
      <c r="A959" s="970"/>
      <c r="B959" s="1805"/>
      <c r="C959" s="1805" t="s">
        <v>413</v>
      </c>
      <c r="D959" s="1805"/>
      <c r="E959" s="1845" t="s">
        <v>1463</v>
      </c>
      <c r="F959" s="1893">
        <v>0</v>
      </c>
      <c r="G959" s="1893">
        <v>265240</v>
      </c>
      <c r="H959" s="1893">
        <v>320366.09999999998</v>
      </c>
      <c r="I959" s="1893">
        <f>130208.06+168788.49</f>
        <v>298996.55</v>
      </c>
      <c r="J959" s="1893">
        <f>112314.32+97664.94</f>
        <v>209979.26</v>
      </c>
      <c r="K959" s="659" t="s">
        <v>1464</v>
      </c>
      <c r="L959" s="660" t="s">
        <v>35</v>
      </c>
      <c r="M959" s="660">
        <v>0</v>
      </c>
      <c r="N959" s="990">
        <v>5</v>
      </c>
      <c r="O959" s="990">
        <v>10</v>
      </c>
      <c r="P959" s="990">
        <v>20</v>
      </c>
      <c r="Q959" s="990">
        <v>30</v>
      </c>
    </row>
    <row r="960" spans="1:17" ht="60" x14ac:dyDescent="0.25">
      <c r="A960" s="970"/>
      <c r="B960" s="1844"/>
      <c r="C960" s="1844"/>
      <c r="D960" s="1844"/>
      <c r="E960" s="1846"/>
      <c r="F960" s="2103"/>
      <c r="G960" s="2103"/>
      <c r="H960" s="2103"/>
      <c r="I960" s="2103"/>
      <c r="J960" s="2103"/>
      <c r="K960" s="659" t="s">
        <v>1465</v>
      </c>
      <c r="L960" s="660" t="s">
        <v>1357</v>
      </c>
      <c r="M960" s="660">
        <v>0</v>
      </c>
      <c r="N960" s="991">
        <v>2000</v>
      </c>
      <c r="O960" s="991">
        <v>2200</v>
      </c>
      <c r="P960" s="991">
        <v>2500</v>
      </c>
      <c r="Q960" s="991">
        <v>2800</v>
      </c>
    </row>
    <row r="961" spans="1:17" ht="45" x14ac:dyDescent="0.25">
      <c r="A961" s="970"/>
      <c r="B961" s="1806"/>
      <c r="C961" s="1806"/>
      <c r="D961" s="1806"/>
      <c r="E961" s="1852"/>
      <c r="F961" s="1894"/>
      <c r="G961" s="1894"/>
      <c r="H961" s="1894"/>
      <c r="I961" s="1894"/>
      <c r="J961" s="1894"/>
      <c r="K961" s="659" t="s">
        <v>1466</v>
      </c>
      <c r="L961" s="660"/>
      <c r="M961" s="660">
        <v>0</v>
      </c>
      <c r="N961" s="786"/>
      <c r="O961" s="786"/>
      <c r="P961" s="786"/>
      <c r="Q961" s="786"/>
    </row>
    <row r="962" spans="1:17" ht="90" x14ac:dyDescent="0.25">
      <c r="A962" s="970"/>
      <c r="B962" s="1805"/>
      <c r="C962" s="1805" t="s">
        <v>273</v>
      </c>
      <c r="D962" s="1805"/>
      <c r="E962" s="1845" t="s">
        <v>1467</v>
      </c>
      <c r="F962" s="1893">
        <v>47887</v>
      </c>
      <c r="G962" s="1893">
        <v>0</v>
      </c>
      <c r="H962" s="1893"/>
      <c r="I962" s="1893">
        <v>0</v>
      </c>
      <c r="J962" s="1893">
        <v>0</v>
      </c>
      <c r="K962" s="659" t="s">
        <v>1468</v>
      </c>
      <c r="L962" s="660" t="s">
        <v>1357</v>
      </c>
      <c r="M962" s="660">
        <v>92</v>
      </c>
      <c r="N962" s="2093" t="s">
        <v>1469</v>
      </c>
      <c r="O962" s="2094"/>
      <c r="P962" s="2094"/>
      <c r="Q962" s="2095"/>
    </row>
    <row r="963" spans="1:17" ht="45" x14ac:dyDescent="0.25">
      <c r="A963" s="970"/>
      <c r="B963" s="1844"/>
      <c r="C963" s="1844"/>
      <c r="D963" s="1844"/>
      <c r="E963" s="1846"/>
      <c r="F963" s="2103"/>
      <c r="G963" s="2103"/>
      <c r="H963" s="2103"/>
      <c r="I963" s="2103"/>
      <c r="J963" s="2103"/>
      <c r="K963" s="659" t="s">
        <v>1470</v>
      </c>
      <c r="L963" s="660" t="s">
        <v>1471</v>
      </c>
      <c r="M963" s="660">
        <v>100564.2</v>
      </c>
      <c r="N963" s="2096"/>
      <c r="O963" s="2097"/>
      <c r="P963" s="2097"/>
      <c r="Q963" s="2098"/>
    </row>
    <row r="964" spans="1:17" ht="75" x14ac:dyDescent="0.25">
      <c r="A964" s="970"/>
      <c r="B964" s="1806"/>
      <c r="C964" s="1806"/>
      <c r="D964" s="1806"/>
      <c r="E964" s="1852"/>
      <c r="F964" s="1894"/>
      <c r="G964" s="1894"/>
      <c r="H964" s="1894"/>
      <c r="I964" s="1894"/>
      <c r="J964" s="1894"/>
      <c r="K964" s="659" t="s">
        <v>1472</v>
      </c>
      <c r="L964" s="660" t="s">
        <v>35</v>
      </c>
      <c r="M964" s="660">
        <v>50</v>
      </c>
      <c r="N964" s="2099"/>
      <c r="O964" s="2100"/>
      <c r="P964" s="2100"/>
      <c r="Q964" s="2101"/>
    </row>
    <row r="965" spans="1:17" ht="30" x14ac:dyDescent="0.25">
      <c r="A965" s="970"/>
      <c r="B965" s="661"/>
      <c r="C965" s="661" t="s">
        <v>337</v>
      </c>
      <c r="D965" s="661"/>
      <c r="E965" s="659" t="s">
        <v>1473</v>
      </c>
      <c r="F965" s="761">
        <v>10485.6</v>
      </c>
      <c r="G965" s="761">
        <v>98767</v>
      </c>
      <c r="H965" s="759">
        <v>72615</v>
      </c>
      <c r="I965" s="759">
        <v>0</v>
      </c>
      <c r="J965" s="759">
        <v>0</v>
      </c>
      <c r="K965" s="659" t="s">
        <v>1474</v>
      </c>
      <c r="L965" s="660">
        <v>0</v>
      </c>
      <c r="M965" s="660">
        <v>0</v>
      </c>
      <c r="N965" s="786">
        <v>0</v>
      </c>
      <c r="O965" s="786">
        <v>0</v>
      </c>
      <c r="P965" s="786">
        <v>0</v>
      </c>
      <c r="Q965" s="786">
        <v>0</v>
      </c>
    </row>
    <row r="966" spans="1:17" ht="30" x14ac:dyDescent="0.25">
      <c r="A966" s="970"/>
      <c r="B966" s="1805"/>
      <c r="C966" s="1805" t="s">
        <v>340</v>
      </c>
      <c r="D966" s="1805"/>
      <c r="E966" s="1845" t="s">
        <v>1475</v>
      </c>
      <c r="F966" s="1893">
        <v>8059.4</v>
      </c>
      <c r="G966" s="1893">
        <v>9352.2999999999993</v>
      </c>
      <c r="H966" s="1893"/>
      <c r="I966" s="1893">
        <v>9285.7000000000007</v>
      </c>
      <c r="J966" s="1893">
        <v>9285.7000000000007</v>
      </c>
      <c r="K966" s="659" t="s">
        <v>1476</v>
      </c>
      <c r="L966" s="660" t="s">
        <v>1477</v>
      </c>
      <c r="M966" s="660">
        <v>235899</v>
      </c>
      <c r="N966" s="786">
        <v>15000</v>
      </c>
      <c r="O966" s="786">
        <v>20000</v>
      </c>
      <c r="P966" s="786">
        <v>80000</v>
      </c>
      <c r="Q966" s="786">
        <v>140000</v>
      </c>
    </row>
    <row r="967" spans="1:17" x14ac:dyDescent="0.25">
      <c r="A967" s="970"/>
      <c r="B967" s="1844"/>
      <c r="C967" s="1844"/>
      <c r="D967" s="1844"/>
      <c r="E967" s="1846"/>
      <c r="F967" s="2103"/>
      <c r="G967" s="2103"/>
      <c r="H967" s="2103"/>
      <c r="I967" s="2103"/>
      <c r="J967" s="2103"/>
      <c r="K967" s="659" t="s">
        <v>1478</v>
      </c>
      <c r="L967" s="660" t="s">
        <v>1479</v>
      </c>
      <c r="M967" s="660">
        <v>3565</v>
      </c>
      <c r="N967" s="660">
        <v>3219.3</v>
      </c>
      <c r="O967" s="660">
        <v>3769.2</v>
      </c>
      <c r="P967" s="660">
        <v>3900</v>
      </c>
      <c r="Q967" s="660">
        <v>4017</v>
      </c>
    </row>
    <row r="968" spans="1:17" ht="30" x14ac:dyDescent="0.25">
      <c r="A968" s="970"/>
      <c r="B968" s="1806"/>
      <c r="C968" s="1806"/>
      <c r="D968" s="1806"/>
      <c r="E968" s="1852"/>
      <c r="F968" s="1894"/>
      <c r="G968" s="1894"/>
      <c r="H968" s="1894"/>
      <c r="I968" s="1894"/>
      <c r="J968" s="1894"/>
      <c r="K968" s="659" t="s">
        <v>1480</v>
      </c>
      <c r="L968" s="660" t="s">
        <v>282</v>
      </c>
      <c r="M968" s="660">
        <v>1190</v>
      </c>
      <c r="N968" s="786">
        <v>800</v>
      </c>
      <c r="O968" s="786">
        <v>800</v>
      </c>
      <c r="P968" s="786">
        <v>900</v>
      </c>
      <c r="Q968" s="786">
        <v>900</v>
      </c>
    </row>
    <row r="969" spans="1:17" ht="30" x14ac:dyDescent="0.25">
      <c r="A969" s="970"/>
      <c r="B969" s="757"/>
      <c r="C969" s="757" t="s">
        <v>343</v>
      </c>
      <c r="D969" s="757"/>
      <c r="E969" s="764" t="s">
        <v>1481</v>
      </c>
      <c r="F969" s="760"/>
      <c r="G969" s="760"/>
      <c r="H969" s="760">
        <f>333.4+2561.2+441.8+604.6+184+590</f>
        <v>4715</v>
      </c>
      <c r="I969" s="760"/>
      <c r="J969" s="760"/>
      <c r="K969" s="659"/>
      <c r="L969" s="660"/>
      <c r="M969" s="660"/>
      <c r="N969" s="786"/>
      <c r="O969" s="786"/>
      <c r="P969" s="786"/>
      <c r="Q969" s="786"/>
    </row>
    <row r="970" spans="1:17" ht="45" x14ac:dyDescent="0.25">
      <c r="A970" s="970"/>
      <c r="B970" s="757"/>
      <c r="C970" s="757" t="s">
        <v>345</v>
      </c>
      <c r="D970" s="757"/>
      <c r="E970" s="764" t="s">
        <v>1482</v>
      </c>
      <c r="F970" s="760"/>
      <c r="G970" s="760"/>
      <c r="H970" s="760">
        <f>2767.4+477.4+225.4+175+400</f>
        <v>4045.2000000000003</v>
      </c>
      <c r="I970" s="760"/>
      <c r="J970" s="760"/>
      <c r="K970" s="659"/>
      <c r="L970" s="660"/>
      <c r="M970" s="660"/>
      <c r="N970" s="786"/>
      <c r="O970" s="786"/>
      <c r="P970" s="786"/>
      <c r="Q970" s="786"/>
    </row>
    <row r="971" spans="1:17" ht="28.5" x14ac:dyDescent="0.25">
      <c r="A971" s="970"/>
      <c r="B971" s="680" t="s">
        <v>500</v>
      </c>
      <c r="C971" s="661"/>
      <c r="D971" s="661"/>
      <c r="E971" s="684" t="s">
        <v>1483</v>
      </c>
      <c r="F971" s="683">
        <f>F972+F976+F986+F988+F989+F990</f>
        <v>2039751.9000000001</v>
      </c>
      <c r="G971" s="683">
        <f>G972+G976+G986+G988+G989+G990</f>
        <v>2046429.4000000001</v>
      </c>
      <c r="H971" s="683">
        <f>H972+H976+H986+H988+H989+H990</f>
        <v>0</v>
      </c>
      <c r="I971" s="683">
        <f>I972+I976+I986+I988+I989+I990</f>
        <v>0</v>
      </c>
      <c r="J971" s="683">
        <f>J972+J976+J986+J988+J989+J990</f>
        <v>0</v>
      </c>
      <c r="K971" s="659"/>
      <c r="L971" s="660"/>
      <c r="M971" s="660"/>
      <c r="N971" s="660"/>
      <c r="O971" s="660"/>
      <c r="P971" s="660"/>
      <c r="Q971" s="660"/>
    </row>
    <row r="972" spans="1:17" ht="30" x14ac:dyDescent="0.25">
      <c r="A972" s="970"/>
      <c r="B972" s="1805"/>
      <c r="C972" s="1805" t="s">
        <v>5</v>
      </c>
      <c r="D972" s="1805"/>
      <c r="E972" s="2290" t="s">
        <v>1484</v>
      </c>
      <c r="F972" s="2106" t="s">
        <v>1485</v>
      </c>
      <c r="G972" s="2106" t="s">
        <v>1486</v>
      </c>
      <c r="H972" s="2106"/>
      <c r="I972" s="2106"/>
      <c r="J972" s="2106"/>
      <c r="K972" s="659" t="s">
        <v>1487</v>
      </c>
      <c r="L972" s="660" t="s">
        <v>1366</v>
      </c>
      <c r="M972" s="660"/>
      <c r="N972" s="660"/>
      <c r="O972" s="660"/>
      <c r="P972" s="660"/>
      <c r="Q972" s="660"/>
    </row>
    <row r="973" spans="1:17" ht="45" x14ac:dyDescent="0.25">
      <c r="A973" s="970"/>
      <c r="B973" s="1844"/>
      <c r="C973" s="1844"/>
      <c r="D973" s="1844"/>
      <c r="E973" s="2291"/>
      <c r="F973" s="2107"/>
      <c r="G973" s="2107"/>
      <c r="H973" s="2107"/>
      <c r="I973" s="2107"/>
      <c r="J973" s="2107"/>
      <c r="K973" s="659" t="s">
        <v>1488</v>
      </c>
      <c r="L973" s="660"/>
      <c r="M973" s="660"/>
      <c r="N973" s="660"/>
      <c r="O973" s="660"/>
      <c r="P973" s="660"/>
      <c r="Q973" s="660"/>
    </row>
    <row r="974" spans="1:17" ht="30" x14ac:dyDescent="0.25">
      <c r="A974" s="970"/>
      <c r="B974" s="1844"/>
      <c r="C974" s="1844"/>
      <c r="D974" s="1844"/>
      <c r="E974" s="2291"/>
      <c r="F974" s="2107"/>
      <c r="G974" s="2107"/>
      <c r="H974" s="2107"/>
      <c r="I974" s="2107"/>
      <c r="J974" s="2107"/>
      <c r="K974" s="659" t="s">
        <v>1489</v>
      </c>
      <c r="L974" s="660" t="s">
        <v>35</v>
      </c>
      <c r="M974" s="660"/>
      <c r="N974" s="660"/>
      <c r="O974" s="660"/>
      <c r="P974" s="660"/>
      <c r="Q974" s="660"/>
    </row>
    <row r="975" spans="1:17" ht="60" x14ac:dyDescent="0.25">
      <c r="A975" s="970"/>
      <c r="B975" s="1806"/>
      <c r="C975" s="1806"/>
      <c r="D975" s="1806"/>
      <c r="E975" s="2292"/>
      <c r="F975" s="2289"/>
      <c r="G975" s="2289"/>
      <c r="H975" s="2289"/>
      <c r="I975" s="2289"/>
      <c r="J975" s="2289"/>
      <c r="K975" s="659" t="s">
        <v>1490</v>
      </c>
      <c r="L975" s="660" t="s">
        <v>35</v>
      </c>
      <c r="M975" s="915"/>
      <c r="N975" s="915"/>
      <c r="O975" s="915"/>
      <c r="P975" s="915"/>
      <c r="Q975" s="915"/>
    </row>
    <row r="976" spans="1:17" x14ac:dyDescent="0.25">
      <c r="A976" s="970"/>
      <c r="B976" s="1805"/>
      <c r="C976" s="1805" t="s">
        <v>7</v>
      </c>
      <c r="D976" s="1803"/>
      <c r="E976" s="1845" t="s">
        <v>1491</v>
      </c>
      <c r="F976" s="2106">
        <v>1352951</v>
      </c>
      <c r="G976" s="1893">
        <v>1361793.3</v>
      </c>
      <c r="H976" s="1893"/>
      <c r="I976" s="1893"/>
      <c r="J976" s="1893"/>
      <c r="K976" s="992" t="s">
        <v>1492</v>
      </c>
      <c r="L976" s="660" t="s">
        <v>1366</v>
      </c>
      <c r="M976" s="915"/>
      <c r="N976" s="915"/>
      <c r="O976" s="915"/>
      <c r="P976" s="915"/>
      <c r="Q976" s="915"/>
    </row>
    <row r="977" spans="1:17" ht="30" x14ac:dyDescent="0.25">
      <c r="A977" s="970"/>
      <c r="B977" s="1844"/>
      <c r="C977" s="1844"/>
      <c r="D977" s="1913"/>
      <c r="E977" s="1846"/>
      <c r="F977" s="2107"/>
      <c r="G977" s="2103"/>
      <c r="H977" s="2103"/>
      <c r="I977" s="2103"/>
      <c r="J977" s="2103"/>
      <c r="K977" s="659" t="s">
        <v>1493</v>
      </c>
      <c r="L977" s="660" t="s">
        <v>1494</v>
      </c>
      <c r="M977" s="915"/>
      <c r="N977" s="915"/>
      <c r="O977" s="915"/>
      <c r="P977" s="915"/>
      <c r="Q977" s="23"/>
    </row>
    <row r="978" spans="1:17" ht="45" x14ac:dyDescent="0.25">
      <c r="A978" s="970"/>
      <c r="B978" s="1844"/>
      <c r="C978" s="1844"/>
      <c r="D978" s="1913"/>
      <c r="E978" s="1846"/>
      <c r="F978" s="2107"/>
      <c r="G978" s="2103"/>
      <c r="H978" s="2103"/>
      <c r="I978" s="2103"/>
      <c r="J978" s="2103"/>
      <c r="K978" s="659" t="s">
        <v>1495</v>
      </c>
      <c r="L978" s="660" t="s">
        <v>1496</v>
      </c>
      <c r="M978" s="915"/>
      <c r="N978" s="915"/>
      <c r="O978" s="915"/>
      <c r="P978" s="915"/>
      <c r="Q978" s="915"/>
    </row>
    <row r="979" spans="1:17" ht="30" x14ac:dyDescent="0.25">
      <c r="A979" s="970"/>
      <c r="B979" s="1844"/>
      <c r="C979" s="1844"/>
      <c r="D979" s="1913"/>
      <c r="E979" s="1846"/>
      <c r="F979" s="2107"/>
      <c r="G979" s="2103"/>
      <c r="H979" s="2103"/>
      <c r="I979" s="2103"/>
      <c r="J979" s="2103"/>
      <c r="K979" s="659" t="s">
        <v>1497</v>
      </c>
      <c r="L979" s="660" t="s">
        <v>282</v>
      </c>
      <c r="M979" s="915"/>
      <c r="N979" s="915"/>
      <c r="O979" s="915"/>
      <c r="P979" s="915"/>
      <c r="Q979" s="915"/>
    </row>
    <row r="980" spans="1:17" x14ac:dyDescent="0.25">
      <c r="A980" s="970"/>
      <c r="B980" s="1844"/>
      <c r="C980" s="1844"/>
      <c r="D980" s="1913"/>
      <c r="E980" s="1846"/>
      <c r="F980" s="2107"/>
      <c r="G980" s="2103"/>
      <c r="H980" s="2103"/>
      <c r="I980" s="2103"/>
      <c r="J980" s="2103"/>
      <c r="K980" s="659" t="s">
        <v>1498</v>
      </c>
      <c r="L980" s="660" t="s">
        <v>282</v>
      </c>
      <c r="M980" s="915"/>
      <c r="N980" s="915"/>
      <c r="O980" s="915"/>
      <c r="P980" s="915"/>
      <c r="Q980" s="915"/>
    </row>
    <row r="981" spans="1:17" x14ac:dyDescent="0.25">
      <c r="A981" s="970"/>
      <c r="B981" s="1844"/>
      <c r="C981" s="1844"/>
      <c r="D981" s="1913"/>
      <c r="E981" s="1846"/>
      <c r="F981" s="2107"/>
      <c r="G981" s="2103"/>
      <c r="H981" s="2103"/>
      <c r="I981" s="2103"/>
      <c r="J981" s="2103"/>
      <c r="K981" s="659" t="s">
        <v>1499</v>
      </c>
      <c r="L981" s="660" t="s">
        <v>1496</v>
      </c>
      <c r="M981" s="915"/>
      <c r="N981" s="915"/>
      <c r="O981" s="915"/>
      <c r="P981" s="915"/>
      <c r="Q981" s="915"/>
    </row>
    <row r="982" spans="1:17" x14ac:dyDescent="0.25">
      <c r="A982" s="970"/>
      <c r="B982" s="1844"/>
      <c r="C982" s="1844"/>
      <c r="D982" s="1913"/>
      <c r="E982" s="1846"/>
      <c r="F982" s="2107"/>
      <c r="G982" s="2103"/>
      <c r="H982" s="2103"/>
      <c r="I982" s="2103"/>
      <c r="J982" s="2103"/>
      <c r="K982" s="659" t="s">
        <v>1500</v>
      </c>
      <c r="L982" s="660" t="s">
        <v>1496</v>
      </c>
      <c r="M982" s="915"/>
      <c r="N982" s="915"/>
      <c r="O982" s="915"/>
      <c r="P982" s="915"/>
      <c r="Q982" s="23"/>
    </row>
    <row r="983" spans="1:17" x14ac:dyDescent="0.25">
      <c r="A983" s="970"/>
      <c r="B983" s="1844"/>
      <c r="C983" s="1844"/>
      <c r="D983" s="1913"/>
      <c r="E983" s="1846"/>
      <c r="F983" s="2107"/>
      <c r="G983" s="2103"/>
      <c r="H983" s="2103"/>
      <c r="I983" s="2103"/>
      <c r="J983" s="2103"/>
      <c r="K983" s="659" t="s">
        <v>1501</v>
      </c>
      <c r="L983" s="660" t="s">
        <v>1502</v>
      </c>
      <c r="M983" s="915"/>
      <c r="N983" s="915"/>
      <c r="O983" s="915"/>
      <c r="P983" s="915"/>
      <c r="Q983" s="915"/>
    </row>
    <row r="984" spans="1:17" ht="30" x14ac:dyDescent="0.25">
      <c r="A984" s="970"/>
      <c r="B984" s="1844"/>
      <c r="C984" s="1844"/>
      <c r="D984" s="1913"/>
      <c r="E984" s="1846"/>
      <c r="F984" s="2107"/>
      <c r="G984" s="2103"/>
      <c r="H984" s="2103"/>
      <c r="I984" s="2103"/>
      <c r="J984" s="2103"/>
      <c r="K984" s="659" t="s">
        <v>1503</v>
      </c>
      <c r="L984" s="660" t="s">
        <v>1366</v>
      </c>
      <c r="M984" s="915"/>
      <c r="N984" s="915"/>
      <c r="O984" s="915"/>
      <c r="P984" s="915"/>
      <c r="Q984" s="915"/>
    </row>
    <row r="985" spans="1:17" ht="30" x14ac:dyDescent="0.25">
      <c r="A985" s="970"/>
      <c r="B985" s="1844"/>
      <c r="C985" s="1844"/>
      <c r="D985" s="1913"/>
      <c r="E985" s="1846"/>
      <c r="F985" s="2107"/>
      <c r="G985" s="2103"/>
      <c r="H985" s="2103"/>
      <c r="I985" s="2103"/>
      <c r="J985" s="2103"/>
      <c r="K985" s="659" t="s">
        <v>1504</v>
      </c>
      <c r="L985" s="660" t="s">
        <v>282</v>
      </c>
      <c r="M985" s="660"/>
      <c r="N985" s="660"/>
      <c r="O985" s="660"/>
      <c r="P985" s="660"/>
      <c r="Q985" s="660"/>
    </row>
    <row r="986" spans="1:17" ht="30" x14ac:dyDescent="0.25">
      <c r="A986" s="970"/>
      <c r="B986" s="1844"/>
      <c r="C986" s="1844"/>
      <c r="D986" s="1913"/>
      <c r="E986" s="1846"/>
      <c r="F986" s="2107"/>
      <c r="G986" s="2103"/>
      <c r="H986" s="2103"/>
      <c r="I986" s="2103"/>
      <c r="J986" s="2103"/>
      <c r="K986" s="659" t="s">
        <v>1505</v>
      </c>
      <c r="L986" s="660" t="s">
        <v>282</v>
      </c>
      <c r="M986" s="660"/>
      <c r="N986" s="660"/>
      <c r="O986" s="660"/>
      <c r="P986" s="660"/>
      <c r="Q986" s="660"/>
    </row>
    <row r="987" spans="1:17" x14ac:dyDescent="0.25">
      <c r="A987" s="970"/>
      <c r="B987" s="1806"/>
      <c r="C987" s="1806"/>
      <c r="D987" s="1804"/>
      <c r="E987" s="1852"/>
      <c r="F987" s="2289"/>
      <c r="G987" s="1894"/>
      <c r="H987" s="1894"/>
      <c r="I987" s="1894"/>
      <c r="J987" s="1894"/>
      <c r="K987" s="659" t="s">
        <v>1501</v>
      </c>
      <c r="L987" s="660" t="s">
        <v>1506</v>
      </c>
      <c r="M987" s="660"/>
      <c r="N987" s="660"/>
      <c r="O987" s="660"/>
      <c r="P987" s="660"/>
      <c r="Q987" s="660"/>
    </row>
    <row r="988" spans="1:17" ht="75" x14ac:dyDescent="0.25">
      <c r="A988" s="970"/>
      <c r="B988" s="658"/>
      <c r="C988" s="658" t="s">
        <v>9</v>
      </c>
      <c r="D988" s="660"/>
      <c r="E988" s="659" t="s">
        <v>1507</v>
      </c>
      <c r="F988" s="761">
        <v>361422.2</v>
      </c>
      <c r="G988" s="761">
        <v>453700</v>
      </c>
      <c r="H988" s="761"/>
      <c r="I988" s="761"/>
      <c r="J988" s="761"/>
      <c r="K988" s="659" t="s">
        <v>1508</v>
      </c>
      <c r="L988" s="660" t="s">
        <v>1509</v>
      </c>
      <c r="M988" s="665"/>
      <c r="N988" s="665"/>
      <c r="O988" s="665"/>
      <c r="P988" s="665"/>
      <c r="Q988" s="665"/>
    </row>
    <row r="989" spans="1:17" ht="75" x14ac:dyDescent="0.25">
      <c r="A989" s="970"/>
      <c r="B989" s="658"/>
      <c r="C989" s="658" t="s">
        <v>11</v>
      </c>
      <c r="D989" s="660"/>
      <c r="E989" s="659" t="s">
        <v>1510</v>
      </c>
      <c r="F989" s="761">
        <v>186679.3</v>
      </c>
      <c r="G989" s="761">
        <v>0</v>
      </c>
      <c r="H989" s="761"/>
      <c r="I989" s="761"/>
      <c r="J989" s="761"/>
      <c r="K989" s="659" t="s">
        <v>1511</v>
      </c>
      <c r="L989" s="660">
        <v>0</v>
      </c>
      <c r="M989" s="1853"/>
      <c r="N989" s="1854"/>
      <c r="O989" s="1854"/>
      <c r="P989" s="1854"/>
      <c r="Q989" s="2102"/>
    </row>
    <row r="990" spans="1:17" x14ac:dyDescent="0.25">
      <c r="A990" s="970"/>
      <c r="B990" s="1805"/>
      <c r="C990" s="1805" t="s">
        <v>127</v>
      </c>
      <c r="D990" s="1803"/>
      <c r="E990" s="1845" t="s">
        <v>1512</v>
      </c>
      <c r="F990" s="2106">
        <v>122579.8</v>
      </c>
      <c r="G990" s="1893">
        <v>210845</v>
      </c>
      <c r="H990" s="1893"/>
      <c r="I990" s="1893"/>
      <c r="J990" s="1893"/>
      <c r="K990" s="774" t="s">
        <v>1513</v>
      </c>
      <c r="L990" s="915" t="s">
        <v>1366</v>
      </c>
      <c r="M990" s="46"/>
      <c r="N990" s="993"/>
      <c r="O990" s="993"/>
      <c r="P990" s="665"/>
      <c r="Q990" s="665"/>
    </row>
    <row r="991" spans="1:17" ht="45" x14ac:dyDescent="0.25">
      <c r="A991" s="970"/>
      <c r="B991" s="1806"/>
      <c r="C991" s="1806"/>
      <c r="D991" s="1804"/>
      <c r="E991" s="1852"/>
      <c r="F991" s="2289"/>
      <c r="G991" s="1894"/>
      <c r="H991" s="1894"/>
      <c r="I991" s="1894"/>
      <c r="J991" s="1894"/>
      <c r="K991" s="992" t="s">
        <v>1514</v>
      </c>
      <c r="L991" s="770" t="s">
        <v>1366</v>
      </c>
      <c r="M991" s="994"/>
      <c r="N991" s="993"/>
      <c r="O991" s="993"/>
      <c r="P991" s="993"/>
      <c r="Q991" s="993"/>
    </row>
    <row r="992" spans="1:17" x14ac:dyDescent="0.25">
      <c r="A992" s="970"/>
      <c r="B992" s="1942" t="s">
        <v>85</v>
      </c>
      <c r="C992" s="1942"/>
      <c r="D992" s="1942"/>
      <c r="E992" s="1942"/>
      <c r="F992" s="322">
        <f>F863+F893+F971</f>
        <v>2965537.7</v>
      </c>
      <c r="G992" s="322">
        <f>G863+G893+G971</f>
        <v>3151065</v>
      </c>
      <c r="H992" s="322">
        <f>H863+H893</f>
        <v>978251.99999999988</v>
      </c>
      <c r="I992" s="322">
        <f>I863+I893+I971</f>
        <v>746629.95</v>
      </c>
      <c r="J992" s="322">
        <f>J863+J893+J971</f>
        <v>658400.66</v>
      </c>
      <c r="K992" s="995"/>
      <c r="L992" s="2288"/>
      <c r="M992" s="2288"/>
      <c r="N992" s="2288"/>
      <c r="O992" s="2288"/>
      <c r="P992" s="2288"/>
      <c r="Q992" s="2288"/>
    </row>
    <row r="993" spans="2:17" x14ac:dyDescent="0.25">
      <c r="B993" s="1696" t="s">
        <v>1515</v>
      </c>
      <c r="C993" s="1697"/>
      <c r="D993" s="1697"/>
      <c r="E993" s="1697"/>
      <c r="F993" s="1697"/>
      <c r="G993" s="1697"/>
      <c r="H993" s="1697"/>
      <c r="I993" s="1697"/>
      <c r="J993" s="1697"/>
      <c r="K993" s="1697"/>
      <c r="L993" s="1697"/>
      <c r="M993" s="1697"/>
      <c r="N993" s="1697"/>
      <c r="O993" s="1697"/>
      <c r="P993" s="1697"/>
      <c r="Q993" s="1697"/>
    </row>
    <row r="994" spans="2:17" x14ac:dyDescent="0.25">
      <c r="B994" s="2084" t="s">
        <v>516</v>
      </c>
      <c r="C994" s="1960"/>
      <c r="D994" s="1803"/>
      <c r="E994" s="2282" t="s">
        <v>910</v>
      </c>
      <c r="F994" s="2285">
        <f>SUM(F998:F1004)</f>
        <v>0</v>
      </c>
      <c r="G994" s="2285">
        <f>SUM(G998:G1004)</f>
        <v>0</v>
      </c>
      <c r="H994" s="2285">
        <f>SUM(H998:H1004)</f>
        <v>1389211.1</v>
      </c>
      <c r="I994" s="2285">
        <f>SUM(I998:I1004)</f>
        <v>1297417.3999999999</v>
      </c>
      <c r="J994" s="2285">
        <f>SUM(J998:J1004)</f>
        <v>1299946.3999999999</v>
      </c>
      <c r="K994" s="25" t="s">
        <v>1516</v>
      </c>
      <c r="L994" s="25" t="s">
        <v>1517</v>
      </c>
      <c r="M994" s="25">
        <v>1024</v>
      </c>
      <c r="N994" s="25">
        <f>M994</f>
        <v>1024</v>
      </c>
      <c r="O994" s="25">
        <f t="shared" ref="O994:Q994" si="96">N994</f>
        <v>1024</v>
      </c>
      <c r="P994" s="25">
        <f t="shared" si="96"/>
        <v>1024</v>
      </c>
      <c r="Q994" s="25">
        <f t="shared" si="96"/>
        <v>1024</v>
      </c>
    </row>
    <row r="995" spans="2:17" ht="255" x14ac:dyDescent="0.25">
      <c r="B995" s="2085"/>
      <c r="C995" s="2281"/>
      <c r="D995" s="1913"/>
      <c r="E995" s="2283"/>
      <c r="F995" s="2286"/>
      <c r="G995" s="2286"/>
      <c r="H995" s="2286"/>
      <c r="I995" s="2286"/>
      <c r="J995" s="2286"/>
      <c r="K995" s="774" t="s">
        <v>1518</v>
      </c>
      <c r="L995" s="933" t="s">
        <v>1517</v>
      </c>
      <c r="M995" s="915" t="s">
        <v>1519</v>
      </c>
      <c r="N995" s="915" t="s">
        <v>1520</v>
      </c>
      <c r="O995" s="915" t="s">
        <v>1521</v>
      </c>
      <c r="P995" s="915" t="s">
        <v>1522</v>
      </c>
      <c r="Q995" s="915" t="s">
        <v>1523</v>
      </c>
    </row>
    <row r="996" spans="2:17" x14ac:dyDescent="0.25">
      <c r="B996" s="2085"/>
      <c r="C996" s="2281"/>
      <c r="D996" s="1913"/>
      <c r="E996" s="2283"/>
      <c r="F996" s="2286"/>
      <c r="G996" s="2286"/>
      <c r="H996" s="2286"/>
      <c r="I996" s="2286"/>
      <c r="J996" s="2286"/>
      <c r="K996" s="774" t="s">
        <v>1524</v>
      </c>
      <c r="L996" s="918" t="s">
        <v>35</v>
      </c>
      <c r="M996" s="996">
        <v>27</v>
      </c>
      <c r="N996" s="996">
        <v>27</v>
      </c>
      <c r="O996" s="996">
        <v>27</v>
      </c>
      <c r="P996" s="996">
        <v>27</v>
      </c>
      <c r="Q996" s="996">
        <v>27</v>
      </c>
    </row>
    <row r="997" spans="2:17" ht="75" x14ac:dyDescent="0.25">
      <c r="B997" s="2086"/>
      <c r="C997" s="1961"/>
      <c r="D997" s="1804"/>
      <c r="E997" s="2284"/>
      <c r="F997" s="2287"/>
      <c r="G997" s="2287"/>
      <c r="H997" s="2287"/>
      <c r="I997" s="2287"/>
      <c r="J997" s="2287"/>
      <c r="K997" s="774" t="s">
        <v>1525</v>
      </c>
      <c r="L997" s="918" t="s">
        <v>35</v>
      </c>
      <c r="M997" s="915" t="s">
        <v>1526</v>
      </c>
      <c r="N997" s="915" t="s">
        <v>1526</v>
      </c>
      <c r="O997" s="915" t="s">
        <v>1526</v>
      </c>
      <c r="P997" s="915" t="s">
        <v>1526</v>
      </c>
      <c r="Q997" s="915" t="s">
        <v>1526</v>
      </c>
    </row>
    <row r="998" spans="2:17" x14ac:dyDescent="0.25">
      <c r="B998" s="997"/>
      <c r="C998" s="802" t="s">
        <v>1527</v>
      </c>
      <c r="D998" s="801"/>
      <c r="E998" s="47" t="s">
        <v>1484</v>
      </c>
      <c r="F998" s="805"/>
      <c r="G998" s="806"/>
      <c r="H998" s="805">
        <v>24320.799999999999</v>
      </c>
      <c r="I998" s="805"/>
      <c r="J998" s="805"/>
      <c r="K998" s="774"/>
      <c r="L998" s="918"/>
      <c r="M998" s="915"/>
      <c r="N998" s="915"/>
      <c r="O998" s="915"/>
      <c r="P998" s="915"/>
      <c r="Q998" s="915"/>
    </row>
    <row r="999" spans="2:17" ht="30" x14ac:dyDescent="0.25">
      <c r="B999" s="2084"/>
      <c r="C999" s="2274" t="s">
        <v>1528</v>
      </c>
      <c r="D999" s="2274"/>
      <c r="E999" s="2087" t="s">
        <v>1529</v>
      </c>
      <c r="F999" s="2278"/>
      <c r="G999" s="2278"/>
      <c r="H999" s="2278">
        <f>1259292.8+105597.5</f>
        <v>1364890.3</v>
      </c>
      <c r="I999" s="2278">
        <v>1297417.3999999999</v>
      </c>
      <c r="J999" s="2278">
        <v>1299946.3999999999</v>
      </c>
      <c r="K999" s="841" t="s">
        <v>1493</v>
      </c>
      <c r="L999" s="841" t="s">
        <v>1530</v>
      </c>
      <c r="M999" s="998"/>
      <c r="N999" s="998"/>
      <c r="O999" s="998"/>
      <c r="P999" s="998"/>
      <c r="Q999" s="998"/>
    </row>
    <row r="1000" spans="2:17" x14ac:dyDescent="0.25">
      <c r="B1000" s="2085"/>
      <c r="C1000" s="2275"/>
      <c r="D1000" s="2275"/>
      <c r="E1000" s="2277"/>
      <c r="F1000" s="2279"/>
      <c r="G1000" s="2279"/>
      <c r="H1000" s="2279"/>
      <c r="I1000" s="2279"/>
      <c r="J1000" s="2279"/>
      <c r="K1000" s="841" t="s">
        <v>1531</v>
      </c>
      <c r="L1000" s="841" t="s">
        <v>1496</v>
      </c>
      <c r="M1000" s="998"/>
      <c r="N1000" s="998"/>
      <c r="O1000" s="998"/>
      <c r="P1000" s="998"/>
      <c r="Q1000" s="998"/>
    </row>
    <row r="1001" spans="2:17" ht="30" x14ac:dyDescent="0.25">
      <c r="B1001" s="2085"/>
      <c r="C1001" s="2275"/>
      <c r="D1001" s="2275"/>
      <c r="E1001" s="2277"/>
      <c r="F1001" s="2279"/>
      <c r="G1001" s="2279"/>
      <c r="H1001" s="2279"/>
      <c r="I1001" s="2279"/>
      <c r="J1001" s="2279"/>
      <c r="K1001" s="841" t="s">
        <v>1497</v>
      </c>
      <c r="L1001" s="841" t="s">
        <v>282</v>
      </c>
      <c r="M1001" s="998"/>
      <c r="N1001" s="998"/>
      <c r="O1001" s="998"/>
      <c r="P1001" s="998"/>
      <c r="Q1001" s="998"/>
    </row>
    <row r="1002" spans="2:17" x14ac:dyDescent="0.25">
      <c r="B1002" s="2085"/>
      <c r="C1002" s="2275"/>
      <c r="D1002" s="2275"/>
      <c r="E1002" s="2277"/>
      <c r="F1002" s="2279"/>
      <c r="G1002" s="2279"/>
      <c r="H1002" s="2279"/>
      <c r="I1002" s="2279"/>
      <c r="J1002" s="2279"/>
      <c r="K1002" s="841" t="s">
        <v>1498</v>
      </c>
      <c r="L1002" s="841" t="s">
        <v>282</v>
      </c>
      <c r="M1002" s="998"/>
      <c r="N1002" s="998"/>
      <c r="O1002" s="998"/>
      <c r="P1002" s="998"/>
      <c r="Q1002" s="998"/>
    </row>
    <row r="1003" spans="2:17" ht="30" x14ac:dyDescent="0.25">
      <c r="B1003" s="2085"/>
      <c r="C1003" s="2275"/>
      <c r="D1003" s="2275"/>
      <c r="E1003" s="2277"/>
      <c r="F1003" s="2279"/>
      <c r="G1003" s="2279"/>
      <c r="H1003" s="2279"/>
      <c r="I1003" s="2279"/>
      <c r="J1003" s="2279"/>
      <c r="K1003" s="841" t="s">
        <v>1532</v>
      </c>
      <c r="L1003" s="841" t="s">
        <v>282</v>
      </c>
      <c r="M1003" s="998"/>
      <c r="N1003" s="998"/>
      <c r="O1003" s="998"/>
      <c r="P1003" s="998"/>
      <c r="Q1003" s="998"/>
    </row>
    <row r="1004" spans="2:17" x14ac:dyDescent="0.25">
      <c r="B1004" s="2086"/>
      <c r="C1004" s="2276"/>
      <c r="D1004" s="2276"/>
      <c r="E1004" s="2088"/>
      <c r="F1004" s="2280"/>
      <c r="G1004" s="2280"/>
      <c r="H1004" s="2280"/>
      <c r="I1004" s="2280"/>
      <c r="J1004" s="2280"/>
      <c r="K1004" s="841" t="s">
        <v>1501</v>
      </c>
      <c r="L1004" s="841" t="s">
        <v>1533</v>
      </c>
      <c r="M1004" s="998"/>
      <c r="N1004" s="998"/>
      <c r="O1004" s="998"/>
      <c r="P1004" s="998"/>
      <c r="Q1004" s="998"/>
    </row>
    <row r="1005" spans="2:17" ht="44.25" x14ac:dyDescent="0.25">
      <c r="B1005" s="842" t="s">
        <v>467</v>
      </c>
      <c r="C1005" s="39"/>
      <c r="D1005" s="39"/>
      <c r="E1005" s="999" t="s">
        <v>1534</v>
      </c>
      <c r="F1005" s="806"/>
      <c r="G1005" s="79"/>
      <c r="H1005" s="78">
        <f>H1006</f>
        <v>0</v>
      </c>
      <c r="I1005" s="79"/>
      <c r="J1005" s="79"/>
      <c r="K1005" s="841"/>
      <c r="L1005" s="841"/>
      <c r="M1005" s="1000"/>
      <c r="N1005" s="1000"/>
      <c r="O1005" s="1000"/>
      <c r="P1005" s="1000"/>
      <c r="Q1005" s="1000"/>
    </row>
    <row r="1006" spans="2:17" ht="45" x14ac:dyDescent="0.25">
      <c r="B1006" s="997"/>
      <c r="C1006" s="835" t="s">
        <v>5</v>
      </c>
      <c r="D1006" s="835"/>
      <c r="E1006" s="25" t="s">
        <v>1535</v>
      </c>
      <c r="F1006" s="806"/>
      <c r="G1006" s="79"/>
      <c r="H1006" s="79"/>
      <c r="I1006" s="79"/>
      <c r="J1006" s="79"/>
      <c r="K1006" s="841"/>
      <c r="L1006" s="841"/>
      <c r="M1006" s="1000"/>
      <c r="N1006" s="1000"/>
      <c r="O1006" s="1000"/>
      <c r="P1006" s="1000"/>
      <c r="Q1006" s="1000"/>
    </row>
    <row r="1007" spans="2:17" ht="28.5" x14ac:dyDescent="0.25">
      <c r="B1007" s="776" t="s">
        <v>500</v>
      </c>
      <c r="C1007" s="71"/>
      <c r="D1007" s="1001"/>
      <c r="E1007" s="190" t="s">
        <v>261</v>
      </c>
      <c r="F1007" s="1002">
        <f>SUM(F1008:F1011)</f>
        <v>0</v>
      </c>
      <c r="G1007" s="1002">
        <f>SUM(G1008:G1011)</f>
        <v>0</v>
      </c>
      <c r="H1007" s="1002">
        <f>H1008+H1009+H1010+H1011+H1012</f>
        <v>4899082.0999999996</v>
      </c>
      <c r="I1007" s="1002">
        <f>SUM(I1008:I1011)</f>
        <v>1116985.8</v>
      </c>
      <c r="J1007" s="1002">
        <f>SUM(J1008:J1011)</f>
        <v>304650.76</v>
      </c>
      <c r="K1007" s="841"/>
      <c r="L1007" s="841"/>
      <c r="M1007" s="1000"/>
      <c r="N1007" s="1000"/>
      <c r="O1007" s="1000"/>
      <c r="P1007" s="1000"/>
      <c r="Q1007" s="1000"/>
    </row>
    <row r="1008" spans="2:17" x14ac:dyDescent="0.25">
      <c r="B1008" s="997"/>
      <c r="C1008" s="835" t="s">
        <v>5</v>
      </c>
      <c r="D1008" s="835"/>
      <c r="E1008" s="25" t="s">
        <v>1536</v>
      </c>
      <c r="F1008" s="806"/>
      <c r="G1008" s="79"/>
      <c r="H1008" s="79">
        <f>2802968.5+1196263.6</f>
        <v>3999232.1</v>
      </c>
      <c r="I1008" s="79"/>
      <c r="J1008" s="79"/>
      <c r="K1008" s="841"/>
      <c r="L1008" s="841"/>
      <c r="M1008" s="1000"/>
      <c r="N1008" s="1000"/>
      <c r="O1008" s="1000"/>
      <c r="P1008" s="1000"/>
      <c r="Q1008" s="1000"/>
    </row>
    <row r="1009" spans="2:17" ht="30" x14ac:dyDescent="0.25">
      <c r="B1009" s="997"/>
      <c r="C1009" s="802" t="s">
        <v>7</v>
      </c>
      <c r="D1009" s="802"/>
      <c r="E1009" s="25" t="s">
        <v>1537</v>
      </c>
      <c r="F1009" s="79"/>
      <c r="G1009" s="79"/>
      <c r="H1009" s="79"/>
      <c r="I1009" s="79"/>
      <c r="J1009" s="79"/>
      <c r="K1009" s="2087" t="s">
        <v>1538</v>
      </c>
      <c r="L1009" s="2087" t="s">
        <v>1509</v>
      </c>
      <c r="M1009" s="2272"/>
      <c r="N1009" s="2272"/>
      <c r="O1009" s="2272"/>
      <c r="P1009" s="2272"/>
      <c r="Q1009" s="2272"/>
    </row>
    <row r="1010" spans="2:17" ht="45" x14ac:dyDescent="0.25">
      <c r="B1010" s="997"/>
      <c r="C1010" s="835" t="s">
        <v>9</v>
      </c>
      <c r="D1010" s="835"/>
      <c r="E1010" s="25" t="s">
        <v>1539</v>
      </c>
      <c r="F1010" s="79"/>
      <c r="G1010" s="79"/>
      <c r="H1010" s="79">
        <v>493500</v>
      </c>
      <c r="I1010" s="79">
        <v>748650</v>
      </c>
      <c r="J1010" s="79">
        <v>241959.5</v>
      </c>
      <c r="K1010" s="2088"/>
      <c r="L1010" s="2088"/>
      <c r="M1010" s="2273"/>
      <c r="N1010" s="2273"/>
      <c r="O1010" s="2273"/>
      <c r="P1010" s="2273"/>
      <c r="Q1010" s="2273"/>
    </row>
    <row r="1011" spans="2:17" ht="45" x14ac:dyDescent="0.25">
      <c r="B1011" s="997"/>
      <c r="C1011" s="835" t="s">
        <v>11</v>
      </c>
      <c r="D1011" s="835"/>
      <c r="E1011" s="25" t="s">
        <v>1540</v>
      </c>
      <c r="F1011" s="79"/>
      <c r="G1011" s="858"/>
      <c r="H1011" s="761">
        <v>357000</v>
      </c>
      <c r="I1011" s="761">
        <f>76005.8+292330</f>
        <v>368335.8</v>
      </c>
      <c r="J1011" s="761">
        <f>41031.26+21660</f>
        <v>62691.26</v>
      </c>
      <c r="K1011" s="841" t="s">
        <v>1541</v>
      </c>
      <c r="L1011" s="841"/>
      <c r="M1011" s="91"/>
      <c r="N1011" s="91"/>
      <c r="O1011" s="91"/>
      <c r="P1011" s="91"/>
      <c r="Q1011" s="91"/>
    </row>
    <row r="1012" spans="2:17" ht="45" x14ac:dyDescent="0.25">
      <c r="B1012" s="997"/>
      <c r="C1012" s="835" t="s">
        <v>127</v>
      </c>
      <c r="D1012" s="835"/>
      <c r="E1012" s="25" t="s">
        <v>1542</v>
      </c>
      <c r="F1012" s="79"/>
      <c r="G1012" s="858"/>
      <c r="H1012" s="761">
        <v>49350</v>
      </c>
      <c r="I1012" s="761"/>
      <c r="J1012" s="761"/>
      <c r="K1012" s="841"/>
      <c r="L1012" s="841"/>
      <c r="M1012" s="91"/>
      <c r="N1012" s="91"/>
      <c r="O1012" s="91"/>
      <c r="P1012" s="91"/>
      <c r="Q1012" s="91"/>
    </row>
    <row r="1013" spans="2:17" x14ac:dyDescent="0.25">
      <c r="B1013" s="2089" t="s">
        <v>85</v>
      </c>
      <c r="C1013" s="2090"/>
      <c r="D1013" s="2090"/>
      <c r="E1013" s="2091"/>
      <c r="F1013" s="904">
        <f>F994+F1005+F1007</f>
        <v>0</v>
      </c>
      <c r="G1013" s="904">
        <f t="shared" ref="G1013:J1013" si="97">G994+G1005+G1007</f>
        <v>0</v>
      </c>
      <c r="H1013" s="904">
        <f>H994+H1005+H1007</f>
        <v>6288293.1999999993</v>
      </c>
      <c r="I1013" s="904">
        <f t="shared" si="97"/>
        <v>2414403.2000000002</v>
      </c>
      <c r="J1013" s="904">
        <f t="shared" si="97"/>
        <v>1604597.16</v>
      </c>
      <c r="K1013" s="1003"/>
      <c r="L1013" s="2092"/>
      <c r="M1013" s="2092"/>
      <c r="N1013" s="2092"/>
      <c r="O1013" s="2092"/>
      <c r="P1013" s="2092"/>
      <c r="Q1013" s="2092"/>
    </row>
    <row r="1014" spans="2:17" x14ac:dyDescent="0.25">
      <c r="B1014" s="1696" t="s">
        <v>1543</v>
      </c>
      <c r="C1014" s="1697"/>
      <c r="D1014" s="1697"/>
      <c r="E1014" s="1697"/>
      <c r="F1014" s="1697"/>
      <c r="G1014" s="1697"/>
      <c r="H1014" s="1697"/>
      <c r="I1014" s="1697"/>
      <c r="J1014" s="1697"/>
      <c r="K1014" s="1697"/>
      <c r="L1014" s="1697"/>
      <c r="M1014" s="1697"/>
      <c r="N1014" s="1697"/>
      <c r="O1014" s="1697"/>
      <c r="P1014" s="1697"/>
      <c r="Q1014" s="1697"/>
    </row>
    <row r="1015" spans="2:17" ht="73.5" x14ac:dyDescent="0.25">
      <c r="B1015" s="840" t="s">
        <v>516</v>
      </c>
      <c r="C1015" s="500"/>
      <c r="D1015" s="500"/>
      <c r="E1015" s="797" t="s">
        <v>71</v>
      </c>
      <c r="F1015" s="672">
        <f>F1016+F1017+F1018+F1019+F1020+F1022+F1024</f>
        <v>32124.999999999996</v>
      </c>
      <c r="G1015" s="672">
        <f t="shared" ref="G1015:J1015" si="98">G1016+G1017+G1018+G1019+G1020+G1022+G1024</f>
        <v>28186.899999999994</v>
      </c>
      <c r="H1015" s="672">
        <f t="shared" si="98"/>
        <v>28186.899999999998</v>
      </c>
      <c r="I1015" s="672">
        <f t="shared" si="98"/>
        <v>28211.499999999996</v>
      </c>
      <c r="J1015" s="672">
        <f t="shared" si="98"/>
        <v>28268.299999999996</v>
      </c>
      <c r="K1015" s="797" t="s">
        <v>34</v>
      </c>
      <c r="L1015" s="797" t="s">
        <v>35</v>
      </c>
      <c r="M1015" s="797">
        <v>65.099999999999994</v>
      </c>
      <c r="N1015" s="797">
        <v>68.2</v>
      </c>
      <c r="O1015" s="797">
        <v>63.4</v>
      </c>
      <c r="P1015" s="797">
        <v>63.1</v>
      </c>
      <c r="Q1015" s="797">
        <v>61.2</v>
      </c>
    </row>
    <row r="1016" spans="2:17" x14ac:dyDescent="0.25">
      <c r="B1016" s="915"/>
      <c r="C1016" s="773" t="s">
        <v>5</v>
      </c>
      <c r="D1016" s="915"/>
      <c r="E1016" s="774" t="s">
        <v>6</v>
      </c>
      <c r="F1016" s="761">
        <v>10545.6</v>
      </c>
      <c r="G1016" s="761">
        <v>8983.2000000000007</v>
      </c>
      <c r="H1016" s="761">
        <v>8421.2999999999993</v>
      </c>
      <c r="I1016" s="761">
        <v>8428.4</v>
      </c>
      <c r="J1016" s="761">
        <v>8445.1999999999989</v>
      </c>
      <c r="K1016" s="774" t="s">
        <v>36</v>
      </c>
      <c r="L1016" s="774" t="s">
        <v>35</v>
      </c>
      <c r="M1016" s="774">
        <v>21.7</v>
      </c>
      <c r="N1016" s="774">
        <v>25</v>
      </c>
      <c r="O1016" s="774">
        <v>25</v>
      </c>
      <c r="P1016" s="774">
        <v>25</v>
      </c>
      <c r="Q1016" s="774">
        <v>25</v>
      </c>
    </row>
    <row r="1017" spans="2:17" ht="30" x14ac:dyDescent="0.25">
      <c r="B1017" s="915"/>
      <c r="C1017" s="773" t="s">
        <v>7</v>
      </c>
      <c r="D1017" s="915"/>
      <c r="E1017" s="774" t="s">
        <v>8</v>
      </c>
      <c r="F1017" s="761">
        <v>7509</v>
      </c>
      <c r="G1017" s="761">
        <v>6572.8</v>
      </c>
      <c r="H1017" s="761">
        <v>6093.2</v>
      </c>
      <c r="I1017" s="761">
        <v>6098.2</v>
      </c>
      <c r="J1017" s="761">
        <v>6108.2</v>
      </c>
      <c r="K1017" s="774" t="s">
        <v>38</v>
      </c>
      <c r="L1017" s="774" t="s">
        <v>35</v>
      </c>
      <c r="M1017" s="774">
        <v>99.9</v>
      </c>
      <c r="N1017" s="774">
        <v>100</v>
      </c>
      <c r="O1017" s="774">
        <v>100</v>
      </c>
      <c r="P1017" s="774">
        <v>100</v>
      </c>
      <c r="Q1017" s="774">
        <v>100</v>
      </c>
    </row>
    <row r="1018" spans="2:17" ht="30" x14ac:dyDescent="0.25">
      <c r="B1018" s="915"/>
      <c r="C1018" s="773" t="s">
        <v>9</v>
      </c>
      <c r="D1018" s="915"/>
      <c r="E1018" s="774" t="s">
        <v>10</v>
      </c>
      <c r="F1018" s="761">
        <v>2781.1</v>
      </c>
      <c r="G1018" s="761">
        <v>2466.1</v>
      </c>
      <c r="H1018" s="761">
        <v>2745.3</v>
      </c>
      <c r="I1018" s="761">
        <v>2747.8</v>
      </c>
      <c r="J1018" s="761">
        <v>2753.8</v>
      </c>
      <c r="K1018" s="774" t="s">
        <v>39</v>
      </c>
      <c r="L1018" s="774" t="s">
        <v>35</v>
      </c>
      <c r="M1018" s="774">
        <v>75</v>
      </c>
      <c r="N1018" s="774">
        <v>100</v>
      </c>
      <c r="O1018" s="774">
        <v>100</v>
      </c>
      <c r="P1018" s="774">
        <v>100</v>
      </c>
      <c r="Q1018" s="774">
        <v>100</v>
      </c>
    </row>
    <row r="1019" spans="2:17" ht="30" x14ac:dyDescent="0.25">
      <c r="B1019" s="915"/>
      <c r="C1019" s="773" t="s">
        <v>127</v>
      </c>
      <c r="D1019" s="915"/>
      <c r="E1019" s="774" t="s">
        <v>1544</v>
      </c>
      <c r="F1019" s="761">
        <v>1922.2</v>
      </c>
      <c r="G1019" s="761">
        <v>1700.6</v>
      </c>
      <c r="H1019" s="761">
        <v>1945.5</v>
      </c>
      <c r="I1019" s="761">
        <v>1948</v>
      </c>
      <c r="J1019" s="761">
        <v>1954</v>
      </c>
      <c r="K1019" s="774" t="s">
        <v>1545</v>
      </c>
      <c r="L1019" s="774" t="s">
        <v>116</v>
      </c>
      <c r="M1019" s="774">
        <v>5</v>
      </c>
      <c r="N1019" s="774">
        <v>5</v>
      </c>
      <c r="O1019" s="774">
        <v>5</v>
      </c>
      <c r="P1019" s="774">
        <v>5</v>
      </c>
      <c r="Q1019" s="774">
        <v>5</v>
      </c>
    </row>
    <row r="1020" spans="2:17" ht="30" x14ac:dyDescent="0.25">
      <c r="B1020" s="1975"/>
      <c r="C1020" s="1975">
        <v>34</v>
      </c>
      <c r="D1020" s="1975"/>
      <c r="E1020" s="1838" t="s">
        <v>1546</v>
      </c>
      <c r="F1020" s="1893">
        <v>2118</v>
      </c>
      <c r="G1020" s="1893">
        <v>1899.1</v>
      </c>
      <c r="H1020" s="1893">
        <v>2154</v>
      </c>
      <c r="I1020" s="1893">
        <v>2156.5</v>
      </c>
      <c r="J1020" s="1893">
        <v>2162.5</v>
      </c>
      <c r="K1020" s="774" t="s">
        <v>1547</v>
      </c>
      <c r="L1020" s="774" t="s">
        <v>35</v>
      </c>
      <c r="M1020" s="774">
        <v>76.900000000000006</v>
      </c>
      <c r="N1020" s="774">
        <v>100</v>
      </c>
      <c r="O1020" s="774">
        <v>100</v>
      </c>
      <c r="P1020" s="774">
        <v>100</v>
      </c>
      <c r="Q1020" s="774">
        <v>100</v>
      </c>
    </row>
    <row r="1021" spans="2:17" ht="30" x14ac:dyDescent="0.25">
      <c r="B1021" s="1976"/>
      <c r="C1021" s="1976"/>
      <c r="D1021" s="1976"/>
      <c r="E1021" s="1839"/>
      <c r="F1021" s="1894"/>
      <c r="G1021" s="1894"/>
      <c r="H1021" s="1894"/>
      <c r="I1021" s="1894"/>
      <c r="J1021" s="1894"/>
      <c r="K1021" s="774" t="s">
        <v>1548</v>
      </c>
      <c r="L1021" s="774" t="s">
        <v>35</v>
      </c>
      <c r="M1021" s="774">
        <v>87.8</v>
      </c>
      <c r="N1021" s="774">
        <v>100</v>
      </c>
      <c r="O1021" s="774">
        <v>100</v>
      </c>
      <c r="P1021" s="774">
        <v>100</v>
      </c>
      <c r="Q1021" s="774">
        <v>100</v>
      </c>
    </row>
    <row r="1022" spans="2:17" x14ac:dyDescent="0.25">
      <c r="B1022" s="1975"/>
      <c r="C1022" s="1975">
        <v>35</v>
      </c>
      <c r="D1022" s="1975"/>
      <c r="E1022" s="1838" t="s">
        <v>1549</v>
      </c>
      <c r="F1022" s="1893">
        <v>3576.1</v>
      </c>
      <c r="G1022" s="1893">
        <v>3220.1</v>
      </c>
      <c r="H1022" s="1893">
        <v>3374</v>
      </c>
      <c r="I1022" s="1893">
        <v>3376.5</v>
      </c>
      <c r="J1022" s="1893">
        <v>3382.5</v>
      </c>
      <c r="K1022" s="774" t="s">
        <v>1550</v>
      </c>
      <c r="L1022" s="774" t="s">
        <v>282</v>
      </c>
      <c r="M1022" s="774">
        <v>2</v>
      </c>
      <c r="N1022" s="774">
        <v>3</v>
      </c>
      <c r="O1022" s="774">
        <v>3</v>
      </c>
      <c r="P1022" s="774">
        <v>3</v>
      </c>
      <c r="Q1022" s="774">
        <v>3</v>
      </c>
    </row>
    <row r="1023" spans="2:17" ht="45" x14ac:dyDescent="0.25">
      <c r="B1023" s="1976"/>
      <c r="C1023" s="1976"/>
      <c r="D1023" s="1976"/>
      <c r="E1023" s="1839"/>
      <c r="F1023" s="1894"/>
      <c r="G1023" s="1894"/>
      <c r="H1023" s="1894"/>
      <c r="I1023" s="1894"/>
      <c r="J1023" s="1894"/>
      <c r="K1023" s="774" t="s">
        <v>1551</v>
      </c>
      <c r="L1023" s="774" t="s">
        <v>35</v>
      </c>
      <c r="M1023" s="774">
        <v>80.900000000000006</v>
      </c>
      <c r="N1023" s="774">
        <v>100</v>
      </c>
      <c r="O1023" s="774">
        <v>100</v>
      </c>
      <c r="P1023" s="774">
        <v>100</v>
      </c>
      <c r="Q1023" s="774">
        <v>100</v>
      </c>
    </row>
    <row r="1024" spans="2:17" x14ac:dyDescent="0.25">
      <c r="B1024" s="1975"/>
      <c r="C1024" s="1975">
        <v>36</v>
      </c>
      <c r="D1024" s="1975"/>
      <c r="E1024" s="1838" t="s">
        <v>1552</v>
      </c>
      <c r="F1024" s="1893">
        <v>3673</v>
      </c>
      <c r="G1024" s="1893">
        <v>3345</v>
      </c>
      <c r="H1024" s="1893">
        <v>3453.6</v>
      </c>
      <c r="I1024" s="1893">
        <v>3456.1</v>
      </c>
      <c r="J1024" s="1893">
        <v>3462.1</v>
      </c>
      <c r="K1024" s="774" t="s">
        <v>1550</v>
      </c>
      <c r="L1024" s="774" t="s">
        <v>282</v>
      </c>
      <c r="M1024" s="774">
        <v>1</v>
      </c>
      <c r="N1024" s="774">
        <v>1</v>
      </c>
      <c r="O1024" s="774">
        <v>1</v>
      </c>
      <c r="P1024" s="774">
        <v>1</v>
      </c>
      <c r="Q1024" s="774">
        <v>1</v>
      </c>
    </row>
    <row r="1025" spans="2:17" ht="45" x14ac:dyDescent="0.25">
      <c r="B1025" s="1976"/>
      <c r="C1025" s="1976"/>
      <c r="D1025" s="1976"/>
      <c r="E1025" s="1839"/>
      <c r="F1025" s="1894"/>
      <c r="G1025" s="1894"/>
      <c r="H1025" s="1894"/>
      <c r="I1025" s="1894"/>
      <c r="J1025" s="1894"/>
      <c r="K1025" s="774" t="s">
        <v>1553</v>
      </c>
      <c r="L1025" s="774" t="s">
        <v>282</v>
      </c>
      <c r="M1025" s="774">
        <v>4</v>
      </c>
      <c r="N1025" s="774">
        <v>2</v>
      </c>
      <c r="O1025" s="774">
        <v>2</v>
      </c>
      <c r="P1025" s="774">
        <v>2</v>
      </c>
      <c r="Q1025" s="774">
        <v>3</v>
      </c>
    </row>
    <row r="1026" spans="2:17" ht="119.25" x14ac:dyDescent="0.25">
      <c r="B1026" s="500" t="s">
        <v>467</v>
      </c>
      <c r="C1026" s="500"/>
      <c r="D1026" s="500"/>
      <c r="E1026" s="797" t="s">
        <v>1554</v>
      </c>
      <c r="F1026" s="672">
        <f>F1027+F1030+F1033+F1034</f>
        <v>554350.5</v>
      </c>
      <c r="G1026" s="672">
        <f t="shared" ref="G1026:J1026" si="99">G1027+G1030+G1033+G1034</f>
        <v>423263.5</v>
      </c>
      <c r="H1026" s="672">
        <f t="shared" si="99"/>
        <v>462909.20000000007</v>
      </c>
      <c r="I1026" s="672">
        <f t="shared" si="99"/>
        <v>426525.5</v>
      </c>
      <c r="J1026" s="672">
        <f t="shared" si="99"/>
        <v>427319.5</v>
      </c>
      <c r="K1026" s="797" t="s">
        <v>1555</v>
      </c>
      <c r="L1026" s="797"/>
      <c r="M1026" s="797"/>
      <c r="N1026" s="797"/>
      <c r="O1026" s="797"/>
      <c r="P1026" s="797"/>
      <c r="Q1026" s="797"/>
    </row>
    <row r="1027" spans="2:17" x14ac:dyDescent="0.25">
      <c r="B1027" s="1975"/>
      <c r="C1027" s="1975" t="s">
        <v>5</v>
      </c>
      <c r="D1027" s="1975"/>
      <c r="E1027" s="1838" t="s">
        <v>1556</v>
      </c>
      <c r="F1027" s="1893">
        <v>162703.20000000001</v>
      </c>
      <c r="G1027" s="1893">
        <v>174413.4</v>
      </c>
      <c r="H1027" s="1893">
        <f>153876.4+18912.2</f>
        <v>172788.6</v>
      </c>
      <c r="I1027" s="1893">
        <v>168455.5</v>
      </c>
      <c r="J1027" s="1893">
        <v>168755.5</v>
      </c>
      <c r="K1027" s="774" t="s">
        <v>1557</v>
      </c>
      <c r="L1027" s="774" t="s">
        <v>1289</v>
      </c>
      <c r="M1027" s="774">
        <v>1196.8</v>
      </c>
      <c r="N1027" s="774">
        <v>1502.4</v>
      </c>
      <c r="O1027" s="774">
        <v>1502.4</v>
      </c>
      <c r="P1027" s="774">
        <v>1502.4</v>
      </c>
      <c r="Q1027" s="774">
        <v>1502.4</v>
      </c>
    </row>
    <row r="1028" spans="2:17" ht="60" x14ac:dyDescent="0.25">
      <c r="B1028" s="2062"/>
      <c r="C1028" s="2062"/>
      <c r="D1028" s="2062"/>
      <c r="E1028" s="2271"/>
      <c r="F1028" s="2103"/>
      <c r="G1028" s="2103"/>
      <c r="H1028" s="2103"/>
      <c r="I1028" s="2103"/>
      <c r="J1028" s="2103"/>
      <c r="K1028" s="774" t="s">
        <v>1558</v>
      </c>
      <c r="L1028" s="774" t="s">
        <v>35</v>
      </c>
      <c r="M1028" s="774">
        <v>24</v>
      </c>
      <c r="N1028" s="774">
        <v>25</v>
      </c>
      <c r="O1028" s="774">
        <v>25</v>
      </c>
      <c r="P1028" s="774">
        <v>26</v>
      </c>
      <c r="Q1028" s="774">
        <v>26</v>
      </c>
    </row>
    <row r="1029" spans="2:17" ht="30" x14ac:dyDescent="0.25">
      <c r="B1029" s="1976"/>
      <c r="C1029" s="1976"/>
      <c r="D1029" s="1976"/>
      <c r="E1029" s="1839"/>
      <c r="F1029" s="1894"/>
      <c r="G1029" s="1894"/>
      <c r="H1029" s="1894"/>
      <c r="I1029" s="1894"/>
      <c r="J1029" s="1894"/>
      <c r="K1029" s="774" t="s">
        <v>1559</v>
      </c>
      <c r="L1029" s="774" t="s">
        <v>282</v>
      </c>
      <c r="M1029" s="774">
        <v>300</v>
      </c>
      <c r="N1029" s="774">
        <v>300</v>
      </c>
      <c r="O1029" s="774">
        <v>300</v>
      </c>
      <c r="P1029" s="774">
        <v>300</v>
      </c>
      <c r="Q1029" s="774">
        <v>300</v>
      </c>
    </row>
    <row r="1030" spans="2:17" x14ac:dyDescent="0.25">
      <c r="B1030" s="1975"/>
      <c r="C1030" s="1975" t="s">
        <v>7</v>
      </c>
      <c r="D1030" s="1975"/>
      <c r="E1030" s="1838" t="s">
        <v>1560</v>
      </c>
      <c r="F1030" s="1893">
        <v>90406.7</v>
      </c>
      <c r="G1030" s="1893">
        <v>92989.9</v>
      </c>
      <c r="H1030" s="1893">
        <f>105756.2+16261.6</f>
        <v>122017.8</v>
      </c>
      <c r="I1030" s="1893">
        <v>117815.9</v>
      </c>
      <c r="J1030" s="1893">
        <v>118035.9</v>
      </c>
      <c r="K1030" s="774" t="s">
        <v>1561</v>
      </c>
      <c r="L1030" s="774" t="s">
        <v>282</v>
      </c>
      <c r="M1030" s="774">
        <v>272600</v>
      </c>
      <c r="N1030" s="774">
        <v>272700</v>
      </c>
      <c r="O1030" s="774">
        <v>272700</v>
      </c>
      <c r="P1030" s="774">
        <v>272700</v>
      </c>
      <c r="Q1030" s="774">
        <v>273000</v>
      </c>
    </row>
    <row r="1031" spans="2:17" x14ac:dyDescent="0.25">
      <c r="B1031" s="2062"/>
      <c r="C1031" s="2062"/>
      <c r="D1031" s="2062"/>
      <c r="E1031" s="2271"/>
      <c r="F1031" s="2103"/>
      <c r="G1031" s="2103"/>
      <c r="H1031" s="2103"/>
      <c r="I1031" s="2103"/>
      <c r="J1031" s="2103"/>
      <c r="K1031" s="774" t="s">
        <v>1562</v>
      </c>
      <c r="L1031" s="774" t="s">
        <v>1563</v>
      </c>
      <c r="M1031" s="774">
        <v>655</v>
      </c>
      <c r="N1031" s="774">
        <v>660</v>
      </c>
      <c r="O1031" s="774">
        <v>660</v>
      </c>
      <c r="P1031" s="774">
        <v>660</v>
      </c>
      <c r="Q1031" s="774">
        <v>660</v>
      </c>
    </row>
    <row r="1032" spans="2:17" ht="30" x14ac:dyDescent="0.25">
      <c r="B1032" s="1976"/>
      <c r="C1032" s="1976"/>
      <c r="D1032" s="1976"/>
      <c r="E1032" s="1839"/>
      <c r="F1032" s="1894"/>
      <c r="G1032" s="1894"/>
      <c r="H1032" s="1894"/>
      <c r="I1032" s="1894"/>
      <c r="J1032" s="1894"/>
      <c r="K1032" s="774" t="s">
        <v>1564</v>
      </c>
      <c r="L1032" s="774" t="s">
        <v>282</v>
      </c>
      <c r="M1032" s="774">
        <v>50</v>
      </c>
      <c r="N1032" s="774">
        <v>54</v>
      </c>
      <c r="O1032" s="774">
        <v>55</v>
      </c>
      <c r="P1032" s="774">
        <v>55</v>
      </c>
      <c r="Q1032" s="774">
        <v>55</v>
      </c>
    </row>
    <row r="1033" spans="2:17" ht="30" x14ac:dyDescent="0.25">
      <c r="B1033" s="915"/>
      <c r="C1033" s="915" t="s">
        <v>9</v>
      </c>
      <c r="D1033" s="915"/>
      <c r="E1033" s="774" t="s">
        <v>1565</v>
      </c>
      <c r="F1033" s="761">
        <v>105210.4</v>
      </c>
      <c r="G1033" s="761">
        <v>109011</v>
      </c>
      <c r="H1033" s="761">
        <f>56598.4+1783.8</f>
        <v>58382.200000000004</v>
      </c>
      <c r="I1033" s="761">
        <v>106278.6</v>
      </c>
      <c r="J1033" s="761">
        <v>106498.6</v>
      </c>
      <c r="K1033" s="774" t="s">
        <v>1566</v>
      </c>
      <c r="L1033" s="774" t="s">
        <v>1567</v>
      </c>
      <c r="M1033" s="774">
        <v>17</v>
      </c>
      <c r="N1033" s="774">
        <v>17</v>
      </c>
      <c r="O1033" s="774">
        <v>18</v>
      </c>
      <c r="P1033" s="774">
        <v>18</v>
      </c>
      <c r="Q1033" s="774">
        <v>20</v>
      </c>
    </row>
    <row r="1034" spans="2:17" ht="30" x14ac:dyDescent="0.25">
      <c r="B1034" s="1975"/>
      <c r="C1034" s="1975" t="s">
        <v>11</v>
      </c>
      <c r="D1034" s="1975"/>
      <c r="E1034" s="1838" t="s">
        <v>1568</v>
      </c>
      <c r="F1034" s="1893">
        <v>196030.2</v>
      </c>
      <c r="G1034" s="1893">
        <v>46849.2</v>
      </c>
      <c r="H1034" s="1893">
        <f>108140.6+1580</f>
        <v>109720.6</v>
      </c>
      <c r="I1034" s="1893">
        <v>33975.5</v>
      </c>
      <c r="J1034" s="1893">
        <v>34029.5</v>
      </c>
      <c r="K1034" s="774" t="s">
        <v>1569</v>
      </c>
      <c r="L1034" s="774" t="s">
        <v>282</v>
      </c>
      <c r="M1034" s="774">
        <v>1</v>
      </c>
      <c r="N1034" s="774">
        <v>1</v>
      </c>
      <c r="O1034" s="774">
        <v>2</v>
      </c>
      <c r="P1034" s="774">
        <v>2</v>
      </c>
      <c r="Q1034" s="774">
        <v>3</v>
      </c>
    </row>
    <row r="1035" spans="2:17" ht="45" x14ac:dyDescent="0.25">
      <c r="B1035" s="2062"/>
      <c r="C1035" s="2062"/>
      <c r="D1035" s="2062"/>
      <c r="E1035" s="2271"/>
      <c r="F1035" s="2103"/>
      <c r="G1035" s="2103"/>
      <c r="H1035" s="2103"/>
      <c r="I1035" s="2103"/>
      <c r="J1035" s="2103"/>
      <c r="K1035" s="774" t="s">
        <v>1570</v>
      </c>
      <c r="L1035" s="774" t="s">
        <v>282</v>
      </c>
      <c r="M1035" s="774">
        <v>20</v>
      </c>
      <c r="N1035" s="774">
        <v>20</v>
      </c>
      <c r="O1035" s="774">
        <v>18</v>
      </c>
      <c r="P1035" s="774">
        <v>15</v>
      </c>
      <c r="Q1035" s="774">
        <v>20</v>
      </c>
    </row>
    <row r="1036" spans="2:17" x14ac:dyDescent="0.25">
      <c r="B1036" s="2062"/>
      <c r="C1036" s="2062"/>
      <c r="D1036" s="2062"/>
      <c r="E1036" s="2271"/>
      <c r="F1036" s="2103"/>
      <c r="G1036" s="2103"/>
      <c r="H1036" s="2103"/>
      <c r="I1036" s="2103"/>
      <c r="J1036" s="2103"/>
      <c r="K1036" s="774"/>
      <c r="L1036" s="774"/>
      <c r="M1036" s="774"/>
      <c r="N1036" s="774"/>
      <c r="O1036" s="774"/>
      <c r="P1036" s="774"/>
      <c r="Q1036" s="774"/>
    </row>
    <row r="1037" spans="2:17" ht="45" x14ac:dyDescent="0.25">
      <c r="B1037" s="1976"/>
      <c r="C1037" s="1976"/>
      <c r="D1037" s="1976"/>
      <c r="E1037" s="1839"/>
      <c r="F1037" s="1894"/>
      <c r="G1037" s="1894"/>
      <c r="H1037" s="1894"/>
      <c r="I1037" s="1894"/>
      <c r="J1037" s="1894"/>
      <c r="K1037" s="774" t="s">
        <v>1571</v>
      </c>
      <c r="L1037" s="774" t="s">
        <v>282</v>
      </c>
      <c r="M1037" s="774">
        <v>15</v>
      </c>
      <c r="N1037" s="774">
        <v>15</v>
      </c>
      <c r="O1037" s="774">
        <v>20</v>
      </c>
      <c r="P1037" s="774">
        <v>25</v>
      </c>
      <c r="Q1037" s="774">
        <v>27</v>
      </c>
    </row>
    <row r="1038" spans="2:17" ht="89.25" x14ac:dyDescent="0.25">
      <c r="B1038" s="500" t="s">
        <v>500</v>
      </c>
      <c r="C1038" s="500"/>
      <c r="D1038" s="500"/>
      <c r="E1038" s="797" t="s">
        <v>1572</v>
      </c>
      <c r="F1038" s="672">
        <f>F1039</f>
        <v>451264.9</v>
      </c>
      <c r="G1038" s="672">
        <f t="shared" ref="G1038:J1038" si="100">G1039</f>
        <v>454043.7</v>
      </c>
      <c r="H1038" s="672">
        <f>H1039+H1043</f>
        <v>496354.4</v>
      </c>
      <c r="I1038" s="672">
        <f t="shared" si="100"/>
        <v>479725.5</v>
      </c>
      <c r="J1038" s="672">
        <f t="shared" si="100"/>
        <v>480495</v>
      </c>
      <c r="K1038" s="774"/>
      <c r="L1038" s="915"/>
      <c r="M1038" s="915"/>
      <c r="N1038" s="915"/>
      <c r="O1038" s="915"/>
      <c r="P1038" s="915"/>
      <c r="Q1038" s="915"/>
    </row>
    <row r="1039" spans="2:17" x14ac:dyDescent="0.25">
      <c r="B1039" s="1982"/>
      <c r="C1039" s="1975" t="s">
        <v>5</v>
      </c>
      <c r="D1039" s="1982"/>
      <c r="E1039" s="1838" t="s">
        <v>1573</v>
      </c>
      <c r="F1039" s="1893">
        <v>451264.9</v>
      </c>
      <c r="G1039" s="1893">
        <v>454043.7</v>
      </c>
      <c r="H1039" s="1893">
        <f>442858.4+53296</f>
        <v>496154.4</v>
      </c>
      <c r="I1039" s="1893">
        <f>481492.7-1767.2</f>
        <v>479725.5</v>
      </c>
      <c r="J1039" s="1893">
        <f>482342.7-1847.7</f>
        <v>480495</v>
      </c>
      <c r="K1039" s="774" t="s">
        <v>1574</v>
      </c>
      <c r="L1039" s="915" t="s">
        <v>282</v>
      </c>
      <c r="M1039" s="915">
        <v>30</v>
      </c>
      <c r="N1039" s="915">
        <v>37</v>
      </c>
      <c r="O1039" s="915">
        <v>43</v>
      </c>
      <c r="P1039" s="915">
        <v>48</v>
      </c>
      <c r="Q1039" s="915">
        <v>49</v>
      </c>
    </row>
    <row r="1040" spans="2:17" x14ac:dyDescent="0.25">
      <c r="B1040" s="2063"/>
      <c r="C1040" s="2062"/>
      <c r="D1040" s="2063"/>
      <c r="E1040" s="2271"/>
      <c r="F1040" s="2103"/>
      <c r="G1040" s="2103"/>
      <c r="H1040" s="2103"/>
      <c r="I1040" s="2103"/>
      <c r="J1040" s="2103"/>
      <c r="K1040" s="774" t="s">
        <v>1575</v>
      </c>
      <c r="L1040" s="915" t="s">
        <v>282</v>
      </c>
      <c r="M1040" s="915">
        <v>65</v>
      </c>
      <c r="N1040" s="915">
        <v>75</v>
      </c>
      <c r="O1040" s="915">
        <v>79</v>
      </c>
      <c r="P1040" s="915">
        <v>84</v>
      </c>
      <c r="Q1040" s="915">
        <v>86</v>
      </c>
    </row>
    <row r="1041" spans="2:17" x14ac:dyDescent="0.25">
      <c r="B1041" s="2063"/>
      <c r="C1041" s="2062"/>
      <c r="D1041" s="2063"/>
      <c r="E1041" s="2271"/>
      <c r="F1041" s="2103"/>
      <c r="G1041" s="2103"/>
      <c r="H1041" s="2103"/>
      <c r="I1041" s="2103"/>
      <c r="J1041" s="2103"/>
      <c r="K1041" s="774" t="s">
        <v>1576</v>
      </c>
      <c r="L1041" s="915" t="s">
        <v>1577</v>
      </c>
      <c r="M1041" s="915">
        <v>1034384</v>
      </c>
      <c r="N1041" s="915">
        <v>1059584</v>
      </c>
      <c r="O1041" s="915">
        <v>1086038</v>
      </c>
      <c r="P1041" s="915">
        <v>1115321</v>
      </c>
      <c r="Q1041" s="915">
        <v>1127659</v>
      </c>
    </row>
    <row r="1042" spans="2:17" ht="30" x14ac:dyDescent="0.25">
      <c r="B1042" s="1983"/>
      <c r="C1042" s="1976"/>
      <c r="D1042" s="1983"/>
      <c r="E1042" s="1839"/>
      <c r="F1042" s="1894"/>
      <c r="G1042" s="1894"/>
      <c r="H1042" s="1894"/>
      <c r="I1042" s="1894"/>
      <c r="J1042" s="1894"/>
      <c r="K1042" s="774" t="s">
        <v>1578</v>
      </c>
      <c r="L1042" s="915" t="s">
        <v>282</v>
      </c>
      <c r="M1042" s="915">
        <v>5</v>
      </c>
      <c r="N1042" s="915">
        <v>7</v>
      </c>
      <c r="O1042" s="915">
        <v>6</v>
      </c>
      <c r="P1042" s="915">
        <v>7</v>
      </c>
      <c r="Q1042" s="915">
        <v>6</v>
      </c>
    </row>
    <row r="1043" spans="2:17" ht="30" x14ac:dyDescent="0.25">
      <c r="B1043" s="775"/>
      <c r="C1043" s="773" t="s">
        <v>7</v>
      </c>
      <c r="D1043" s="775"/>
      <c r="E1043" s="781" t="s">
        <v>1579</v>
      </c>
      <c r="F1043" s="760"/>
      <c r="G1043" s="760"/>
      <c r="H1043" s="760">
        <v>200</v>
      </c>
      <c r="I1043" s="760"/>
      <c r="J1043" s="760"/>
      <c r="K1043" s="774"/>
      <c r="L1043" s="915"/>
      <c r="M1043" s="915"/>
      <c r="N1043" s="915"/>
      <c r="O1043" s="915"/>
      <c r="P1043" s="915"/>
      <c r="Q1043" s="915"/>
    </row>
    <row r="1044" spans="2:17" ht="74.25" x14ac:dyDescent="0.25">
      <c r="B1044" s="500" t="s">
        <v>508</v>
      </c>
      <c r="C1044" s="500"/>
      <c r="D1044" s="500"/>
      <c r="E1044" s="797" t="s">
        <v>1580</v>
      </c>
      <c r="F1044" s="672">
        <f>F1045+F1046+F1048</f>
        <v>578070.39999999991</v>
      </c>
      <c r="G1044" s="672">
        <f t="shared" ref="G1044:J1044" si="101">G1045+G1046+G1048</f>
        <v>635290.5</v>
      </c>
      <c r="H1044" s="672">
        <f t="shared" si="101"/>
        <v>762747.79999999993</v>
      </c>
      <c r="I1044" s="672">
        <f t="shared" si="101"/>
        <v>628759.50000000012</v>
      </c>
      <c r="J1044" s="672">
        <f t="shared" si="101"/>
        <v>629924.90000000014</v>
      </c>
      <c r="K1044" s="797"/>
      <c r="L1044" s="797"/>
      <c r="M1044" s="797"/>
      <c r="N1044" s="797"/>
      <c r="O1044" s="797"/>
      <c r="P1044" s="797"/>
      <c r="Q1044" s="797"/>
    </row>
    <row r="1045" spans="2:17" ht="30" x14ac:dyDescent="0.25">
      <c r="B1045" s="500"/>
      <c r="C1045" s="915" t="s">
        <v>5</v>
      </c>
      <c r="D1045" s="915"/>
      <c r="E1045" s="774" t="s">
        <v>1581</v>
      </c>
      <c r="F1045" s="761">
        <v>287989</v>
      </c>
      <c r="G1045" s="761">
        <v>323753.09999999998</v>
      </c>
      <c r="H1045" s="761">
        <f>373177.1+21131.7</f>
        <v>394308.8</v>
      </c>
      <c r="I1045" s="761">
        <v>302888.10000000003</v>
      </c>
      <c r="J1045" s="761">
        <v>303388.10000000003</v>
      </c>
      <c r="K1045" s="774" t="s">
        <v>1582</v>
      </c>
      <c r="L1045" s="915" t="s">
        <v>274</v>
      </c>
      <c r="M1045" s="915">
        <v>1020</v>
      </c>
      <c r="N1045" s="915">
        <v>1086</v>
      </c>
      <c r="O1045" s="915">
        <v>1150</v>
      </c>
      <c r="P1045" s="915">
        <v>1200</v>
      </c>
      <c r="Q1045" s="915">
        <v>1300</v>
      </c>
    </row>
    <row r="1046" spans="2:17" ht="45" x14ac:dyDescent="0.25">
      <c r="B1046" s="1982"/>
      <c r="C1046" s="1975" t="s">
        <v>7</v>
      </c>
      <c r="D1046" s="1975"/>
      <c r="E1046" s="1838" t="s">
        <v>1583</v>
      </c>
      <c r="F1046" s="1893">
        <v>279436.2</v>
      </c>
      <c r="G1046" s="1893">
        <v>298644.5</v>
      </c>
      <c r="H1046" s="1893">
        <f>328486.4+25820</f>
        <v>354306.4</v>
      </c>
      <c r="I1046" s="1893">
        <v>312964.5</v>
      </c>
      <c r="J1046" s="1893">
        <v>313564.5</v>
      </c>
      <c r="K1046" s="774" t="s">
        <v>1584</v>
      </c>
      <c r="L1046" s="915" t="s">
        <v>35</v>
      </c>
      <c r="M1046" s="915">
        <v>90</v>
      </c>
      <c r="N1046" s="915">
        <v>90</v>
      </c>
      <c r="O1046" s="915">
        <v>100</v>
      </c>
      <c r="P1046" s="915">
        <v>100</v>
      </c>
      <c r="Q1046" s="915">
        <v>100</v>
      </c>
    </row>
    <row r="1047" spans="2:17" ht="30" x14ac:dyDescent="0.25">
      <c r="B1047" s="1983"/>
      <c r="C1047" s="1976"/>
      <c r="D1047" s="1976"/>
      <c r="E1047" s="1839"/>
      <c r="F1047" s="1894"/>
      <c r="G1047" s="1894"/>
      <c r="H1047" s="1894"/>
      <c r="I1047" s="1894"/>
      <c r="J1047" s="1894"/>
      <c r="K1047" s="774" t="s">
        <v>1585</v>
      </c>
      <c r="L1047" s="915" t="s">
        <v>274</v>
      </c>
      <c r="M1047" s="915">
        <v>9021</v>
      </c>
      <c r="N1047" s="915">
        <v>9021</v>
      </c>
      <c r="O1047" s="915">
        <v>9021</v>
      </c>
      <c r="P1047" s="915">
        <v>9021</v>
      </c>
      <c r="Q1047" s="915">
        <v>9021</v>
      </c>
    </row>
    <row r="1048" spans="2:17" ht="30" x14ac:dyDescent="0.25">
      <c r="B1048" s="500"/>
      <c r="C1048" s="915" t="s">
        <v>9</v>
      </c>
      <c r="D1048" s="915"/>
      <c r="E1048" s="774" t="s">
        <v>1586</v>
      </c>
      <c r="F1048" s="761">
        <v>10645.2</v>
      </c>
      <c r="G1048" s="761">
        <v>12892.9</v>
      </c>
      <c r="H1048" s="761">
        <f>10762.6+3370</f>
        <v>14132.6</v>
      </c>
      <c r="I1048" s="761">
        <v>12906.9</v>
      </c>
      <c r="J1048" s="761">
        <v>12972.3</v>
      </c>
      <c r="K1048" s="774" t="s">
        <v>1587</v>
      </c>
      <c r="L1048" s="915" t="s">
        <v>274</v>
      </c>
      <c r="M1048" s="915">
        <v>20</v>
      </c>
      <c r="N1048" s="915">
        <v>20</v>
      </c>
      <c r="O1048" s="915">
        <v>20</v>
      </c>
      <c r="P1048" s="915">
        <v>20</v>
      </c>
      <c r="Q1048" s="915">
        <v>20</v>
      </c>
    </row>
    <row r="1049" spans="2:17" ht="88.5" x14ac:dyDescent="0.25">
      <c r="B1049" s="500" t="s">
        <v>601</v>
      </c>
      <c r="C1049" s="500"/>
      <c r="D1049" s="500"/>
      <c r="E1049" s="797" t="s">
        <v>1588</v>
      </c>
      <c r="F1049" s="672">
        <f>F1050+F1053+F1054</f>
        <v>81841.100000000006</v>
      </c>
      <c r="G1049" s="672">
        <f t="shared" ref="G1049:J1049" si="102">G1050+G1053+G1054</f>
        <v>69626.100000000006</v>
      </c>
      <c r="H1049" s="672">
        <f t="shared" si="102"/>
        <v>102113.70000000001</v>
      </c>
      <c r="I1049" s="672">
        <f t="shared" si="102"/>
        <v>69675.399999999994</v>
      </c>
      <c r="J1049" s="672">
        <f t="shared" si="102"/>
        <v>69789.399999999994</v>
      </c>
      <c r="K1049" s="797"/>
      <c r="L1049" s="797"/>
      <c r="M1049" s="797"/>
      <c r="N1049" s="797"/>
      <c r="O1049" s="797"/>
      <c r="P1049" s="797"/>
      <c r="Q1049" s="797"/>
    </row>
    <row r="1050" spans="2:17" x14ac:dyDescent="0.25">
      <c r="B1050" s="1982"/>
      <c r="C1050" s="1975" t="s">
        <v>5</v>
      </c>
      <c r="D1050" s="1975"/>
      <c r="E1050" s="1838" t="s">
        <v>1589</v>
      </c>
      <c r="F1050" s="1893">
        <v>21714</v>
      </c>
      <c r="G1050" s="1893">
        <v>20514</v>
      </c>
      <c r="H1050" s="1893">
        <v>20587.599999999999</v>
      </c>
      <c r="I1050" s="1893">
        <v>20531.900000000001</v>
      </c>
      <c r="J1050" s="1893">
        <v>20571.900000000001</v>
      </c>
      <c r="K1050" s="774" t="s">
        <v>887</v>
      </c>
      <c r="L1050" s="915" t="s">
        <v>282</v>
      </c>
      <c r="M1050" s="915">
        <v>2</v>
      </c>
      <c r="N1050" s="915">
        <v>1</v>
      </c>
      <c r="O1050" s="915">
        <v>1</v>
      </c>
      <c r="P1050" s="915">
        <v>1</v>
      </c>
      <c r="Q1050" s="915">
        <v>1</v>
      </c>
    </row>
    <row r="1051" spans="2:17" x14ac:dyDescent="0.25">
      <c r="B1051" s="2063"/>
      <c r="C1051" s="2062"/>
      <c r="D1051" s="2062"/>
      <c r="E1051" s="2271"/>
      <c r="F1051" s="2103"/>
      <c r="G1051" s="2103"/>
      <c r="H1051" s="2103"/>
      <c r="I1051" s="2103"/>
      <c r="J1051" s="2103"/>
      <c r="K1051" s="774" t="s">
        <v>1590</v>
      </c>
      <c r="L1051" s="915" t="s">
        <v>282</v>
      </c>
      <c r="M1051" s="915">
        <v>6</v>
      </c>
      <c r="N1051" s="915">
        <v>3</v>
      </c>
      <c r="O1051" s="915">
        <v>3</v>
      </c>
      <c r="P1051" s="915">
        <v>3</v>
      </c>
      <c r="Q1051" s="915">
        <v>3</v>
      </c>
    </row>
    <row r="1052" spans="2:17" ht="45" x14ac:dyDescent="0.25">
      <c r="B1052" s="1983"/>
      <c r="C1052" s="1976"/>
      <c r="D1052" s="1976"/>
      <c r="E1052" s="1839"/>
      <c r="F1052" s="1894"/>
      <c r="G1052" s="1894"/>
      <c r="H1052" s="1894"/>
      <c r="I1052" s="1894"/>
      <c r="J1052" s="1894"/>
      <c r="K1052" s="774" t="s">
        <v>1591</v>
      </c>
      <c r="L1052" s="915" t="s">
        <v>282</v>
      </c>
      <c r="M1052" s="915">
        <v>10</v>
      </c>
      <c r="N1052" s="915">
        <v>10</v>
      </c>
      <c r="O1052" s="915">
        <v>10</v>
      </c>
      <c r="P1052" s="915">
        <v>10</v>
      </c>
      <c r="Q1052" s="915">
        <v>10</v>
      </c>
    </row>
    <row r="1053" spans="2:17" ht="30" x14ac:dyDescent="0.25">
      <c r="B1053" s="500"/>
      <c r="C1053" s="915" t="s">
        <v>7</v>
      </c>
      <c r="D1053" s="915"/>
      <c r="E1053" s="774" t="s">
        <v>1592</v>
      </c>
      <c r="F1053" s="761">
        <v>41477.1</v>
      </c>
      <c r="G1053" s="761">
        <v>26240.1</v>
      </c>
      <c r="H1053" s="761">
        <f>51244.3+7483.4</f>
        <v>58727.700000000004</v>
      </c>
      <c r="I1053" s="761">
        <v>26271.5</v>
      </c>
      <c r="J1053" s="761">
        <v>26345.5</v>
      </c>
      <c r="K1053" s="774" t="s">
        <v>1593</v>
      </c>
      <c r="L1053" s="915" t="s">
        <v>282</v>
      </c>
      <c r="M1053" s="915">
        <v>7</v>
      </c>
      <c r="N1053" s="915">
        <v>5</v>
      </c>
      <c r="O1053" s="915">
        <v>7</v>
      </c>
      <c r="P1053" s="915">
        <v>7</v>
      </c>
      <c r="Q1053" s="915">
        <v>7</v>
      </c>
    </row>
    <row r="1054" spans="2:17" ht="30" x14ac:dyDescent="0.25">
      <c r="B1054" s="1982"/>
      <c r="C1054" s="1975" t="s">
        <v>9</v>
      </c>
      <c r="D1054" s="1975"/>
      <c r="E1054" s="1838" t="s">
        <v>1594</v>
      </c>
      <c r="F1054" s="1893">
        <v>18650</v>
      </c>
      <c r="G1054" s="1893">
        <v>22872</v>
      </c>
      <c r="H1054" s="1893">
        <f>17161.8+5636.6</f>
        <v>22798.400000000001</v>
      </c>
      <c r="I1054" s="1893">
        <v>22872</v>
      </c>
      <c r="J1054" s="1893">
        <v>22872</v>
      </c>
      <c r="K1054" s="774" t="s">
        <v>1595</v>
      </c>
      <c r="L1054" s="915" t="s">
        <v>35</v>
      </c>
      <c r="M1054" s="915">
        <v>20</v>
      </c>
      <c r="N1054" s="915">
        <v>24</v>
      </c>
      <c r="O1054" s="915">
        <v>27</v>
      </c>
      <c r="P1054" s="915">
        <v>30</v>
      </c>
      <c r="Q1054" s="915">
        <v>30</v>
      </c>
    </row>
    <row r="1055" spans="2:17" ht="30" x14ac:dyDescent="0.25">
      <c r="B1055" s="2063"/>
      <c r="C1055" s="2062"/>
      <c r="D1055" s="2062"/>
      <c r="E1055" s="2271"/>
      <c r="F1055" s="2103"/>
      <c r="G1055" s="2103"/>
      <c r="H1055" s="2103"/>
      <c r="I1055" s="2103"/>
      <c r="J1055" s="2103"/>
      <c r="K1055" s="774" t="s">
        <v>1596</v>
      </c>
      <c r="L1055" s="915" t="s">
        <v>282</v>
      </c>
      <c r="M1055" s="915">
        <v>2300</v>
      </c>
      <c r="N1055" s="915">
        <v>2500</v>
      </c>
      <c r="O1055" s="915">
        <v>2700</v>
      </c>
      <c r="P1055" s="915">
        <v>2300</v>
      </c>
      <c r="Q1055" s="915">
        <v>2300</v>
      </c>
    </row>
    <row r="1056" spans="2:17" x14ac:dyDescent="0.25">
      <c r="B1056" s="1983"/>
      <c r="C1056" s="1976"/>
      <c r="D1056" s="1976"/>
      <c r="E1056" s="1839"/>
      <c r="F1056" s="1894"/>
      <c r="G1056" s="1894"/>
      <c r="H1056" s="1894"/>
      <c r="I1056" s="1894"/>
      <c r="J1056" s="1894"/>
      <c r="K1056" s="774" t="s">
        <v>1597</v>
      </c>
      <c r="L1056" s="915" t="s">
        <v>311</v>
      </c>
      <c r="M1056" s="915">
        <v>4419</v>
      </c>
      <c r="N1056" s="915">
        <v>4700</v>
      </c>
      <c r="O1056" s="915">
        <v>4900</v>
      </c>
      <c r="P1056" s="915">
        <v>5000</v>
      </c>
      <c r="Q1056" s="915">
        <v>5000</v>
      </c>
    </row>
    <row r="1057" spans="2:17" ht="59.25" x14ac:dyDescent="0.25">
      <c r="B1057" s="500" t="s">
        <v>1297</v>
      </c>
      <c r="C1057" s="500"/>
      <c r="D1057" s="500"/>
      <c r="E1057" s="797" t="s">
        <v>1598</v>
      </c>
      <c r="F1057" s="672">
        <v>21280.400000000001</v>
      </c>
      <c r="G1057" s="672">
        <v>8429.2999999999993</v>
      </c>
      <c r="H1057" s="672">
        <v>8429.2999999999993</v>
      </c>
      <c r="I1057" s="672">
        <v>8436.7000000000007</v>
      </c>
      <c r="J1057" s="672">
        <v>8453.5999999999985</v>
      </c>
      <c r="K1057" s="797"/>
      <c r="L1057" s="797"/>
      <c r="M1057" s="797"/>
      <c r="N1057" s="797"/>
      <c r="O1057" s="797"/>
      <c r="P1057" s="797"/>
      <c r="Q1057" s="797"/>
    </row>
    <row r="1058" spans="2:17" ht="60" x14ac:dyDescent="0.25">
      <c r="B1058" s="500"/>
      <c r="C1058" s="915" t="s">
        <v>5</v>
      </c>
      <c r="D1058" s="915"/>
      <c r="E1058" s="774" t="s">
        <v>1599</v>
      </c>
      <c r="F1058" s="761">
        <v>5126.2</v>
      </c>
      <c r="G1058" s="761">
        <v>5181.5</v>
      </c>
      <c r="H1058" s="761">
        <v>5825</v>
      </c>
      <c r="I1058" s="761">
        <v>5824.9</v>
      </c>
      <c r="J1058" s="761">
        <v>5825.4</v>
      </c>
      <c r="K1058" s="774" t="s">
        <v>1600</v>
      </c>
      <c r="L1058" s="774" t="s">
        <v>1577</v>
      </c>
      <c r="M1058" s="774">
        <v>4500</v>
      </c>
      <c r="N1058" s="774">
        <v>4800</v>
      </c>
      <c r="O1058" s="774">
        <v>5100</v>
      </c>
      <c r="P1058" s="774">
        <v>5300</v>
      </c>
      <c r="Q1058" s="774">
        <v>5600</v>
      </c>
    </row>
    <row r="1059" spans="2:17" ht="30" x14ac:dyDescent="0.25">
      <c r="B1059" s="1982"/>
      <c r="C1059" s="1975" t="s">
        <v>7</v>
      </c>
      <c r="D1059" s="1975"/>
      <c r="E1059" s="1838" t="s">
        <v>1601</v>
      </c>
      <c r="F1059" s="1893">
        <v>16154.2</v>
      </c>
      <c r="G1059" s="1893">
        <v>3247.8</v>
      </c>
      <c r="H1059" s="1893">
        <v>2604.3000000000002</v>
      </c>
      <c r="I1059" s="1893">
        <v>2611.8000000000002</v>
      </c>
      <c r="J1059" s="1893">
        <v>2628.2</v>
      </c>
      <c r="K1059" s="774" t="s">
        <v>1602</v>
      </c>
      <c r="L1059" s="774" t="s">
        <v>35</v>
      </c>
      <c r="M1059" s="774">
        <v>4.8</v>
      </c>
      <c r="N1059" s="774">
        <v>5.2</v>
      </c>
      <c r="O1059" s="774">
        <v>5.6</v>
      </c>
      <c r="P1059" s="774">
        <v>6</v>
      </c>
      <c r="Q1059" s="774">
        <v>6.4</v>
      </c>
    </row>
    <row r="1060" spans="2:17" ht="30" x14ac:dyDescent="0.25">
      <c r="B1060" s="2063"/>
      <c r="C1060" s="2062"/>
      <c r="D1060" s="2062"/>
      <c r="E1060" s="2271"/>
      <c r="F1060" s="2103"/>
      <c r="G1060" s="2103"/>
      <c r="H1060" s="2103"/>
      <c r="I1060" s="2103"/>
      <c r="J1060" s="2103"/>
      <c r="K1060" s="774" t="s">
        <v>1603</v>
      </c>
      <c r="L1060" s="774" t="s">
        <v>1604</v>
      </c>
      <c r="M1060" s="774">
        <v>390</v>
      </c>
      <c r="N1060" s="774">
        <v>434</v>
      </c>
      <c r="O1060" s="774">
        <v>452</v>
      </c>
      <c r="P1060" s="774">
        <v>470</v>
      </c>
      <c r="Q1060" s="774">
        <v>489</v>
      </c>
    </row>
    <row r="1061" spans="2:17" ht="30" x14ac:dyDescent="0.25">
      <c r="B1061" s="1983"/>
      <c r="C1061" s="1976"/>
      <c r="D1061" s="1976"/>
      <c r="E1061" s="1839"/>
      <c r="F1061" s="1894"/>
      <c r="G1061" s="1894"/>
      <c r="H1061" s="1894"/>
      <c r="I1061" s="1894"/>
      <c r="J1061" s="1894"/>
      <c r="K1061" s="774" t="s">
        <v>1605</v>
      </c>
      <c r="L1061" s="774" t="s">
        <v>281</v>
      </c>
      <c r="M1061" s="774">
        <v>24400</v>
      </c>
      <c r="N1061" s="774">
        <v>27090</v>
      </c>
      <c r="O1061" s="774">
        <v>30100</v>
      </c>
      <c r="P1061" s="774">
        <v>33075</v>
      </c>
      <c r="Q1061" s="774">
        <v>36385</v>
      </c>
    </row>
    <row r="1062" spans="2:17" ht="44.25" x14ac:dyDescent="0.25">
      <c r="B1062" s="500" t="s">
        <v>1606</v>
      </c>
      <c r="C1062" s="500"/>
      <c r="D1062" s="500"/>
      <c r="E1062" s="797" t="s">
        <v>1607</v>
      </c>
      <c r="F1062" s="672">
        <f>F1063+F1064+F1065</f>
        <v>510742.9</v>
      </c>
      <c r="G1062" s="672">
        <f t="shared" ref="G1062:J1062" si="103">G1063+G1064+G1065</f>
        <v>383874.9</v>
      </c>
      <c r="H1062" s="672">
        <f t="shared" si="103"/>
        <v>383875</v>
      </c>
      <c r="I1062" s="672">
        <f t="shared" si="103"/>
        <v>384209.9</v>
      </c>
      <c r="J1062" s="672">
        <f t="shared" si="103"/>
        <v>384983.8</v>
      </c>
      <c r="K1062" s="797"/>
      <c r="L1062" s="797"/>
      <c r="M1062" s="797"/>
      <c r="N1062" s="797"/>
      <c r="O1062" s="797"/>
      <c r="P1062" s="797"/>
      <c r="Q1062" s="797"/>
    </row>
    <row r="1063" spans="2:17" ht="30" x14ac:dyDescent="0.25">
      <c r="B1063" s="915"/>
      <c r="C1063" s="915" t="s">
        <v>5</v>
      </c>
      <c r="D1063" s="915"/>
      <c r="E1063" s="774" t="s">
        <v>1608</v>
      </c>
      <c r="F1063" s="761">
        <v>28069.4</v>
      </c>
      <c r="G1063" s="761">
        <v>4876</v>
      </c>
      <c r="H1063" s="761">
        <v>9607.7999999999993</v>
      </c>
      <c r="I1063" s="761">
        <v>9612.1</v>
      </c>
      <c r="J1063" s="761">
        <v>9621.6</v>
      </c>
      <c r="K1063" s="774" t="s">
        <v>26</v>
      </c>
      <c r="L1063" s="774" t="s">
        <v>40</v>
      </c>
      <c r="M1063" s="774">
        <v>550</v>
      </c>
      <c r="N1063" s="774">
        <v>600</v>
      </c>
      <c r="O1063" s="774">
        <v>620</v>
      </c>
      <c r="P1063" s="774">
        <v>620</v>
      </c>
      <c r="Q1063" s="774">
        <v>620</v>
      </c>
    </row>
    <row r="1064" spans="2:17" ht="45" x14ac:dyDescent="0.25">
      <c r="B1064" s="915"/>
      <c r="C1064" s="915" t="s">
        <v>7</v>
      </c>
      <c r="D1064" s="915"/>
      <c r="E1064" s="774" t="s">
        <v>1609</v>
      </c>
      <c r="F1064" s="761">
        <v>150347</v>
      </c>
      <c r="G1064" s="761">
        <v>152672.5</v>
      </c>
      <c r="H1064" s="761">
        <v>72677.600000000006</v>
      </c>
      <c r="I1064" s="761">
        <v>148073.29999999999</v>
      </c>
      <c r="J1064" s="761">
        <v>148395.29999999999</v>
      </c>
      <c r="K1064" s="774" t="s">
        <v>1610</v>
      </c>
      <c r="L1064" s="774" t="s">
        <v>274</v>
      </c>
      <c r="M1064" s="774">
        <v>40</v>
      </c>
      <c r="N1064" s="774">
        <v>60</v>
      </c>
      <c r="O1064" s="774">
        <v>80</v>
      </c>
      <c r="P1064" s="774">
        <v>80</v>
      </c>
      <c r="Q1064" s="774">
        <v>80</v>
      </c>
    </row>
    <row r="1065" spans="2:17" ht="45" x14ac:dyDescent="0.25">
      <c r="B1065" s="915"/>
      <c r="C1065" s="915" t="s">
        <v>9</v>
      </c>
      <c r="D1065" s="915"/>
      <c r="E1065" s="774" t="s">
        <v>1611</v>
      </c>
      <c r="F1065" s="761">
        <v>332326.5</v>
      </c>
      <c r="G1065" s="761">
        <f>226326.5-0.1</f>
        <v>226326.39999999999</v>
      </c>
      <c r="H1065" s="761">
        <v>301589.59999999998</v>
      </c>
      <c r="I1065" s="761">
        <f>226524.4+0.1</f>
        <v>226524.5</v>
      </c>
      <c r="J1065" s="761">
        <f>226967-0.1</f>
        <v>226966.9</v>
      </c>
      <c r="K1065" s="774" t="s">
        <v>1612</v>
      </c>
      <c r="L1065" s="774" t="s">
        <v>282</v>
      </c>
      <c r="M1065" s="774">
        <v>15</v>
      </c>
      <c r="N1065" s="774">
        <v>15</v>
      </c>
      <c r="O1065" s="774">
        <v>15</v>
      </c>
      <c r="P1065" s="774">
        <v>15</v>
      </c>
      <c r="Q1065" s="774">
        <v>15</v>
      </c>
    </row>
    <row r="1066" spans="2:17" x14ac:dyDescent="0.25">
      <c r="B1066" s="1874" t="s">
        <v>85</v>
      </c>
      <c r="C1066" s="1874"/>
      <c r="D1066" s="1874"/>
      <c r="E1066" s="1874"/>
      <c r="F1066" s="317">
        <f>F1015+F1026+F1038+F1044+F1049+F1057+F1062</f>
        <v>2229675.1999999997</v>
      </c>
      <c r="G1066" s="317">
        <f t="shared" ref="G1066:J1066" si="104">G1015+G1026+G1038+G1044+G1049+G1057+G1062</f>
        <v>2002714.9000000004</v>
      </c>
      <c r="H1066" s="317">
        <f t="shared" si="104"/>
        <v>2244616.2999999998</v>
      </c>
      <c r="I1066" s="317">
        <f t="shared" si="104"/>
        <v>2025544</v>
      </c>
      <c r="J1066" s="317">
        <f t="shared" si="104"/>
        <v>2029234.5000000002</v>
      </c>
      <c r="K1066" s="767"/>
      <c r="L1066" s="767"/>
      <c r="M1066" s="767"/>
      <c r="N1066" s="767"/>
      <c r="O1066" s="767"/>
      <c r="P1066" s="767"/>
      <c r="Q1066" s="767"/>
    </row>
    <row r="1067" spans="2:17" x14ac:dyDescent="0.25">
      <c r="B1067" s="2064" t="s">
        <v>1613</v>
      </c>
      <c r="C1067" s="2065"/>
      <c r="D1067" s="2065"/>
      <c r="E1067" s="2065"/>
      <c r="F1067" s="2065"/>
      <c r="G1067" s="2065"/>
      <c r="H1067" s="2065"/>
      <c r="I1067" s="2065"/>
      <c r="J1067" s="2065"/>
      <c r="K1067" s="2065"/>
      <c r="L1067" s="2065"/>
      <c r="M1067" s="2065"/>
      <c r="N1067" s="2065"/>
      <c r="O1067" s="2065"/>
      <c r="P1067" s="2065"/>
      <c r="Q1067" s="2065"/>
    </row>
    <row r="1068" spans="2:17" x14ac:dyDescent="0.25">
      <c r="B1068" s="1696" t="s">
        <v>1614</v>
      </c>
      <c r="C1068" s="1697"/>
      <c r="D1068" s="1697"/>
      <c r="E1068" s="1697"/>
      <c r="F1068" s="1697"/>
      <c r="G1068" s="1697"/>
      <c r="H1068" s="1697"/>
      <c r="I1068" s="1697"/>
      <c r="J1068" s="1697"/>
      <c r="K1068" s="1697"/>
      <c r="L1068" s="1697"/>
      <c r="M1068" s="1697"/>
      <c r="N1068" s="1697"/>
      <c r="O1068" s="1697"/>
      <c r="P1068" s="1697"/>
      <c r="Q1068" s="1697"/>
    </row>
    <row r="1069" spans="2:17" ht="28.5" x14ac:dyDescent="0.25">
      <c r="B1069" s="856">
        <v>1</v>
      </c>
      <c r="C1069" s="793"/>
      <c r="D1069" s="951"/>
      <c r="E1069" s="1004" t="s">
        <v>910</v>
      </c>
      <c r="F1069" s="1005">
        <f>F1070+F1072</f>
        <v>797.4</v>
      </c>
      <c r="G1069" s="1005">
        <f t="shared" ref="G1069:J1069" si="105">G1070+G1072</f>
        <v>842.7</v>
      </c>
      <c r="H1069" s="1005">
        <f t="shared" si="105"/>
        <v>1194.7</v>
      </c>
      <c r="I1069" s="1005">
        <f t="shared" si="105"/>
        <v>843.4</v>
      </c>
      <c r="J1069" s="1005">
        <f t="shared" si="105"/>
        <v>845.1</v>
      </c>
      <c r="K1069" s="797" t="s">
        <v>38</v>
      </c>
      <c r="L1069" s="500" t="s">
        <v>35</v>
      </c>
      <c r="M1069" s="775">
        <v>100</v>
      </c>
      <c r="N1069" s="775">
        <v>100</v>
      </c>
      <c r="O1069" s="775">
        <v>100</v>
      </c>
      <c r="P1069" s="775">
        <v>100</v>
      </c>
      <c r="Q1069" s="775">
        <v>100</v>
      </c>
    </row>
    <row r="1070" spans="2:17" ht="45" x14ac:dyDescent="0.25">
      <c r="B1070" s="1006"/>
      <c r="C1070" s="793" t="s">
        <v>5</v>
      </c>
      <c r="D1070" s="950"/>
      <c r="E1070" s="126" t="s">
        <v>6</v>
      </c>
      <c r="F1070" s="761">
        <v>797.4</v>
      </c>
      <c r="G1070" s="761">
        <v>842.7</v>
      </c>
      <c r="H1070" s="761">
        <v>842.7</v>
      </c>
      <c r="I1070" s="761">
        <v>843.4</v>
      </c>
      <c r="J1070" s="761">
        <v>845.1</v>
      </c>
      <c r="K1070" s="774" t="s">
        <v>1615</v>
      </c>
      <c r="L1070" s="915" t="s">
        <v>35</v>
      </c>
      <c r="M1070" s="500">
        <v>100</v>
      </c>
      <c r="N1070" s="500">
        <v>100</v>
      </c>
      <c r="O1070" s="500">
        <v>100</v>
      </c>
      <c r="P1070" s="500">
        <v>100</v>
      </c>
      <c r="Q1070" s="500">
        <v>100</v>
      </c>
    </row>
    <row r="1071" spans="2:17" ht="42.75" x14ac:dyDescent="0.25">
      <c r="B1071" s="856">
        <v>8</v>
      </c>
      <c r="C1071" s="793"/>
      <c r="D1071" s="950"/>
      <c r="E1071" s="1007" t="s">
        <v>1616</v>
      </c>
      <c r="F1071" s="672">
        <f>F1072</f>
        <v>0</v>
      </c>
      <c r="G1071" s="672">
        <f t="shared" ref="G1071:J1071" si="106">G1072</f>
        <v>0</v>
      </c>
      <c r="H1071" s="672">
        <f t="shared" si="106"/>
        <v>352</v>
      </c>
      <c r="I1071" s="672">
        <f t="shared" si="106"/>
        <v>0</v>
      </c>
      <c r="J1071" s="672">
        <f t="shared" si="106"/>
        <v>0</v>
      </c>
      <c r="K1071" s="774"/>
      <c r="L1071" s="915"/>
      <c r="M1071" s="500"/>
      <c r="N1071" s="500"/>
      <c r="O1071" s="500"/>
      <c r="P1071" s="500"/>
      <c r="Q1071" s="500"/>
    </row>
    <row r="1072" spans="2:17" ht="45" x14ac:dyDescent="0.25">
      <c r="B1072" s="1006"/>
      <c r="C1072" s="793" t="s">
        <v>7</v>
      </c>
      <c r="D1072" s="950"/>
      <c r="E1072" s="126" t="s">
        <v>1617</v>
      </c>
      <c r="F1072" s="79"/>
      <c r="G1072" s="79"/>
      <c r="H1072" s="79">
        <v>352</v>
      </c>
      <c r="I1072" s="79"/>
      <c r="J1072" s="79"/>
      <c r="K1072" s="774" t="s">
        <v>1618</v>
      </c>
      <c r="L1072" s="915" t="s">
        <v>40</v>
      </c>
      <c r="M1072" s="500"/>
      <c r="N1072" s="500"/>
      <c r="O1072" s="500"/>
      <c r="P1072" s="500"/>
      <c r="Q1072" s="500">
        <v>3</v>
      </c>
    </row>
    <row r="1073" spans="2:17" x14ac:dyDescent="0.25">
      <c r="B1073" s="1874" t="s">
        <v>85</v>
      </c>
      <c r="C1073" s="1874"/>
      <c r="D1073" s="1874"/>
      <c r="E1073" s="1874"/>
      <c r="F1073" s="1008">
        <f>F1069</f>
        <v>797.4</v>
      </c>
      <c r="G1073" s="1008">
        <f t="shared" ref="G1073:J1073" si="107">G1069</f>
        <v>842.7</v>
      </c>
      <c r="H1073" s="1008">
        <f t="shared" si="107"/>
        <v>1194.7</v>
      </c>
      <c r="I1073" s="1008">
        <f t="shared" si="107"/>
        <v>843.4</v>
      </c>
      <c r="J1073" s="1008">
        <f t="shared" si="107"/>
        <v>845.1</v>
      </c>
      <c r="K1073" s="1009"/>
      <c r="L1073" s="2269"/>
      <c r="M1073" s="2269"/>
      <c r="N1073" s="2269"/>
      <c r="O1073" s="2269"/>
      <c r="P1073" s="2269"/>
      <c r="Q1073" s="2269"/>
    </row>
    <row r="1074" spans="2:17" x14ac:dyDescent="0.25">
      <c r="B1074" s="1710" t="s">
        <v>1619</v>
      </c>
      <c r="C1074" s="1710"/>
      <c r="D1074" s="1710"/>
      <c r="E1074" s="1710"/>
      <c r="F1074" s="1710"/>
      <c r="G1074" s="1710"/>
      <c r="H1074" s="1710"/>
      <c r="I1074" s="1710"/>
      <c r="J1074" s="1710"/>
      <c r="K1074" s="1710"/>
      <c r="L1074" s="1710"/>
      <c r="M1074" s="1710"/>
      <c r="N1074" s="1710"/>
      <c r="O1074" s="1710"/>
      <c r="P1074" s="1710"/>
      <c r="Q1074" s="1710"/>
    </row>
    <row r="1075" spans="2:17" ht="73.5" x14ac:dyDescent="0.25">
      <c r="B1075" s="1010">
        <v>1</v>
      </c>
      <c r="C1075" s="1011"/>
      <c r="D1075" s="337"/>
      <c r="E1075" s="338" t="s">
        <v>1620</v>
      </c>
      <c r="F1075" s="1012">
        <f t="shared" ref="F1075:G1075" si="108">F1076+F1077+F1081+F1078+F1079+F1080</f>
        <v>10280.6</v>
      </c>
      <c r="G1075" s="1012">
        <f t="shared" si="108"/>
        <v>10280.799999999999</v>
      </c>
      <c r="H1075" s="366">
        <f>H1076+H1077+H1081+H1078+H1079+H1080</f>
        <v>10323.299999999999</v>
      </c>
      <c r="I1075" s="366">
        <f>I1076+I1077+I1081+I1078+I1079+I1080</f>
        <v>11216.399999999998</v>
      </c>
      <c r="J1075" s="366">
        <f>J1076+J1077+J1081+J1078+J1079+J1080</f>
        <v>11216.399999999998</v>
      </c>
      <c r="K1075" s="339" t="s">
        <v>34</v>
      </c>
      <c r="L1075" s="340" t="s">
        <v>35</v>
      </c>
      <c r="M1075" s="340">
        <v>100</v>
      </c>
      <c r="N1075" s="340">
        <v>100</v>
      </c>
      <c r="O1075" s="340">
        <v>100</v>
      </c>
      <c r="P1075" s="340">
        <v>100</v>
      </c>
      <c r="Q1075" s="340">
        <v>100</v>
      </c>
    </row>
    <row r="1076" spans="2:17" x14ac:dyDescent="0.25">
      <c r="B1076" s="341"/>
      <c r="C1076" s="532">
        <v>1</v>
      </c>
      <c r="D1076" s="336"/>
      <c r="E1076" s="343" t="s">
        <v>6</v>
      </c>
      <c r="F1076" s="673">
        <v>4811.3</v>
      </c>
      <c r="G1076" s="673">
        <v>4811.3999999999996</v>
      </c>
      <c r="H1076" s="364">
        <v>4821.7</v>
      </c>
      <c r="I1076" s="364">
        <f>H1076+297.7</f>
        <v>5119.3999999999996</v>
      </c>
      <c r="J1076" s="364">
        <f>I1076</f>
        <v>5119.3999999999996</v>
      </c>
      <c r="K1076" s="344" t="s">
        <v>36</v>
      </c>
      <c r="L1076" s="329" t="s">
        <v>37</v>
      </c>
      <c r="M1076" s="360"/>
      <c r="N1076" s="360"/>
      <c r="O1076" s="360"/>
      <c r="P1076" s="360"/>
      <c r="Q1076" s="360"/>
    </row>
    <row r="1077" spans="2:17" ht="30" x14ac:dyDescent="0.25">
      <c r="B1077" s="341"/>
      <c r="C1077" s="504">
        <v>2</v>
      </c>
      <c r="D1077" s="336"/>
      <c r="E1077" s="346" t="s">
        <v>8</v>
      </c>
      <c r="F1077" s="673">
        <v>2323.5</v>
      </c>
      <c r="G1077" s="673">
        <v>2323.6</v>
      </c>
      <c r="H1077" s="364">
        <v>2296.1</v>
      </c>
      <c r="I1077" s="364">
        <f>H1077+297.7</f>
        <v>2593.7999999999997</v>
      </c>
      <c r="J1077" s="364">
        <f>I1077</f>
        <v>2593.7999999999997</v>
      </c>
      <c r="K1077" s="344" t="s">
        <v>38</v>
      </c>
      <c r="L1077" s="329" t="s">
        <v>35</v>
      </c>
      <c r="M1077" s="360">
        <v>100</v>
      </c>
      <c r="N1077" s="360">
        <v>100</v>
      </c>
      <c r="O1077" s="360">
        <v>100</v>
      </c>
      <c r="P1077" s="360">
        <v>100</v>
      </c>
      <c r="Q1077" s="360">
        <v>100</v>
      </c>
    </row>
    <row r="1078" spans="2:17" ht="30" x14ac:dyDescent="0.25">
      <c r="B1078" s="341"/>
      <c r="C1078" s="504">
        <v>3</v>
      </c>
      <c r="D1078" s="336"/>
      <c r="E1078" s="346" t="s">
        <v>10</v>
      </c>
      <c r="F1078" s="673"/>
      <c r="G1078" s="673"/>
      <c r="H1078" s="364"/>
      <c r="I1078" s="364"/>
      <c r="J1078" s="364"/>
      <c r="K1078" s="348" t="s">
        <v>39</v>
      </c>
      <c r="L1078" s="329" t="s">
        <v>35</v>
      </c>
      <c r="M1078" s="360"/>
      <c r="N1078" s="360"/>
      <c r="O1078" s="360"/>
      <c r="P1078" s="360"/>
      <c r="Q1078" s="360"/>
    </row>
    <row r="1079" spans="2:17" ht="30" x14ac:dyDescent="0.25">
      <c r="B1079" s="341"/>
      <c r="C1079" s="504">
        <v>4</v>
      </c>
      <c r="D1079" s="336"/>
      <c r="E1079" s="346" t="s">
        <v>12</v>
      </c>
      <c r="F1079" s="673"/>
      <c r="G1079" s="673"/>
      <c r="H1079" s="364"/>
      <c r="I1079" s="364"/>
      <c r="J1079" s="364"/>
      <c r="K1079" s="344" t="s">
        <v>191</v>
      </c>
      <c r="L1079" s="329" t="s">
        <v>192</v>
      </c>
      <c r="M1079" s="360"/>
      <c r="N1079" s="360"/>
      <c r="O1079" s="360"/>
      <c r="P1079" s="360"/>
      <c r="Q1079" s="360"/>
    </row>
    <row r="1080" spans="2:17" ht="30" x14ac:dyDescent="0.25">
      <c r="B1080" s="341"/>
      <c r="C1080" s="504">
        <v>5</v>
      </c>
      <c r="D1080" s="336"/>
      <c r="E1080" s="346" t="s">
        <v>13</v>
      </c>
      <c r="F1080" s="673"/>
      <c r="G1080" s="673"/>
      <c r="H1080" s="364"/>
      <c r="I1080" s="364"/>
      <c r="J1080" s="364"/>
      <c r="K1080" s="344" t="s">
        <v>194</v>
      </c>
      <c r="L1080" s="329" t="s">
        <v>40</v>
      </c>
      <c r="M1080" s="360"/>
      <c r="N1080" s="360"/>
      <c r="O1080" s="360"/>
      <c r="P1080" s="360"/>
      <c r="Q1080" s="360"/>
    </row>
    <row r="1081" spans="2:17" ht="30" x14ac:dyDescent="0.25">
      <c r="B1081" s="341"/>
      <c r="C1081" s="1013">
        <v>6</v>
      </c>
      <c r="D1081" s="336"/>
      <c r="E1081" s="328" t="s">
        <v>14</v>
      </c>
      <c r="F1081" s="673">
        <v>3145.8</v>
      </c>
      <c r="G1081" s="673">
        <v>3145.8</v>
      </c>
      <c r="H1081" s="364">
        <v>3205.5</v>
      </c>
      <c r="I1081" s="364">
        <f>H1081+297.7</f>
        <v>3503.2</v>
      </c>
      <c r="J1081" s="364">
        <f>I1081</f>
        <v>3503.2</v>
      </c>
      <c r="K1081" s="344" t="s">
        <v>196</v>
      </c>
      <c r="L1081" s="329" t="s">
        <v>35</v>
      </c>
      <c r="M1081" s="360"/>
      <c r="N1081" s="360"/>
      <c r="O1081" s="360"/>
      <c r="P1081" s="360"/>
      <c r="Q1081" s="360"/>
    </row>
    <row r="1082" spans="2:17" ht="30" x14ac:dyDescent="0.25">
      <c r="B1082" s="341"/>
      <c r="C1082" s="1013">
        <v>7</v>
      </c>
      <c r="D1082" s="336"/>
      <c r="E1082" s="328" t="s">
        <v>464</v>
      </c>
      <c r="F1082" s="673"/>
      <c r="G1082" s="673"/>
      <c r="H1082" s="364"/>
      <c r="I1082" s="364"/>
      <c r="J1082" s="364"/>
      <c r="K1082" s="344"/>
      <c r="L1082" s="329"/>
      <c r="M1082" s="360"/>
      <c r="N1082" s="360"/>
      <c r="O1082" s="360"/>
      <c r="P1082" s="360"/>
      <c r="Q1082" s="360"/>
    </row>
    <row r="1083" spans="2:17" x14ac:dyDescent="0.25">
      <c r="B1083" s="341"/>
      <c r="C1083" s="1013">
        <v>8</v>
      </c>
      <c r="D1083" s="336"/>
      <c r="E1083" s="328" t="s">
        <v>333</v>
      </c>
      <c r="F1083" s="673"/>
      <c r="G1083" s="673"/>
      <c r="H1083" s="364"/>
      <c r="I1083" s="364"/>
      <c r="J1083" s="364"/>
      <c r="K1083" s="344"/>
      <c r="L1083" s="329"/>
      <c r="M1083" s="360"/>
      <c r="N1083" s="360"/>
      <c r="O1083" s="360"/>
      <c r="P1083" s="360"/>
      <c r="Q1083" s="360"/>
    </row>
    <row r="1084" spans="2:17" ht="88.5" x14ac:dyDescent="0.25">
      <c r="B1084" s="352" t="s">
        <v>1621</v>
      </c>
      <c r="C1084" s="353"/>
      <c r="D1084" s="353"/>
      <c r="E1084" s="354" t="s">
        <v>1622</v>
      </c>
      <c r="F1084" s="671">
        <f t="shared" ref="F1084:G1084" si="109">SUM(F1085:F1087)</f>
        <v>11665.7</v>
      </c>
      <c r="G1084" s="671">
        <f t="shared" si="109"/>
        <v>11665.7</v>
      </c>
      <c r="H1084" s="359">
        <f>SUM(H1085:H1087)</f>
        <v>11623.2</v>
      </c>
      <c r="I1084" s="359">
        <f>I1085+I1086+I1087</f>
        <v>12516.2</v>
      </c>
      <c r="J1084" s="359">
        <f>I1084</f>
        <v>12516.2</v>
      </c>
      <c r="K1084" s="328" t="s">
        <v>1623</v>
      </c>
      <c r="L1084" s="328" t="s">
        <v>282</v>
      </c>
      <c r="M1084" s="329">
        <v>49500</v>
      </c>
      <c r="N1084" s="1014">
        <v>50500</v>
      </c>
      <c r="O1084" s="1014">
        <v>51000</v>
      </c>
      <c r="P1084" s="1014">
        <v>51500</v>
      </c>
      <c r="Q1084" s="1014">
        <v>52000</v>
      </c>
    </row>
    <row r="1085" spans="2:17" ht="60" x14ac:dyDescent="0.25">
      <c r="B1085" s="358"/>
      <c r="C1085" s="533" t="s">
        <v>5</v>
      </c>
      <c r="D1085" s="353"/>
      <c r="E1085" s="328" t="s">
        <v>1624</v>
      </c>
      <c r="F1085" s="667">
        <v>4766.2</v>
      </c>
      <c r="G1085" s="667">
        <v>4766.2</v>
      </c>
      <c r="H1085" s="364">
        <v>4795.6000000000004</v>
      </c>
      <c r="I1085" s="364">
        <f>H1085+297.7</f>
        <v>5093.3</v>
      </c>
      <c r="J1085" s="364">
        <f>I1085</f>
        <v>5093.3</v>
      </c>
      <c r="K1085" s="328" t="s">
        <v>1625</v>
      </c>
      <c r="L1085" s="328" t="s">
        <v>1626</v>
      </c>
      <c r="M1085" s="328">
        <v>11</v>
      </c>
      <c r="N1085" s="1015">
        <v>12</v>
      </c>
      <c r="O1085" s="1015">
        <v>12</v>
      </c>
      <c r="P1085" s="1015">
        <v>12</v>
      </c>
      <c r="Q1085" s="1015">
        <v>12</v>
      </c>
    </row>
    <row r="1086" spans="2:17" ht="30" x14ac:dyDescent="0.25">
      <c r="B1086" s="358"/>
      <c r="C1086" s="533" t="s">
        <v>7</v>
      </c>
      <c r="D1086" s="353"/>
      <c r="E1086" s="328" t="s">
        <v>1627</v>
      </c>
      <c r="F1086" s="667">
        <v>2702.3</v>
      </c>
      <c r="G1086" s="667">
        <v>2702.3</v>
      </c>
      <c r="H1086" s="364">
        <v>2602.6999999999998</v>
      </c>
      <c r="I1086" s="364">
        <f>H1086+297.7</f>
        <v>2900.3999999999996</v>
      </c>
      <c r="J1086" s="364">
        <f>I1086</f>
        <v>2900.3999999999996</v>
      </c>
      <c r="K1086" s="328" t="s">
        <v>1628</v>
      </c>
      <c r="L1086" s="328" t="s">
        <v>282</v>
      </c>
      <c r="M1086" s="328">
        <v>5000</v>
      </c>
      <c r="N1086" s="331">
        <v>5100</v>
      </c>
      <c r="O1086" s="331">
        <v>5200</v>
      </c>
      <c r="P1086" s="331">
        <v>5300</v>
      </c>
      <c r="Q1086" s="331">
        <v>5400</v>
      </c>
    </row>
    <row r="1087" spans="2:17" ht="30" x14ac:dyDescent="0.25">
      <c r="B1087" s="1016"/>
      <c r="C1087" s="505" t="s">
        <v>9</v>
      </c>
      <c r="D1087" s="1017"/>
      <c r="E1087" s="328" t="s">
        <v>1629</v>
      </c>
      <c r="F1087" s="673">
        <v>4197.2</v>
      </c>
      <c r="G1087" s="673">
        <v>4197.2</v>
      </c>
      <c r="H1087" s="364">
        <v>4224.8999999999996</v>
      </c>
      <c r="I1087" s="364">
        <f>H1087+297.6</f>
        <v>4522.5</v>
      </c>
      <c r="J1087" s="364">
        <f>I1087</f>
        <v>4522.5</v>
      </c>
      <c r="K1087" s="328" t="s">
        <v>1630</v>
      </c>
      <c r="L1087" s="328" t="s">
        <v>274</v>
      </c>
      <c r="M1087" s="328">
        <v>924000</v>
      </c>
      <c r="N1087" s="1015">
        <v>1056000</v>
      </c>
      <c r="O1087" s="1015">
        <v>1100000</v>
      </c>
      <c r="P1087" s="1015">
        <v>1188000</v>
      </c>
      <c r="Q1087" s="1015">
        <v>1320000</v>
      </c>
    </row>
    <row r="1088" spans="2:17" x14ac:dyDescent="0.25">
      <c r="B1088" s="1738" t="s">
        <v>85</v>
      </c>
      <c r="C1088" s="1738"/>
      <c r="D1088" s="1738"/>
      <c r="E1088" s="1738"/>
      <c r="F1088" s="1018">
        <f t="shared" ref="F1088:G1088" si="110">F1075+F1084</f>
        <v>21946.300000000003</v>
      </c>
      <c r="G1088" s="1018">
        <f t="shared" si="110"/>
        <v>21946.5</v>
      </c>
      <c r="H1088" s="1018">
        <f>H1075+H1084</f>
        <v>21946.5</v>
      </c>
      <c r="I1088" s="1018">
        <f>I1075+I1084</f>
        <v>23732.6</v>
      </c>
      <c r="J1088" s="1018">
        <f>J1075+J1084</f>
        <v>23732.6</v>
      </c>
      <c r="K1088" s="506"/>
      <c r="L1088" s="2270"/>
      <c r="M1088" s="2270"/>
      <c r="N1088" s="2270"/>
      <c r="O1088" s="2270"/>
      <c r="P1088" s="2270"/>
      <c r="Q1088" s="2270"/>
    </row>
    <row r="1089" spans="2:17" x14ac:dyDescent="0.25">
      <c r="B1089" s="1710" t="s">
        <v>1631</v>
      </c>
      <c r="C1089" s="1710"/>
      <c r="D1089" s="1710"/>
      <c r="E1089" s="1710"/>
      <c r="F1089" s="1710"/>
      <c r="G1089" s="1710"/>
      <c r="H1089" s="1710"/>
      <c r="I1089" s="1710"/>
      <c r="J1089" s="1710"/>
      <c r="K1089" s="1710"/>
      <c r="L1089" s="1710"/>
      <c r="M1089" s="1710"/>
      <c r="N1089" s="1710"/>
      <c r="O1089" s="1710"/>
      <c r="P1089" s="1710"/>
      <c r="Q1089" s="1710"/>
    </row>
    <row r="1090" spans="2:17" ht="114" x14ac:dyDescent="0.25">
      <c r="B1090" s="1019">
        <v>972</v>
      </c>
      <c r="C1090" s="1020"/>
      <c r="D1090" s="1021"/>
      <c r="E1090" s="682" t="s">
        <v>1632</v>
      </c>
      <c r="F1090" s="683">
        <f>F1091</f>
        <v>17250.5</v>
      </c>
      <c r="G1090" s="683">
        <f t="shared" ref="G1090:J1090" si="111">G1091</f>
        <v>17157.599999999999</v>
      </c>
      <c r="H1090" s="683">
        <f t="shared" si="111"/>
        <v>17157.599999999999</v>
      </c>
      <c r="I1090" s="683">
        <f t="shared" si="111"/>
        <v>17170</v>
      </c>
      <c r="J1090" s="683">
        <f t="shared" si="111"/>
        <v>17198.599999999999</v>
      </c>
      <c r="K1090" s="659" t="s">
        <v>1633</v>
      </c>
      <c r="L1090" s="660" t="s">
        <v>1634</v>
      </c>
      <c r="M1090" s="660">
        <v>130</v>
      </c>
      <c r="N1090" s="660">
        <v>150</v>
      </c>
      <c r="O1090" s="660">
        <v>170</v>
      </c>
      <c r="P1090" s="660">
        <v>200</v>
      </c>
      <c r="Q1090" s="660">
        <v>210</v>
      </c>
    </row>
    <row r="1091" spans="2:17" x14ac:dyDescent="0.25">
      <c r="B1091" s="1941"/>
      <c r="C1091" s="2143">
        <v>1</v>
      </c>
      <c r="D1091" s="2144"/>
      <c r="E1091" s="2024" t="s">
        <v>1635</v>
      </c>
      <c r="F1091" s="1823">
        <v>17250.5</v>
      </c>
      <c r="G1091" s="1823">
        <v>17157.599999999999</v>
      </c>
      <c r="H1091" s="1823">
        <f>14207.6+2950</f>
        <v>17157.599999999999</v>
      </c>
      <c r="I1091" s="1823">
        <v>17170</v>
      </c>
      <c r="J1091" s="1823">
        <v>17198.599999999999</v>
      </c>
      <c r="K1091" s="659" t="s">
        <v>1636</v>
      </c>
      <c r="L1091" s="660" t="s">
        <v>282</v>
      </c>
      <c r="M1091" s="660">
        <v>6.8</v>
      </c>
      <c r="N1091" s="660">
        <v>7</v>
      </c>
      <c r="O1091" s="660">
        <v>7.5</v>
      </c>
      <c r="P1091" s="660">
        <v>8</v>
      </c>
      <c r="Q1091" s="660">
        <v>8.1999999999999993</v>
      </c>
    </row>
    <row r="1092" spans="2:17" x14ac:dyDescent="0.25">
      <c r="B1092" s="1941"/>
      <c r="C1092" s="2143"/>
      <c r="D1092" s="2144"/>
      <c r="E1092" s="2024"/>
      <c r="F1092" s="1847"/>
      <c r="G1092" s="1847"/>
      <c r="H1092" s="1847"/>
      <c r="I1092" s="1847"/>
      <c r="J1092" s="1847"/>
      <c r="K1092" s="659" t="s">
        <v>1637</v>
      </c>
      <c r="L1092" s="660"/>
      <c r="M1092" s="660">
        <v>11000</v>
      </c>
      <c r="N1092" s="660">
        <v>11700</v>
      </c>
      <c r="O1092" s="660">
        <v>12000</v>
      </c>
      <c r="P1092" s="660">
        <v>12100</v>
      </c>
      <c r="Q1092" s="660">
        <v>12200</v>
      </c>
    </row>
    <row r="1093" spans="2:17" ht="60" x14ac:dyDescent="0.25">
      <c r="B1093" s="1941"/>
      <c r="C1093" s="2143"/>
      <c r="D1093" s="2144"/>
      <c r="E1093" s="2024"/>
      <c r="F1093" s="1847"/>
      <c r="G1093" s="1847"/>
      <c r="H1093" s="1847"/>
      <c r="I1093" s="1847"/>
      <c r="J1093" s="1847"/>
      <c r="K1093" s="659" t="s">
        <v>1638</v>
      </c>
      <c r="L1093" s="660" t="s">
        <v>1639</v>
      </c>
      <c r="M1093" s="660">
        <v>14</v>
      </c>
      <c r="N1093" s="660">
        <v>15</v>
      </c>
      <c r="O1093" s="660">
        <v>16</v>
      </c>
      <c r="P1093" s="660">
        <v>17</v>
      </c>
      <c r="Q1093" s="660">
        <v>18</v>
      </c>
    </row>
    <row r="1094" spans="2:17" x14ac:dyDescent="0.25">
      <c r="B1094" s="1941"/>
      <c r="C1094" s="2143"/>
      <c r="D1094" s="2144"/>
      <c r="E1094" s="2024"/>
      <c r="F1094" s="1824"/>
      <c r="G1094" s="1824"/>
      <c r="H1094" s="1824"/>
      <c r="I1094" s="1824"/>
      <c r="J1094" s="1824"/>
      <c r="K1094" s="659" t="s">
        <v>1640</v>
      </c>
      <c r="L1094" s="660" t="s">
        <v>1641</v>
      </c>
      <c r="M1094" s="660">
        <v>3500</v>
      </c>
      <c r="N1094" s="660">
        <v>3800</v>
      </c>
      <c r="O1094" s="660">
        <v>4000</v>
      </c>
      <c r="P1094" s="660">
        <v>4200</v>
      </c>
      <c r="Q1094" s="660">
        <v>4300</v>
      </c>
    </row>
    <row r="1095" spans="2:17" x14ac:dyDescent="0.25">
      <c r="B1095" s="1874" t="s">
        <v>85</v>
      </c>
      <c r="C1095" s="1874"/>
      <c r="D1095" s="1874"/>
      <c r="E1095" s="1874"/>
      <c r="F1095" s="1008">
        <f>SUM(F1090)</f>
        <v>17250.5</v>
      </c>
      <c r="G1095" s="1008">
        <f>SUM(G1090)</f>
        <v>17157.599999999999</v>
      </c>
      <c r="H1095" s="1008">
        <f>SUM(H1090)</f>
        <v>17157.599999999999</v>
      </c>
      <c r="I1095" s="1008">
        <f>SUM(I1090)</f>
        <v>17170</v>
      </c>
      <c r="J1095" s="1008">
        <f>SUM(J1090)</f>
        <v>17198.599999999999</v>
      </c>
      <c r="K1095" s="228"/>
      <c r="L1095" s="1909"/>
      <c r="M1095" s="1909"/>
      <c r="N1095" s="1909"/>
      <c r="O1095" s="1909"/>
      <c r="P1095" s="1909"/>
      <c r="Q1095" s="1909"/>
    </row>
    <row r="1096" spans="2:17" x14ac:dyDescent="0.25">
      <c r="B1096" s="1710" t="s">
        <v>1642</v>
      </c>
      <c r="C1096" s="1710"/>
      <c r="D1096" s="1710"/>
      <c r="E1096" s="1710"/>
      <c r="F1096" s="1710"/>
      <c r="G1096" s="1710"/>
      <c r="H1096" s="1710"/>
      <c r="I1096" s="1710"/>
      <c r="J1096" s="1710"/>
      <c r="K1096" s="1710"/>
      <c r="L1096" s="1710"/>
      <c r="M1096" s="1710"/>
      <c r="N1096" s="1710"/>
      <c r="O1096" s="1710"/>
      <c r="P1096" s="1710"/>
      <c r="Q1096" s="1710"/>
    </row>
    <row r="1097" spans="2:17" ht="73.5" x14ac:dyDescent="0.25">
      <c r="B1097" s="1022">
        <v>1</v>
      </c>
      <c r="C1097" s="1023"/>
      <c r="D1097" s="1023"/>
      <c r="E1097" s="797" t="s">
        <v>71</v>
      </c>
      <c r="F1097" s="671">
        <f>F1098+F1099+F1100+F1101+F1102+F1103+F1104</f>
        <v>82988.399999999994</v>
      </c>
      <c r="G1097" s="672">
        <f>G1098+G1099+G1100+G1101+G1102+G1103+G1104</f>
        <v>77155.8</v>
      </c>
      <c r="H1097" s="1024">
        <f>H1098+H1099+H1100+H1101+H1102+H1103+H1104+H1105</f>
        <v>123117</v>
      </c>
      <c r="I1097" s="1024">
        <f>I1098+I1099+I1100+I1101+I1102+I1103+I1104+I1105</f>
        <v>123240.117</v>
      </c>
      <c r="J1097" s="1024">
        <f>J1098+J1099+J1100+J1101+J1102+J1103+J1104+J1105</f>
        <v>123486.59723399999</v>
      </c>
      <c r="K1097" s="419" t="s">
        <v>1643</v>
      </c>
      <c r="L1097" s="441" t="s">
        <v>35</v>
      </c>
      <c r="M1097" s="441">
        <v>100</v>
      </c>
      <c r="N1097" s="441"/>
      <c r="O1097" s="441"/>
      <c r="P1097" s="441"/>
      <c r="Q1097" s="441"/>
    </row>
    <row r="1098" spans="2:17" x14ac:dyDescent="0.25">
      <c r="B1098" s="1025"/>
      <c r="C1098" s="1026">
        <v>1</v>
      </c>
      <c r="D1098" s="1027"/>
      <c r="E1098" s="692" t="s">
        <v>6</v>
      </c>
      <c r="F1098" s="1028">
        <v>14273.7</v>
      </c>
      <c r="G1098" s="761">
        <f>13985.8-1156.8</f>
        <v>12829</v>
      </c>
      <c r="H1098" s="1029">
        <v>8443.7000000000007</v>
      </c>
      <c r="I1098" s="1030">
        <f>H1098*100.1/100</f>
        <v>8452.1437000000005</v>
      </c>
      <c r="J1098" s="1030">
        <f>I1098*100.2/100</f>
        <v>8469.0479874000011</v>
      </c>
      <c r="K1098" s="419" t="s">
        <v>36</v>
      </c>
      <c r="L1098" s="416" t="s">
        <v>37</v>
      </c>
      <c r="M1098" s="416">
        <v>96</v>
      </c>
      <c r="N1098" s="416"/>
      <c r="O1098" s="416"/>
      <c r="P1098" s="416"/>
      <c r="Q1098" s="416"/>
    </row>
    <row r="1099" spans="2:17" ht="30" x14ac:dyDescent="0.25">
      <c r="B1099" s="1025"/>
      <c r="C1099" s="1026">
        <v>2</v>
      </c>
      <c r="D1099" s="1027"/>
      <c r="E1099" s="692" t="s">
        <v>8</v>
      </c>
      <c r="F1099" s="1028">
        <v>7908.8</v>
      </c>
      <c r="G1099" s="761">
        <f>7806-500</f>
        <v>7306</v>
      </c>
      <c r="H1099" s="1029"/>
      <c r="I1099" s="1030">
        <f t="shared" ref="I1099:I1105" si="112">H1099*100.1/100</f>
        <v>0</v>
      </c>
      <c r="J1099" s="1030">
        <f t="shared" ref="J1099:J1105" si="113">I1099*100.2/100</f>
        <v>0</v>
      </c>
      <c r="K1099" s="419" t="s">
        <v>1644</v>
      </c>
      <c r="L1099" s="416" t="s">
        <v>35</v>
      </c>
      <c r="M1099" s="416">
        <v>100</v>
      </c>
      <c r="N1099" s="416"/>
      <c r="O1099" s="416"/>
      <c r="P1099" s="416"/>
      <c r="Q1099" s="416"/>
    </row>
    <row r="1100" spans="2:17" ht="30" x14ac:dyDescent="0.25">
      <c r="B1100" s="1025"/>
      <c r="C1100" s="1026">
        <v>3</v>
      </c>
      <c r="D1100" s="1027"/>
      <c r="E1100" s="692" t="s">
        <v>10</v>
      </c>
      <c r="F1100" s="1028">
        <v>9651.6</v>
      </c>
      <c r="G1100" s="761">
        <f>9432.3-1000</f>
        <v>8432.2999999999993</v>
      </c>
      <c r="H1100" s="1029"/>
      <c r="I1100" s="1030">
        <f t="shared" si="112"/>
        <v>0</v>
      </c>
      <c r="J1100" s="1030">
        <f t="shared" si="113"/>
        <v>0</v>
      </c>
      <c r="K1100" s="419" t="s">
        <v>39</v>
      </c>
      <c r="L1100" s="416" t="s">
        <v>35</v>
      </c>
      <c r="M1100" s="416">
        <v>0</v>
      </c>
      <c r="N1100" s="416"/>
      <c r="O1100" s="416"/>
      <c r="P1100" s="416"/>
      <c r="Q1100" s="416"/>
    </row>
    <row r="1101" spans="2:17" ht="30" x14ac:dyDescent="0.25">
      <c r="B1101" s="1025"/>
      <c r="C1101" s="1026">
        <v>4</v>
      </c>
      <c r="D1101" s="1027"/>
      <c r="E1101" s="692" t="s">
        <v>12</v>
      </c>
      <c r="F1101" s="1028">
        <v>3643.2</v>
      </c>
      <c r="G1101" s="761">
        <v>3577.8</v>
      </c>
      <c r="H1101" s="1029"/>
      <c r="I1101" s="1030">
        <f t="shared" si="112"/>
        <v>0</v>
      </c>
      <c r="J1101" s="1030">
        <f t="shared" si="113"/>
        <v>0</v>
      </c>
      <c r="K1101" s="419" t="s">
        <v>1645</v>
      </c>
      <c r="L1101" s="416" t="s">
        <v>192</v>
      </c>
      <c r="M1101" s="416">
        <v>4</v>
      </c>
      <c r="N1101" s="416"/>
      <c r="O1101" s="416"/>
      <c r="P1101" s="416"/>
      <c r="Q1101" s="416"/>
    </row>
    <row r="1102" spans="2:17" ht="45" x14ac:dyDescent="0.25">
      <c r="B1102" s="1025"/>
      <c r="C1102" s="1026">
        <v>5</v>
      </c>
      <c r="D1102" s="1027"/>
      <c r="E1102" s="692" t="s">
        <v>13</v>
      </c>
      <c r="F1102" s="1028">
        <v>6539.5</v>
      </c>
      <c r="G1102" s="761">
        <f>6423.8-500</f>
        <v>5923.8</v>
      </c>
      <c r="H1102" s="1029"/>
      <c r="I1102" s="1030">
        <f t="shared" si="112"/>
        <v>0</v>
      </c>
      <c r="J1102" s="1030">
        <f t="shared" si="113"/>
        <v>0</v>
      </c>
      <c r="K1102" s="419" t="s">
        <v>1646</v>
      </c>
      <c r="L1102" s="416" t="s">
        <v>1647</v>
      </c>
      <c r="M1102" s="416">
        <v>12682</v>
      </c>
      <c r="N1102" s="416"/>
      <c r="O1102" s="416"/>
      <c r="P1102" s="416"/>
      <c r="Q1102" s="416"/>
    </row>
    <row r="1103" spans="2:17" ht="30" x14ac:dyDescent="0.25">
      <c r="B1103" s="1025"/>
      <c r="C1103" s="1026">
        <v>6</v>
      </c>
      <c r="D1103" s="1027"/>
      <c r="E1103" s="774" t="s">
        <v>14</v>
      </c>
      <c r="F1103" s="673">
        <v>34150</v>
      </c>
      <c r="G1103" s="761">
        <v>32419.200000000001</v>
      </c>
      <c r="H1103" s="1029">
        <v>13884.3</v>
      </c>
      <c r="I1103" s="1030">
        <f t="shared" si="112"/>
        <v>13898.184299999999</v>
      </c>
      <c r="J1103" s="1030">
        <f t="shared" si="113"/>
        <v>13925.980668599999</v>
      </c>
      <c r="K1103" s="419" t="s">
        <v>1648</v>
      </c>
      <c r="L1103" s="416" t="s">
        <v>35</v>
      </c>
      <c r="M1103" s="416">
        <v>0</v>
      </c>
      <c r="N1103" s="416"/>
      <c r="O1103" s="416"/>
      <c r="P1103" s="416"/>
      <c r="Q1103" s="416"/>
    </row>
    <row r="1104" spans="2:17" ht="30" x14ac:dyDescent="0.25">
      <c r="B1104" s="1025"/>
      <c r="C1104" s="1026">
        <v>7</v>
      </c>
      <c r="D1104" s="1027"/>
      <c r="E1104" s="774" t="s">
        <v>1649</v>
      </c>
      <c r="F1104" s="673">
        <v>6821.6</v>
      </c>
      <c r="G1104" s="761">
        <v>6667.7</v>
      </c>
      <c r="H1104" s="1029"/>
      <c r="I1104" s="1030">
        <f t="shared" si="112"/>
        <v>0</v>
      </c>
      <c r="J1104" s="1030">
        <f t="shared" si="113"/>
        <v>0</v>
      </c>
      <c r="K1104" s="419"/>
      <c r="L1104" s="416" t="s">
        <v>35</v>
      </c>
      <c r="M1104" s="416"/>
      <c r="N1104" s="416"/>
      <c r="O1104" s="416"/>
      <c r="P1104" s="416"/>
      <c r="Q1104" s="416"/>
    </row>
    <row r="1105" spans="2:17" ht="45" x14ac:dyDescent="0.25">
      <c r="B1105" s="1025"/>
      <c r="C1105" s="1026">
        <v>52</v>
      </c>
      <c r="D1105" s="1027"/>
      <c r="E1105" s="774" t="s">
        <v>1650</v>
      </c>
      <c r="F1105" s="673">
        <v>0</v>
      </c>
      <c r="G1105" s="761">
        <v>0</v>
      </c>
      <c r="H1105" s="1029">
        <v>100789</v>
      </c>
      <c r="I1105" s="1030">
        <f t="shared" si="112"/>
        <v>100889.78899999999</v>
      </c>
      <c r="J1105" s="1030">
        <f t="shared" si="113"/>
        <v>101091.56857799999</v>
      </c>
      <c r="K1105" s="419" t="s">
        <v>1651</v>
      </c>
      <c r="L1105" s="416" t="s">
        <v>35</v>
      </c>
      <c r="M1105" s="416">
        <v>0</v>
      </c>
      <c r="N1105" s="416"/>
      <c r="O1105" s="416"/>
      <c r="P1105" s="416"/>
      <c r="Q1105" s="416"/>
    </row>
    <row r="1106" spans="2:17" ht="88.5" x14ac:dyDescent="0.25">
      <c r="B1106" s="699" t="s">
        <v>467</v>
      </c>
      <c r="C1106" s="699"/>
      <c r="D1106" s="699"/>
      <c r="E1106" s="797" t="s">
        <v>1652</v>
      </c>
      <c r="F1106" s="672">
        <f>F1107+F1108+F1109+F1110</f>
        <v>290220.7</v>
      </c>
      <c r="G1106" s="672">
        <f>G1107+G1108+G1109+G1110</f>
        <v>427754.7</v>
      </c>
      <c r="H1106" s="1024">
        <f>H1107+H1108+H1109+H1110</f>
        <v>570100.69999999995</v>
      </c>
      <c r="I1106" s="1024">
        <f>I1107+I1108+I1109+I1110</f>
        <v>715206.42370000004</v>
      </c>
      <c r="J1106" s="1024">
        <f>J1107+J1108+J1109+J1110</f>
        <v>483726.30094739998</v>
      </c>
      <c r="K1106" s="952" t="s">
        <v>1653</v>
      </c>
      <c r="L1106" s="500" t="s">
        <v>35</v>
      </c>
      <c r="M1106" s="500">
        <v>98</v>
      </c>
      <c r="N1106" s="1031"/>
      <c r="O1106" s="1031"/>
      <c r="P1106" s="1031"/>
      <c r="Q1106" s="1031"/>
    </row>
    <row r="1107" spans="2:17" ht="60" x14ac:dyDescent="0.25">
      <c r="B1107" s="1032"/>
      <c r="C1107" s="1032" t="s">
        <v>5</v>
      </c>
      <c r="D1107" s="1032"/>
      <c r="E1107" s="774" t="s">
        <v>1654</v>
      </c>
      <c r="F1107" s="673">
        <f>14531.5</f>
        <v>14531.5</v>
      </c>
      <c r="G1107" s="761">
        <f>14271.9+2581.1</f>
        <v>16853</v>
      </c>
      <c r="H1107" s="1029">
        <v>14923.7</v>
      </c>
      <c r="I1107" s="1030">
        <f>H1107*100.1/100</f>
        <v>14938.623699999998</v>
      </c>
      <c r="J1107" s="1030">
        <f>I1107*100.2/100</f>
        <v>14968.500947399998</v>
      </c>
      <c r="K1107" s="419" t="s">
        <v>1655</v>
      </c>
      <c r="L1107" s="416" t="s">
        <v>1647</v>
      </c>
      <c r="M1107" s="416">
        <v>1857</v>
      </c>
      <c r="N1107" s="1027"/>
      <c r="O1107" s="1027"/>
      <c r="P1107" s="1027"/>
      <c r="Q1107" s="1027"/>
    </row>
    <row r="1108" spans="2:17" x14ac:dyDescent="0.25">
      <c r="B1108" s="2043"/>
      <c r="C1108" s="2043" t="s">
        <v>7</v>
      </c>
      <c r="D1108" s="2043"/>
      <c r="E1108" s="2034" t="s">
        <v>1656</v>
      </c>
      <c r="F1108" s="2260">
        <v>147265.1</v>
      </c>
      <c r="G1108" s="1893">
        <v>144852</v>
      </c>
      <c r="H1108" s="2071">
        <v>144867</v>
      </c>
      <c r="I1108" s="2075">
        <v>145011.9</v>
      </c>
      <c r="J1108" s="2075">
        <v>145301.79999999999</v>
      </c>
      <c r="K1108" s="2262" t="s">
        <v>1657</v>
      </c>
      <c r="L1108" s="2265" t="s">
        <v>35</v>
      </c>
      <c r="M1108" s="2265">
        <v>98</v>
      </c>
      <c r="N1108" s="2267"/>
      <c r="O1108" s="2267"/>
      <c r="P1108" s="2267"/>
      <c r="Q1108" s="2267"/>
    </row>
    <row r="1109" spans="2:17" x14ac:dyDescent="0.25">
      <c r="B1109" s="2043"/>
      <c r="C1109" s="2043"/>
      <c r="D1109" s="2043"/>
      <c r="E1109" s="2034"/>
      <c r="F1109" s="2261"/>
      <c r="G1109" s="1894"/>
      <c r="H1109" s="2073"/>
      <c r="I1109" s="2077"/>
      <c r="J1109" s="2077"/>
      <c r="K1109" s="2263"/>
      <c r="L1109" s="2266"/>
      <c r="M1109" s="2266"/>
      <c r="N1109" s="2268"/>
      <c r="O1109" s="2268"/>
      <c r="P1109" s="2268"/>
      <c r="Q1109" s="2268"/>
    </row>
    <row r="1110" spans="2:17" ht="30" x14ac:dyDescent="0.25">
      <c r="B1110" s="1032"/>
      <c r="C1110" s="1032" t="s">
        <v>9</v>
      </c>
      <c r="D1110" s="1032"/>
      <c r="E1110" s="774" t="s">
        <v>1658</v>
      </c>
      <c r="F1110" s="673">
        <v>128424.1</v>
      </c>
      <c r="G1110" s="1033">
        <v>266049.7</v>
      </c>
      <c r="H1110" s="1029">
        <v>410310</v>
      </c>
      <c r="I1110" s="1030">
        <v>555255.9</v>
      </c>
      <c r="J1110" s="1030">
        <v>323456</v>
      </c>
      <c r="K1110" s="1034" t="s">
        <v>1659</v>
      </c>
      <c r="L1110" s="416"/>
      <c r="M1110" s="416"/>
      <c r="N1110" s="1027"/>
      <c r="O1110" s="1027"/>
      <c r="P1110" s="1027"/>
      <c r="Q1110" s="1027"/>
    </row>
    <row r="1111" spans="2:17" ht="28.5" x14ac:dyDescent="0.25">
      <c r="B1111" s="2058" t="s">
        <v>500</v>
      </c>
      <c r="C1111" s="2078"/>
      <c r="D1111" s="2078"/>
      <c r="E1111" s="2081" t="s">
        <v>1660</v>
      </c>
      <c r="F1111" s="2067">
        <f>F1115+F1119</f>
        <v>522698.19999999995</v>
      </c>
      <c r="G1111" s="2226">
        <f>G1115+G1119</f>
        <v>391373</v>
      </c>
      <c r="H1111" s="2068">
        <f>H1115+H1119</f>
        <v>401409.1</v>
      </c>
      <c r="I1111" s="2069">
        <f>I1115+I1119</f>
        <v>401810.50909999997</v>
      </c>
      <c r="J1111" s="2069">
        <f>J1115+J1119</f>
        <v>402614.13011819997</v>
      </c>
      <c r="K1111" s="1035" t="s">
        <v>1661</v>
      </c>
      <c r="L1111" s="441" t="str">
        <f>L1115</f>
        <v>тыс.сом</v>
      </c>
      <c r="M1111" s="442">
        <f>M1115+M1119</f>
        <v>546622.6</v>
      </c>
      <c r="N1111" s="442">
        <f>N1115+N1119</f>
        <v>0</v>
      </c>
      <c r="O1111" s="1027"/>
      <c r="P1111" s="1027"/>
      <c r="Q1111" s="1027"/>
    </row>
    <row r="1112" spans="2:17" x14ac:dyDescent="0.25">
      <c r="B1112" s="2059"/>
      <c r="C1112" s="2079"/>
      <c r="D1112" s="2079"/>
      <c r="E1112" s="2082"/>
      <c r="F1112" s="2067"/>
      <c r="G1112" s="2226"/>
      <c r="H1112" s="2068"/>
      <c r="I1112" s="2069"/>
      <c r="J1112" s="2069"/>
      <c r="K1112" s="1035" t="s">
        <v>1662</v>
      </c>
      <c r="L1112" s="441" t="s">
        <v>40</v>
      </c>
      <c r="M1112" s="441">
        <f t="shared" ref="M1112:N1114" si="114">M1116</f>
        <v>72</v>
      </c>
      <c r="N1112" s="441">
        <f t="shared" si="114"/>
        <v>43</v>
      </c>
      <c r="O1112" s="1027"/>
      <c r="P1112" s="1027"/>
      <c r="Q1112" s="1027"/>
    </row>
    <row r="1113" spans="2:17" x14ac:dyDescent="0.25">
      <c r="B1113" s="2059"/>
      <c r="C1113" s="2079"/>
      <c r="D1113" s="2079"/>
      <c r="E1113" s="2082"/>
      <c r="F1113" s="2067"/>
      <c r="G1113" s="2226"/>
      <c r="H1113" s="2068"/>
      <c r="I1113" s="2069"/>
      <c r="J1113" s="2069"/>
      <c r="K1113" s="1035" t="s">
        <v>1663</v>
      </c>
      <c r="L1113" s="441" t="s">
        <v>40</v>
      </c>
      <c r="M1113" s="441">
        <f t="shared" si="114"/>
        <v>14274</v>
      </c>
      <c r="N1113" s="441">
        <f t="shared" si="114"/>
        <v>10772</v>
      </c>
      <c r="O1113" s="1027"/>
      <c r="P1113" s="1027"/>
      <c r="Q1113" s="1027"/>
    </row>
    <row r="1114" spans="2:17" x14ac:dyDescent="0.25">
      <c r="B1114" s="2060"/>
      <c r="C1114" s="2080"/>
      <c r="D1114" s="2080"/>
      <c r="E1114" s="2083"/>
      <c r="F1114" s="2067"/>
      <c r="G1114" s="2226"/>
      <c r="H1114" s="2068"/>
      <c r="I1114" s="2069"/>
      <c r="J1114" s="2069"/>
      <c r="K1114" s="1035" t="s">
        <v>1664</v>
      </c>
      <c r="L1114" s="441" t="s">
        <v>1665</v>
      </c>
      <c r="M1114" s="441">
        <f t="shared" si="114"/>
        <v>15082</v>
      </c>
      <c r="N1114" s="441">
        <f t="shared" si="114"/>
        <v>12767</v>
      </c>
      <c r="O1114" s="1023"/>
      <c r="P1114" s="1023"/>
      <c r="Q1114" s="1023"/>
    </row>
    <row r="1115" spans="2:17" x14ac:dyDescent="0.25">
      <c r="B1115" s="2043"/>
      <c r="C1115" s="2043" t="s">
        <v>5</v>
      </c>
      <c r="D1115" s="2043"/>
      <c r="E1115" s="2034" t="s">
        <v>1666</v>
      </c>
      <c r="F1115" s="2070">
        <f>223351.8+185124.4+81529</f>
        <v>490005.19999999995</v>
      </c>
      <c r="G1115" s="1897">
        <f>68010.9+48491.2+100000+127803+7020.2+1557.7+1691.3</f>
        <v>354574.3</v>
      </c>
      <c r="H1115" s="2071">
        <f>134823.2+48235.9+87423.2+100000</f>
        <v>370482.3</v>
      </c>
      <c r="I1115" s="2074">
        <f>H1115*100.1/100</f>
        <v>370852.78229999996</v>
      </c>
      <c r="J1115" s="2075">
        <f>I1115*100.2/100</f>
        <v>371594.48786459997</v>
      </c>
      <c r="K1115" s="918" t="s">
        <v>1667</v>
      </c>
      <c r="L1115" s="915" t="s">
        <v>311</v>
      </c>
      <c r="M1115" s="1036">
        <v>541098.6</v>
      </c>
      <c r="N1115" s="1037">
        <v>0</v>
      </c>
      <c r="O1115" s="1027"/>
      <c r="P1115" s="1027"/>
      <c r="Q1115" s="1027"/>
    </row>
    <row r="1116" spans="2:17" x14ac:dyDescent="0.25">
      <c r="B1116" s="2043"/>
      <c r="C1116" s="2043"/>
      <c r="D1116" s="2043"/>
      <c r="E1116" s="2034"/>
      <c r="F1116" s="2070"/>
      <c r="G1116" s="1897"/>
      <c r="H1116" s="2072"/>
      <c r="I1116" s="2074"/>
      <c r="J1116" s="2076"/>
      <c r="K1116" s="918" t="s">
        <v>1662</v>
      </c>
      <c r="L1116" s="915" t="s">
        <v>40</v>
      </c>
      <c r="M1116" s="915">
        <v>72</v>
      </c>
      <c r="N1116" s="46">
        <v>43</v>
      </c>
      <c r="O1116" s="1027"/>
      <c r="P1116" s="1027"/>
      <c r="Q1116" s="1027"/>
    </row>
    <row r="1117" spans="2:17" x14ac:dyDescent="0.25">
      <c r="B1117" s="2043"/>
      <c r="C1117" s="2043"/>
      <c r="D1117" s="2043"/>
      <c r="E1117" s="2034"/>
      <c r="F1117" s="2070"/>
      <c r="G1117" s="1897"/>
      <c r="H1117" s="2072"/>
      <c r="I1117" s="2074"/>
      <c r="J1117" s="2076"/>
      <c r="K1117" s="918" t="s">
        <v>1663</v>
      </c>
      <c r="L1117" s="915" t="s">
        <v>40</v>
      </c>
      <c r="M1117" s="915">
        <v>14274</v>
      </c>
      <c r="N1117" s="46">
        <v>10772</v>
      </c>
      <c r="O1117" s="1027"/>
      <c r="P1117" s="1027"/>
      <c r="Q1117" s="1027"/>
    </row>
    <row r="1118" spans="2:17" x14ac:dyDescent="0.25">
      <c r="B1118" s="2043"/>
      <c r="C1118" s="2043"/>
      <c r="D1118" s="2043"/>
      <c r="E1118" s="2034"/>
      <c r="F1118" s="2070"/>
      <c r="G1118" s="1897"/>
      <c r="H1118" s="2073"/>
      <c r="I1118" s="2074"/>
      <c r="J1118" s="2077"/>
      <c r="K1118" s="918" t="s">
        <v>1664</v>
      </c>
      <c r="L1118" s="915" t="s">
        <v>1665</v>
      </c>
      <c r="M1118" s="915">
        <v>15082</v>
      </c>
      <c r="N1118" s="46">
        <v>12767</v>
      </c>
      <c r="O1118" s="1027"/>
      <c r="P1118" s="1027"/>
      <c r="Q1118" s="1027"/>
    </row>
    <row r="1119" spans="2:17" ht="75" x14ac:dyDescent="0.25">
      <c r="B1119" s="1032"/>
      <c r="C1119" s="1032" t="s">
        <v>7</v>
      </c>
      <c r="D1119" s="1032"/>
      <c r="E1119" s="774" t="s">
        <v>1668</v>
      </c>
      <c r="F1119" s="673">
        <v>32693</v>
      </c>
      <c r="G1119" s="761">
        <f>35349.7+1449</f>
        <v>36798.699999999997</v>
      </c>
      <c r="H1119" s="1029">
        <v>30926.799999999999</v>
      </c>
      <c r="I1119" s="1030">
        <f>H1119*100.1/100</f>
        <v>30957.726799999997</v>
      </c>
      <c r="J1119" s="1030">
        <f>I1119*100.2/100</f>
        <v>31019.642253599995</v>
      </c>
      <c r="K1119" s="419" t="s">
        <v>1667</v>
      </c>
      <c r="L1119" s="416" t="s">
        <v>311</v>
      </c>
      <c r="M1119" s="420">
        <v>5524</v>
      </c>
      <c r="N1119" s="1027"/>
      <c r="O1119" s="1027"/>
      <c r="P1119" s="1027"/>
      <c r="Q1119" s="1027"/>
    </row>
    <row r="1120" spans="2:17" x14ac:dyDescent="0.25">
      <c r="B1120" s="2061" t="s">
        <v>508</v>
      </c>
      <c r="C1120" s="2043"/>
      <c r="D1120" s="2043"/>
      <c r="E1120" s="2066" t="s">
        <v>1669</v>
      </c>
      <c r="F1120" s="2067">
        <f>F1123+F1125</f>
        <v>1275211.2</v>
      </c>
      <c r="G1120" s="2067">
        <f t="shared" ref="G1120" si="115">G1123+G1125</f>
        <v>1271631</v>
      </c>
      <c r="H1120" s="2068">
        <f>H1123+H1125</f>
        <v>1215356.6000000001</v>
      </c>
      <c r="I1120" s="2069">
        <f t="shared" ref="I1120:J1120" si="116">I1123+I1125</f>
        <v>1216317.8</v>
      </c>
      <c r="J1120" s="2069">
        <f t="shared" si="116"/>
        <v>1218635.3999999999</v>
      </c>
      <c r="K1120" s="1035" t="s">
        <v>1670</v>
      </c>
      <c r="L1120" s="441" t="s">
        <v>203</v>
      </c>
      <c r="M1120" s="416">
        <f>M1123</f>
        <v>184</v>
      </c>
      <c r="N1120" s="416">
        <f>N1123</f>
        <v>0</v>
      </c>
      <c r="O1120" s="1023"/>
      <c r="P1120" s="1023"/>
      <c r="Q1120" s="1023"/>
    </row>
    <row r="1121" spans="2:17" x14ac:dyDescent="0.25">
      <c r="B1121" s="2061"/>
      <c r="C1121" s="2043"/>
      <c r="D1121" s="2043"/>
      <c r="E1121" s="2066"/>
      <c r="F1121" s="2067"/>
      <c r="G1121" s="2067"/>
      <c r="H1121" s="2068"/>
      <c r="I1121" s="2069"/>
      <c r="J1121" s="2069"/>
      <c r="K1121" s="1035" t="s">
        <v>1671</v>
      </c>
      <c r="L1121" s="441" t="s">
        <v>203</v>
      </c>
      <c r="M1121" s="416">
        <f t="shared" ref="M1121:N1122" si="117">M1124</f>
        <v>135</v>
      </c>
      <c r="N1121" s="416">
        <f t="shared" si="117"/>
        <v>0</v>
      </c>
      <c r="O1121" s="1023"/>
      <c r="P1121" s="1023"/>
      <c r="Q1121" s="1023"/>
    </row>
    <row r="1122" spans="2:17" ht="28.5" x14ac:dyDescent="0.25">
      <c r="B1122" s="2061"/>
      <c r="C1122" s="2043"/>
      <c r="D1122" s="2043"/>
      <c r="E1122" s="2066"/>
      <c r="F1122" s="2067"/>
      <c r="G1122" s="2067"/>
      <c r="H1122" s="2068"/>
      <c r="I1122" s="2069"/>
      <c r="J1122" s="2069"/>
      <c r="K1122" s="1035" t="s">
        <v>1672</v>
      </c>
      <c r="L1122" s="441" t="s">
        <v>311</v>
      </c>
      <c r="M1122" s="416">
        <f t="shared" si="117"/>
        <v>408198.9</v>
      </c>
      <c r="N1122" s="416">
        <f t="shared" si="117"/>
        <v>0</v>
      </c>
      <c r="O1122" s="1023"/>
      <c r="P1122" s="1023"/>
      <c r="Q1122" s="1023"/>
    </row>
    <row r="1123" spans="2:17" x14ac:dyDescent="0.25">
      <c r="B1123" s="2043"/>
      <c r="C1123" s="2043" t="s">
        <v>5</v>
      </c>
      <c r="D1123" s="2043"/>
      <c r="E1123" s="2034" t="s">
        <v>1673</v>
      </c>
      <c r="F1123" s="2260">
        <v>1275211.2</v>
      </c>
      <c r="G1123" s="1893">
        <v>1271631</v>
      </c>
      <c r="H1123" s="2071">
        <v>1215356.6000000001</v>
      </c>
      <c r="I1123" s="2075">
        <v>1216317.8</v>
      </c>
      <c r="J1123" s="2075">
        <v>1218635.3999999999</v>
      </c>
      <c r="K1123" s="419" t="s">
        <v>1670</v>
      </c>
      <c r="L1123" s="416" t="s">
        <v>203</v>
      </c>
      <c r="M1123" s="416">
        <v>184</v>
      </c>
      <c r="N1123" s="1027"/>
      <c r="O1123" s="1027"/>
      <c r="P1123" s="1027"/>
      <c r="Q1123" s="1027"/>
    </row>
    <row r="1124" spans="2:17" x14ac:dyDescent="0.25">
      <c r="B1124" s="2043"/>
      <c r="C1124" s="2043"/>
      <c r="D1124" s="2043"/>
      <c r="E1124" s="2034"/>
      <c r="F1124" s="2264"/>
      <c r="G1124" s="2103"/>
      <c r="H1124" s="2072"/>
      <c r="I1124" s="2076"/>
      <c r="J1124" s="2076"/>
      <c r="K1124" s="419" t="s">
        <v>1671</v>
      </c>
      <c r="L1124" s="416" t="s">
        <v>203</v>
      </c>
      <c r="M1124" s="416">
        <v>135</v>
      </c>
      <c r="N1124" s="1027"/>
      <c r="O1124" s="1027"/>
      <c r="P1124" s="1027"/>
      <c r="Q1124" s="1027"/>
    </row>
    <row r="1125" spans="2:17" ht="30" x14ac:dyDescent="0.25">
      <c r="B1125" s="2043"/>
      <c r="C1125" s="2043"/>
      <c r="D1125" s="2043"/>
      <c r="E1125" s="2034"/>
      <c r="F1125" s="2261"/>
      <c r="G1125" s="1894"/>
      <c r="H1125" s="2073"/>
      <c r="I1125" s="2077"/>
      <c r="J1125" s="2077"/>
      <c r="K1125" s="419" t="s">
        <v>1672</v>
      </c>
      <c r="L1125" s="416" t="s">
        <v>311</v>
      </c>
      <c r="M1125" s="416">
        <v>408198.9</v>
      </c>
      <c r="N1125" s="1027"/>
      <c r="O1125" s="1027"/>
      <c r="P1125" s="1027"/>
      <c r="Q1125" s="1027"/>
    </row>
    <row r="1126" spans="2:17" ht="132.75" x14ac:dyDescent="0.25">
      <c r="B1126" s="1038" t="s">
        <v>601</v>
      </c>
      <c r="C1126" s="1032"/>
      <c r="D1126" s="1032"/>
      <c r="E1126" s="797" t="s">
        <v>1674</v>
      </c>
      <c r="F1126" s="671">
        <f>F1127+F1128+F1129+F1130</f>
        <v>28970.2</v>
      </c>
      <c r="G1126" s="672">
        <f>G1127+G1128+G1129+G1130</f>
        <v>25520.300000000003</v>
      </c>
      <c r="H1126" s="1024">
        <f>H1127+H1128+H1129+H1130</f>
        <v>27711.7</v>
      </c>
      <c r="I1126" s="1039">
        <f>I1127+I1128+I1129+I1130</f>
        <v>27739.4</v>
      </c>
      <c r="J1126" s="1039">
        <f>J1127+J1128+J1129+J1130</f>
        <v>27794.799999999999</v>
      </c>
      <c r="K1126" s="1035" t="s">
        <v>1675</v>
      </c>
      <c r="L1126" s="441" t="s">
        <v>203</v>
      </c>
      <c r="M1126" s="441">
        <f>M1127+M1128+M1129+M1130</f>
        <v>34373</v>
      </c>
      <c r="N1126" s="441">
        <f>N1127+N1128+N1129+N1130</f>
        <v>34373</v>
      </c>
      <c r="O1126" s="441">
        <f>O1127+O1128+O1129+O1130</f>
        <v>33912</v>
      </c>
      <c r="P1126" s="441">
        <f>P1127+P1128+P1129+P1130</f>
        <v>34932</v>
      </c>
      <c r="Q1126" s="441">
        <f>Q1127+Q1128+Q1129+Q1130</f>
        <v>35952</v>
      </c>
    </row>
    <row r="1127" spans="2:17" x14ac:dyDescent="0.25">
      <c r="B1127" s="2043"/>
      <c r="C1127" s="2043" t="s">
        <v>5</v>
      </c>
      <c r="D1127" s="2043"/>
      <c r="E1127" s="2034" t="s">
        <v>1676</v>
      </c>
      <c r="F1127" s="2260">
        <v>17515</v>
      </c>
      <c r="G1127" s="2260">
        <v>14325.2</v>
      </c>
      <c r="H1127" s="2260">
        <v>17200.2</v>
      </c>
      <c r="I1127" s="2260">
        <v>17217.400000000001</v>
      </c>
      <c r="J1127" s="2260">
        <v>17251.8</v>
      </c>
      <c r="K1127" s="2262" t="s">
        <v>1677</v>
      </c>
      <c r="L1127" s="416" t="s">
        <v>203</v>
      </c>
      <c r="M1127" s="416">
        <v>33728</v>
      </c>
      <c r="N1127" s="416">
        <v>33728</v>
      </c>
      <c r="O1127" s="416">
        <v>33748</v>
      </c>
      <c r="P1127" s="1027">
        <v>34748</v>
      </c>
      <c r="Q1127" s="1027">
        <v>35748</v>
      </c>
    </row>
    <row r="1128" spans="2:17" x14ac:dyDescent="0.25">
      <c r="B1128" s="2043"/>
      <c r="C1128" s="2043"/>
      <c r="D1128" s="2043"/>
      <c r="E1128" s="2034"/>
      <c r="F1128" s="2261"/>
      <c r="G1128" s="2261"/>
      <c r="H1128" s="2261"/>
      <c r="I1128" s="2261"/>
      <c r="J1128" s="2261"/>
      <c r="K1128" s="2263"/>
      <c r="L1128" s="416" t="s">
        <v>203</v>
      </c>
      <c r="M1128" s="416">
        <v>368</v>
      </c>
      <c r="N1128" s="416">
        <v>368</v>
      </c>
      <c r="O1128" s="416"/>
      <c r="P1128" s="1027"/>
      <c r="Q1128" s="1027"/>
    </row>
    <row r="1129" spans="2:17" x14ac:dyDescent="0.25">
      <c r="B1129" s="2043"/>
      <c r="C1129" s="2043" t="s">
        <v>7</v>
      </c>
      <c r="D1129" s="2043"/>
      <c r="E1129" s="2034" t="s">
        <v>1678</v>
      </c>
      <c r="F1129" s="2260">
        <v>11455.2</v>
      </c>
      <c r="G1129" s="1893">
        <v>11195.1</v>
      </c>
      <c r="H1129" s="1893">
        <v>10511.5</v>
      </c>
      <c r="I1129" s="1893">
        <v>10522</v>
      </c>
      <c r="J1129" s="1893">
        <v>10543</v>
      </c>
      <c r="K1129" s="2262" t="s">
        <v>1679</v>
      </c>
      <c r="L1129" s="416" t="s">
        <v>203</v>
      </c>
      <c r="M1129" s="416">
        <v>158</v>
      </c>
      <c r="N1129" s="416">
        <v>158</v>
      </c>
      <c r="O1129" s="416">
        <v>164</v>
      </c>
      <c r="P1129" s="1027">
        <v>184</v>
      </c>
      <c r="Q1129" s="1027">
        <v>204</v>
      </c>
    </row>
    <row r="1130" spans="2:17" x14ac:dyDescent="0.25">
      <c r="B1130" s="2043"/>
      <c r="C1130" s="2043"/>
      <c r="D1130" s="2043"/>
      <c r="E1130" s="2034"/>
      <c r="F1130" s="2261"/>
      <c r="G1130" s="1894"/>
      <c r="H1130" s="1894"/>
      <c r="I1130" s="1894"/>
      <c r="J1130" s="1894"/>
      <c r="K1130" s="2263"/>
      <c r="L1130" s="416" t="s">
        <v>203</v>
      </c>
      <c r="M1130" s="416">
        <v>119</v>
      </c>
      <c r="N1130" s="416">
        <v>119</v>
      </c>
      <c r="O1130" s="416"/>
      <c r="P1130" s="1027"/>
      <c r="Q1130" s="1027"/>
    </row>
    <row r="1131" spans="2:17" x14ac:dyDescent="0.25">
      <c r="B1131" s="1874" t="s">
        <v>85</v>
      </c>
      <c r="C1131" s="1874"/>
      <c r="D1131" s="1874"/>
      <c r="E1131" s="1874"/>
      <c r="F1131" s="471">
        <f>F1126+F1120+F1111+F1106+F1097</f>
        <v>2200088.6999999997</v>
      </c>
      <c r="G1131" s="1040">
        <f>G1126+G1120+G1111+G1106+G1097</f>
        <v>2193434.7999999998</v>
      </c>
      <c r="H1131" s="1040">
        <f>H1126+H1120+H1111+H1106+H1097</f>
        <v>2337695.0999999996</v>
      </c>
      <c r="I1131" s="1040">
        <f t="shared" ref="I1131:J1131" si="118">I1126+I1120+I1111+I1106+I1097</f>
        <v>2484314.2497999999</v>
      </c>
      <c r="J1131" s="1040">
        <f t="shared" si="118"/>
        <v>2256257.2282995996</v>
      </c>
      <c r="K1131" s="1041"/>
      <c r="L1131" s="1042"/>
      <c r="M1131" s="1042"/>
      <c r="N1131" s="1043"/>
      <c r="O1131" s="1043"/>
      <c r="P1131" s="1043"/>
      <c r="Q1131" s="1043"/>
    </row>
    <row r="1132" spans="2:17" ht="15.75" thickBot="1" x14ac:dyDescent="0.3">
      <c r="B1132" s="1696" t="s">
        <v>1680</v>
      </c>
      <c r="C1132" s="1697"/>
      <c r="D1132" s="1697"/>
      <c r="E1132" s="1697"/>
      <c r="F1132" s="1697"/>
      <c r="G1132" s="1697"/>
      <c r="H1132" s="1697"/>
      <c r="I1132" s="1697"/>
      <c r="J1132" s="1697"/>
      <c r="K1132" s="1697"/>
      <c r="L1132" s="1697"/>
      <c r="M1132" s="1697"/>
      <c r="N1132" s="1697"/>
      <c r="O1132" s="1697"/>
      <c r="P1132" s="1697"/>
      <c r="Q1132" s="1697"/>
    </row>
    <row r="1133" spans="2:17" ht="73.5" x14ac:dyDescent="0.25">
      <c r="B1133" s="1044">
        <v>1</v>
      </c>
      <c r="C1133" s="674"/>
      <c r="D1133" s="1045"/>
      <c r="E1133" s="1046" t="s">
        <v>902</v>
      </c>
      <c r="F1133" s="873">
        <f>SUM(F1134:F1140)</f>
        <v>26197.47</v>
      </c>
      <c r="G1133" s="873">
        <f>SUM(G1134:G1140)</f>
        <v>3170.9</v>
      </c>
      <c r="H1133" s="873">
        <f>SUM(H1134:H1140)</f>
        <v>3170.9</v>
      </c>
      <c r="I1133" s="873">
        <f>SUM(I1134:I1140)</f>
        <v>4638.1538100000007</v>
      </c>
      <c r="J1133" s="873">
        <f>SUM(J1134:J1140)</f>
        <v>4892.6785199999995</v>
      </c>
      <c r="K1133" s="807" t="s">
        <v>34</v>
      </c>
      <c r="L1133" s="809" t="s">
        <v>35</v>
      </c>
      <c r="M1133" s="421">
        <v>21.671667719519899</v>
      </c>
      <c r="N1133" s="507">
        <v>21.671667719519899</v>
      </c>
      <c r="O1133" s="507">
        <v>21.671667719519899</v>
      </c>
      <c r="P1133" s="507" t="e">
        <f>'[2]приложение  2'!E2607*100/'[2]приложение  2'!E2609</f>
        <v>#REF!</v>
      </c>
      <c r="Q1133" s="507" t="e">
        <f>'[2]приложение  2'!F2607*100/'[2]приложение  2'!F2609</f>
        <v>#REF!</v>
      </c>
    </row>
    <row r="1134" spans="2:17" x14ac:dyDescent="0.25">
      <c r="B1134" s="1047"/>
      <c r="C1134" s="1048">
        <v>1</v>
      </c>
      <c r="D1134" s="674"/>
      <c r="E1134" s="1049" t="s">
        <v>6</v>
      </c>
      <c r="F1134" s="786">
        <f>500.66-15.23</f>
        <v>485.43</v>
      </c>
      <c r="G1134" s="786">
        <v>487.8</v>
      </c>
      <c r="H1134" s="786">
        <v>3170.9</v>
      </c>
      <c r="I1134" s="786">
        <f>H1134*100.09%</f>
        <v>3173.7538100000006</v>
      </c>
      <c r="J1134" s="786">
        <f>H1134*100.28%</f>
        <v>3179.7785199999998</v>
      </c>
      <c r="K1134" s="659" t="s">
        <v>36</v>
      </c>
      <c r="L1134" s="660" t="s">
        <v>37</v>
      </c>
      <c r="M1134" s="660">
        <v>1</v>
      </c>
      <c r="N1134" s="704">
        <v>1</v>
      </c>
      <c r="O1134" s="704">
        <v>1</v>
      </c>
      <c r="P1134" s="704">
        <v>1</v>
      </c>
      <c r="Q1134" s="704">
        <v>1</v>
      </c>
    </row>
    <row r="1135" spans="2:17" ht="30" x14ac:dyDescent="0.25">
      <c r="B1135" s="1047"/>
      <c r="C1135" s="675">
        <v>2</v>
      </c>
      <c r="D1135" s="674"/>
      <c r="E1135" s="493" t="s">
        <v>8</v>
      </c>
      <c r="F1135" s="786">
        <f>1002.32-15.13</f>
        <v>987.19</v>
      </c>
      <c r="G1135" s="786">
        <v>975.7</v>
      </c>
      <c r="H1135" s="786"/>
      <c r="I1135" s="786">
        <f>H1135*100.09%</f>
        <v>0</v>
      </c>
      <c r="J1135" s="786">
        <f>H1135*100.28%</f>
        <v>0</v>
      </c>
      <c r="K1135" s="659" t="s">
        <v>38</v>
      </c>
      <c r="L1135" s="660" t="s">
        <v>35</v>
      </c>
      <c r="M1135" s="660">
        <v>100</v>
      </c>
      <c r="N1135" s="660">
        <v>100</v>
      </c>
      <c r="O1135" s="660">
        <v>100</v>
      </c>
      <c r="P1135" s="660">
        <v>100</v>
      </c>
      <c r="Q1135" s="660">
        <v>100</v>
      </c>
    </row>
    <row r="1136" spans="2:17" ht="30" x14ac:dyDescent="0.25">
      <c r="B1136" s="1047"/>
      <c r="C1136" s="675">
        <v>3</v>
      </c>
      <c r="D1136" s="674"/>
      <c r="E1136" s="493" t="s">
        <v>10</v>
      </c>
      <c r="F1136" s="786">
        <f>250.83-15.13</f>
        <v>235.70000000000002</v>
      </c>
      <c r="G1136" s="786">
        <v>243.9</v>
      </c>
      <c r="H1136" s="786"/>
      <c r="I1136" s="786">
        <f>H1136*100.09%</f>
        <v>0</v>
      </c>
      <c r="J1136" s="786">
        <v>245</v>
      </c>
      <c r="K1136" s="423" t="s">
        <v>1681</v>
      </c>
      <c r="L1136" s="660" t="s">
        <v>35</v>
      </c>
      <c r="M1136" s="660">
        <v>10</v>
      </c>
      <c r="N1136" s="660">
        <v>5</v>
      </c>
      <c r="O1136" s="660">
        <v>5</v>
      </c>
      <c r="P1136" s="660">
        <v>5</v>
      </c>
      <c r="Q1136" s="660">
        <v>5</v>
      </c>
    </row>
    <row r="1137" spans="2:17" ht="30" x14ac:dyDescent="0.25">
      <c r="B1137" s="1047"/>
      <c r="C1137" s="675">
        <v>4</v>
      </c>
      <c r="D1137" s="674"/>
      <c r="E1137" s="493" t="s">
        <v>12</v>
      </c>
      <c r="F1137" s="786"/>
      <c r="G1137" s="786"/>
      <c r="H1137" s="786"/>
      <c r="I1137" s="786"/>
      <c r="J1137" s="786"/>
      <c r="K1137" s="659" t="s">
        <v>191</v>
      </c>
      <c r="L1137" s="660" t="s">
        <v>192</v>
      </c>
      <c r="M1137" s="262"/>
      <c r="N1137" s="262"/>
      <c r="O1137" s="262"/>
      <c r="P1137" s="262"/>
      <c r="Q1137" s="262"/>
    </row>
    <row r="1138" spans="2:17" ht="30" x14ac:dyDescent="0.25">
      <c r="B1138" s="1047"/>
      <c r="C1138" s="675">
        <v>5</v>
      </c>
      <c r="D1138" s="674"/>
      <c r="E1138" s="493" t="s">
        <v>13</v>
      </c>
      <c r="F1138" s="786"/>
      <c r="G1138" s="786"/>
      <c r="H1138" s="786"/>
      <c r="I1138" s="786"/>
      <c r="J1138" s="786"/>
      <c r="K1138" s="659" t="s">
        <v>194</v>
      </c>
      <c r="L1138" s="660" t="s">
        <v>40</v>
      </c>
      <c r="M1138" s="262"/>
      <c r="N1138" s="262"/>
      <c r="O1138" s="262"/>
      <c r="P1138" s="262"/>
      <c r="Q1138" s="262"/>
    </row>
    <row r="1139" spans="2:17" ht="30" x14ac:dyDescent="0.25">
      <c r="B1139" s="1047"/>
      <c r="C1139" s="676">
        <v>6</v>
      </c>
      <c r="D1139" s="674"/>
      <c r="E1139" s="693" t="s">
        <v>14</v>
      </c>
      <c r="F1139" s="786">
        <f>1504.28-15.13</f>
        <v>1489.1499999999999</v>
      </c>
      <c r="G1139" s="786">
        <v>1463.5</v>
      </c>
      <c r="H1139" s="786"/>
      <c r="I1139" s="786">
        <v>1464.4</v>
      </c>
      <c r="J1139" s="786">
        <v>1467.9</v>
      </c>
      <c r="K1139" s="659" t="s">
        <v>196</v>
      </c>
      <c r="L1139" s="660" t="s">
        <v>35</v>
      </c>
      <c r="M1139" s="660">
        <v>10</v>
      </c>
      <c r="N1139" s="704">
        <v>11</v>
      </c>
      <c r="O1139" s="704">
        <v>11</v>
      </c>
      <c r="P1139" s="704">
        <v>12</v>
      </c>
      <c r="Q1139" s="704">
        <v>12</v>
      </c>
    </row>
    <row r="1140" spans="2:17" x14ac:dyDescent="0.25">
      <c r="B1140" s="1047"/>
      <c r="C1140" s="676">
        <v>7</v>
      </c>
      <c r="D1140" s="674"/>
      <c r="E1140" s="693" t="s">
        <v>1682</v>
      </c>
      <c r="F1140" s="786">
        <v>23000</v>
      </c>
      <c r="G1140" s="786"/>
      <c r="H1140" s="786"/>
      <c r="I1140" s="786"/>
      <c r="J1140" s="786"/>
      <c r="K1140" s="659"/>
      <c r="L1140" s="660"/>
      <c r="M1140" s="262"/>
      <c r="N1140" s="262"/>
      <c r="O1140" s="262"/>
      <c r="P1140" s="262"/>
      <c r="Q1140" s="262"/>
    </row>
    <row r="1141" spans="2:17" ht="71.25" x14ac:dyDescent="0.25">
      <c r="B1141" s="971" t="s">
        <v>467</v>
      </c>
      <c r="C1141" s="1050"/>
      <c r="D1141" s="1050"/>
      <c r="E1141" s="682" t="s">
        <v>1683</v>
      </c>
      <c r="F1141" s="973">
        <f>SUM(F1142:F1149)</f>
        <v>11726.48</v>
      </c>
      <c r="G1141" s="973">
        <f>SUM(G1142:G1149)</f>
        <v>11753.1</v>
      </c>
      <c r="H1141" s="973">
        <f>SUM(H1142:H1149)</f>
        <v>11753.1</v>
      </c>
      <c r="I1141" s="973">
        <f>SUM(I1142:I1149)</f>
        <v>11763.677790000002</v>
      </c>
      <c r="J1141" s="973">
        <f>SUM(J1142:J1149)</f>
        <v>11785.608679999999</v>
      </c>
      <c r="K1141" s="693" t="s">
        <v>1684</v>
      </c>
      <c r="L1141" s="693"/>
      <c r="M1141" s="448"/>
      <c r="N1141" s="448"/>
      <c r="O1141" s="448"/>
      <c r="P1141" s="448"/>
      <c r="Q1141" s="448"/>
    </row>
    <row r="1142" spans="2:17" x14ac:dyDescent="0.25">
      <c r="B1142" s="2044"/>
      <c r="C1142" s="1805" t="s">
        <v>5</v>
      </c>
      <c r="D1142" s="2258"/>
      <c r="E1142" s="2161" t="s">
        <v>1685</v>
      </c>
      <c r="F1142" s="1823">
        <f>3010-15.13</f>
        <v>2994.87</v>
      </c>
      <c r="G1142" s="1823">
        <v>3000.5</v>
      </c>
      <c r="H1142" s="1823">
        <v>11753.1</v>
      </c>
      <c r="I1142" s="1823">
        <f>H1142*100.09%</f>
        <v>11763.677790000002</v>
      </c>
      <c r="J1142" s="1823">
        <f>H1142*100.28%</f>
        <v>11786.008679999999</v>
      </c>
      <c r="K1142" s="693" t="s">
        <v>1686</v>
      </c>
      <c r="L1142" s="693" t="s">
        <v>1687</v>
      </c>
      <c r="M1142" s="693">
        <v>27</v>
      </c>
      <c r="N1142" s="693">
        <v>30</v>
      </c>
      <c r="O1142" s="693">
        <v>30</v>
      </c>
      <c r="P1142" s="693">
        <v>30</v>
      </c>
      <c r="Q1142" s="693">
        <v>30</v>
      </c>
    </row>
    <row r="1143" spans="2:17" x14ac:dyDescent="0.25">
      <c r="B1143" s="2045"/>
      <c r="C1143" s="1806"/>
      <c r="D1143" s="2259"/>
      <c r="E1143" s="2162"/>
      <c r="F1143" s="1824"/>
      <c r="G1143" s="1824"/>
      <c r="H1143" s="1824"/>
      <c r="I1143" s="1824"/>
      <c r="J1143" s="1824"/>
      <c r="K1143" s="693" t="s">
        <v>1688</v>
      </c>
      <c r="L1143" s="693" t="s">
        <v>1689</v>
      </c>
      <c r="M1143" s="1051">
        <v>7</v>
      </c>
      <c r="N1143" s="1051">
        <v>9</v>
      </c>
      <c r="O1143" s="1051">
        <v>9</v>
      </c>
      <c r="P1143" s="1051">
        <v>13</v>
      </c>
      <c r="Q1143" s="1051">
        <v>13</v>
      </c>
    </row>
    <row r="1144" spans="2:17" x14ac:dyDescent="0.25">
      <c r="B1144" s="2044"/>
      <c r="C1144" s="1805" t="s">
        <v>7</v>
      </c>
      <c r="D1144" s="2258"/>
      <c r="E1144" s="2161" t="s">
        <v>1690</v>
      </c>
      <c r="F1144" s="2145">
        <f>3010-15.13</f>
        <v>2994.87</v>
      </c>
      <c r="G1144" s="1823">
        <v>3000.5</v>
      </c>
      <c r="H1144" s="1823"/>
      <c r="I1144" s="1823">
        <f>H1144*100.09%</f>
        <v>0</v>
      </c>
      <c r="J1144" s="1823">
        <f>H1144*100.28%</f>
        <v>0</v>
      </c>
      <c r="K1144" s="693" t="s">
        <v>1691</v>
      </c>
      <c r="L1144" s="693" t="s">
        <v>1692</v>
      </c>
      <c r="M1144" s="693">
        <v>14</v>
      </c>
      <c r="N1144" s="693">
        <v>13</v>
      </c>
      <c r="O1144" s="693">
        <v>13</v>
      </c>
      <c r="P1144" s="693">
        <v>13</v>
      </c>
      <c r="Q1144" s="693">
        <v>13</v>
      </c>
    </row>
    <row r="1145" spans="2:17" ht="30" x14ac:dyDescent="0.25">
      <c r="B1145" s="2045"/>
      <c r="C1145" s="1806"/>
      <c r="D1145" s="2259"/>
      <c r="E1145" s="2162"/>
      <c r="F1145" s="2146"/>
      <c r="G1145" s="1824"/>
      <c r="H1145" s="1824"/>
      <c r="I1145" s="1824"/>
      <c r="J1145" s="1824"/>
      <c r="K1145" s="693" t="s">
        <v>1693</v>
      </c>
      <c r="L1145" s="693" t="s">
        <v>1694</v>
      </c>
      <c r="M1145" s="398">
        <v>3</v>
      </c>
      <c r="N1145" s="141">
        <v>3</v>
      </c>
      <c r="O1145" s="141">
        <v>3</v>
      </c>
      <c r="P1145" s="141">
        <v>3</v>
      </c>
      <c r="Q1145" s="141">
        <v>3</v>
      </c>
    </row>
    <row r="1146" spans="2:17" ht="30" x14ac:dyDescent="0.25">
      <c r="B1146" s="2044"/>
      <c r="C1146" s="1805" t="s">
        <v>9</v>
      </c>
      <c r="D1146" s="2258"/>
      <c r="E1146" s="2161" t="s">
        <v>1695</v>
      </c>
      <c r="F1146" s="1823">
        <f>4263-15.13</f>
        <v>4247.87</v>
      </c>
      <c r="G1146" s="1823">
        <v>4250.7</v>
      </c>
      <c r="H1146" s="1823"/>
      <c r="I1146" s="1823">
        <f>H1146*100.09%</f>
        <v>0</v>
      </c>
      <c r="J1146" s="1823">
        <f>H1146*100.28%</f>
        <v>0</v>
      </c>
      <c r="K1146" s="693" t="s">
        <v>1696</v>
      </c>
      <c r="L1146" s="693" t="s">
        <v>1697</v>
      </c>
      <c r="M1146" s="398">
        <v>30</v>
      </c>
      <c r="N1146" s="141">
        <v>30</v>
      </c>
      <c r="O1146" s="141">
        <v>30</v>
      </c>
      <c r="P1146" s="141">
        <v>30</v>
      </c>
      <c r="Q1146" s="141">
        <v>30</v>
      </c>
    </row>
    <row r="1147" spans="2:17" x14ac:dyDescent="0.25">
      <c r="B1147" s="2045"/>
      <c r="C1147" s="1806"/>
      <c r="D1147" s="2259"/>
      <c r="E1147" s="2162"/>
      <c r="F1147" s="1824"/>
      <c r="G1147" s="1824"/>
      <c r="H1147" s="1824"/>
      <c r="I1147" s="1824"/>
      <c r="J1147" s="1824"/>
      <c r="K1147" s="693"/>
      <c r="L1147" s="693"/>
      <c r="M1147" s="1052"/>
      <c r="N1147" s="1052"/>
      <c r="O1147" s="1052"/>
      <c r="P1147" s="1052"/>
      <c r="Q1147" s="1052"/>
    </row>
    <row r="1148" spans="2:17" x14ac:dyDescent="0.25">
      <c r="B1148" s="2044"/>
      <c r="C1148" s="1805" t="s">
        <v>11</v>
      </c>
      <c r="D1148" s="2258"/>
      <c r="E1148" s="1845" t="s">
        <v>1698</v>
      </c>
      <c r="F1148" s="1823">
        <f>1504-15.13</f>
        <v>1488.87</v>
      </c>
      <c r="G1148" s="1823">
        <v>1501.4</v>
      </c>
      <c r="H1148" s="1823"/>
      <c r="I1148" s="1823">
        <f>H1148*100.09%</f>
        <v>0</v>
      </c>
      <c r="J1148" s="1823">
        <f>H1148*100.28%-0.4</f>
        <v>-0.4</v>
      </c>
      <c r="K1148" s="693"/>
      <c r="L1148" s="693"/>
      <c r="M1148" s="1052"/>
      <c r="N1148" s="1052"/>
      <c r="O1148" s="1052"/>
      <c r="P1148" s="1052"/>
      <c r="Q1148" s="1052"/>
    </row>
    <row r="1149" spans="2:17" x14ac:dyDescent="0.25">
      <c r="B1149" s="2045"/>
      <c r="C1149" s="1806"/>
      <c r="D1149" s="2259"/>
      <c r="E1149" s="1852"/>
      <c r="F1149" s="1824"/>
      <c r="G1149" s="1824"/>
      <c r="H1149" s="1824"/>
      <c r="I1149" s="1824"/>
      <c r="J1149" s="1824"/>
      <c r="K1149" s="693"/>
      <c r="L1149" s="693"/>
      <c r="M1149" s="693"/>
      <c r="N1149" s="693"/>
      <c r="O1149" s="693"/>
      <c r="P1149" s="693"/>
      <c r="Q1149" s="693"/>
    </row>
    <row r="1150" spans="2:17" ht="15.75" thickBot="1" x14ac:dyDescent="0.3">
      <c r="B1150" s="2046" t="s">
        <v>85</v>
      </c>
      <c r="C1150" s="2047"/>
      <c r="D1150" s="2047"/>
      <c r="E1150" s="2048"/>
      <c r="F1150" s="1053">
        <f>F1133+F1141</f>
        <v>37923.949999999997</v>
      </c>
      <c r="G1150" s="1053">
        <f>G1133+G1141</f>
        <v>14924</v>
      </c>
      <c r="H1150" s="1053">
        <f>H1133+H1141</f>
        <v>14924</v>
      </c>
      <c r="I1150" s="1053">
        <f>I1133+I1141</f>
        <v>16401.831600000001</v>
      </c>
      <c r="J1150" s="1053">
        <f>J1133+J1141</f>
        <v>16678.287199999999</v>
      </c>
      <c r="K1150" s="1054"/>
      <c r="L1150" s="2049"/>
      <c r="M1150" s="2049"/>
      <c r="N1150" s="2049"/>
      <c r="O1150" s="2049"/>
      <c r="P1150" s="2050"/>
      <c r="Q1150" s="2051"/>
    </row>
    <row r="1151" spans="2:17" x14ac:dyDescent="0.25">
      <c r="B1151" s="1872" t="s">
        <v>1699</v>
      </c>
      <c r="C1151" s="1873"/>
      <c r="D1151" s="1873"/>
      <c r="E1151" s="1873"/>
      <c r="F1151" s="1873"/>
      <c r="G1151" s="1873"/>
      <c r="H1151" s="1873"/>
      <c r="I1151" s="1873"/>
      <c r="J1151" s="1873"/>
      <c r="K1151" s="1873"/>
      <c r="L1151" s="1873"/>
      <c r="M1151" s="1873"/>
      <c r="N1151" s="1873"/>
      <c r="O1151" s="1873"/>
      <c r="P1151" s="1873"/>
      <c r="Q1151" s="1873"/>
    </row>
    <row r="1152" spans="2:17" ht="73.5" x14ac:dyDescent="0.25">
      <c r="B1152" s="680" t="s">
        <v>516</v>
      </c>
      <c r="C1152" s="405"/>
      <c r="D1152" s="405"/>
      <c r="E1152" s="1055" t="s">
        <v>1700</v>
      </c>
      <c r="F1152" s="683">
        <f>F1153+F1154+F1157+F1155+F1156</f>
        <v>156048.4</v>
      </c>
      <c r="G1152" s="683">
        <f>G1153+G1154+G1157+G1155+G1156</f>
        <v>202331.69999999998</v>
      </c>
      <c r="H1152" s="683">
        <f>H1153+H1154+H1157+H1155+H1156</f>
        <v>220839.60000000003</v>
      </c>
      <c r="I1152" s="683">
        <f>I1153+I1154+I1157+I1155+I1156</f>
        <v>221032.1721312</v>
      </c>
      <c r="J1152" s="683">
        <f>J1153+J1154+J1157+J1155+J1156</f>
        <v>221468.2907100321</v>
      </c>
      <c r="K1152" s="1055" t="s">
        <v>34</v>
      </c>
      <c r="L1152" s="405" t="s">
        <v>35</v>
      </c>
      <c r="M1152" s="1056" t="s">
        <v>1701</v>
      </c>
      <c r="N1152" s="1056" t="s">
        <v>1702</v>
      </c>
      <c r="O1152" s="1057" t="s">
        <v>409</v>
      </c>
      <c r="P1152" s="1057" t="s">
        <v>409</v>
      </c>
      <c r="Q1152" s="1057" t="s">
        <v>409</v>
      </c>
    </row>
    <row r="1153" spans="2:17" x14ac:dyDescent="0.25">
      <c r="B1153" s="508"/>
      <c r="C1153" s="870">
        <v>1</v>
      </c>
      <c r="D1153" s="1020"/>
      <c r="E1153" s="424" t="s">
        <v>909</v>
      </c>
      <c r="F1153" s="786">
        <v>10587.5</v>
      </c>
      <c r="G1153" s="786">
        <v>8100.6</v>
      </c>
      <c r="H1153" s="1058">
        <v>8891.2000000000007</v>
      </c>
      <c r="I1153" s="1059">
        <v>8898.9531263999997</v>
      </c>
      <c r="J1153" s="1059">
        <v>8916.5116508136998</v>
      </c>
      <c r="K1153" s="659" t="s">
        <v>36</v>
      </c>
      <c r="L1153" s="660" t="s">
        <v>37</v>
      </c>
      <c r="M1153" s="421">
        <v>20</v>
      </c>
      <c r="N1153" s="660">
        <v>20.5</v>
      </c>
      <c r="O1153" s="660">
        <v>20.5</v>
      </c>
      <c r="P1153" s="660">
        <v>20.5</v>
      </c>
      <c r="Q1153" s="660">
        <v>20.5</v>
      </c>
    </row>
    <row r="1154" spans="2:17" ht="30" x14ac:dyDescent="0.25">
      <c r="B1154" s="508"/>
      <c r="C1154" s="870">
        <v>2</v>
      </c>
      <c r="D1154" s="1020"/>
      <c r="E1154" s="424" t="s">
        <v>8</v>
      </c>
      <c r="F1154" s="786">
        <v>11167.9</v>
      </c>
      <c r="G1154" s="786">
        <v>7468.5</v>
      </c>
      <c r="H1154" s="1058">
        <v>8281.4</v>
      </c>
      <c r="I1154" s="1059">
        <v>8288.6213807999993</v>
      </c>
      <c r="J1154" s="1059">
        <v>8304.9756596464558</v>
      </c>
      <c r="K1154" s="659" t="s">
        <v>38</v>
      </c>
      <c r="L1154" s="660" t="s">
        <v>35</v>
      </c>
      <c r="M1154" s="660">
        <v>100</v>
      </c>
      <c r="N1154" s="660">
        <v>100</v>
      </c>
      <c r="O1154" s="660">
        <v>100</v>
      </c>
      <c r="P1154" s="660">
        <v>100</v>
      </c>
      <c r="Q1154" s="660">
        <v>100</v>
      </c>
    </row>
    <row r="1155" spans="2:17" ht="30" x14ac:dyDescent="0.25">
      <c r="B1155" s="508"/>
      <c r="C1155" s="870">
        <v>3</v>
      </c>
      <c r="D1155" s="1020"/>
      <c r="E1155" s="424" t="s">
        <v>1703</v>
      </c>
      <c r="F1155" s="786"/>
      <c r="G1155" s="786">
        <v>6008.3</v>
      </c>
      <c r="H1155" s="1058">
        <v>6782.4000000000005</v>
      </c>
      <c r="I1155" s="1059">
        <v>6788.3142528000008</v>
      </c>
      <c r="J1155" s="1059">
        <v>6801.7082756522004</v>
      </c>
      <c r="K1155" s="659" t="s">
        <v>519</v>
      </c>
      <c r="L1155" s="660" t="s">
        <v>35</v>
      </c>
      <c r="M1155" s="660">
        <v>78.7</v>
      </c>
      <c r="N1155" s="660">
        <v>80</v>
      </c>
      <c r="O1155" s="660">
        <v>90</v>
      </c>
      <c r="P1155" s="660">
        <v>100</v>
      </c>
      <c r="Q1155" s="660">
        <v>100</v>
      </c>
    </row>
    <row r="1156" spans="2:17" ht="30" x14ac:dyDescent="0.25">
      <c r="B1156" s="508"/>
      <c r="C1156" s="870">
        <v>4</v>
      </c>
      <c r="D1156" s="1020"/>
      <c r="E1156" s="424" t="s">
        <v>1704</v>
      </c>
      <c r="F1156" s="786"/>
      <c r="G1156" s="786">
        <v>4019</v>
      </c>
      <c r="H1156" s="1058">
        <v>4349.2</v>
      </c>
      <c r="I1156" s="1059">
        <v>4352.9925023999995</v>
      </c>
      <c r="J1156" s="1059">
        <v>4361.5813919064849</v>
      </c>
      <c r="K1156" s="659" t="s">
        <v>191</v>
      </c>
      <c r="L1156" s="660" t="s">
        <v>1705</v>
      </c>
      <c r="M1156" s="660" t="s">
        <v>1706</v>
      </c>
      <c r="N1156" s="660">
        <v>100</v>
      </c>
      <c r="O1156" s="660">
        <v>100</v>
      </c>
      <c r="P1156" s="660">
        <v>100</v>
      </c>
      <c r="Q1156" s="660">
        <v>100</v>
      </c>
    </row>
    <row r="1157" spans="2:17" ht="30" x14ac:dyDescent="0.25">
      <c r="B1157" s="508"/>
      <c r="C1157" s="870">
        <v>6</v>
      </c>
      <c r="D1157" s="1020"/>
      <c r="E1157" s="424" t="s">
        <v>1707</v>
      </c>
      <c r="F1157" s="786">
        <v>134293</v>
      </c>
      <c r="G1157" s="786">
        <v>176735.3</v>
      </c>
      <c r="H1157" s="1058">
        <v>192535.40000000002</v>
      </c>
      <c r="I1157" s="1059">
        <v>192703.29086880002</v>
      </c>
      <c r="J1157" s="1059">
        <v>193083.51373201326</v>
      </c>
      <c r="K1157" s="659" t="s">
        <v>196</v>
      </c>
      <c r="L1157" s="660" t="s">
        <v>35</v>
      </c>
      <c r="M1157" s="660">
        <v>16</v>
      </c>
      <c r="N1157" s="660" t="s">
        <v>1708</v>
      </c>
      <c r="O1157" s="660" t="s">
        <v>1708</v>
      </c>
      <c r="P1157" s="660" t="s">
        <v>1708</v>
      </c>
      <c r="Q1157" s="660" t="s">
        <v>1708</v>
      </c>
    </row>
    <row r="1158" spans="2:17" x14ac:dyDescent="0.25">
      <c r="B1158" s="2257" t="s">
        <v>467</v>
      </c>
      <c r="C1158" s="1984"/>
      <c r="D1158" s="2254"/>
      <c r="E1158" s="2255" t="s">
        <v>1709</v>
      </c>
      <c r="F1158" s="1726">
        <f>F1160+F1161+F1162</f>
        <v>1082131.7999999998</v>
      </c>
      <c r="G1158" s="1726">
        <f>G1160+G1161+G1162</f>
        <v>1421292.5999999999</v>
      </c>
      <c r="H1158" s="1726">
        <f>H1160+H1161+H1162+H1163+H1164</f>
        <v>1412070.3999999999</v>
      </c>
      <c r="I1158" s="1726">
        <f>I1160+I1161+I1162+I1163+I1164</f>
        <v>1404008.1017728001</v>
      </c>
      <c r="J1158" s="1726">
        <f>J1160+J1161+J1162+J1163+J1164</f>
        <v>1406739.4646678679</v>
      </c>
      <c r="K1158" s="2256" t="s">
        <v>1710</v>
      </c>
      <c r="L1158" s="1694"/>
      <c r="M1158" s="2144">
        <v>114.3</v>
      </c>
      <c r="N1158" s="2144">
        <v>111.9</v>
      </c>
      <c r="O1158" s="2144">
        <v>108.2</v>
      </c>
      <c r="P1158" s="2144">
        <v>107.7</v>
      </c>
      <c r="Q1158" s="2144"/>
    </row>
    <row r="1159" spans="2:17" x14ac:dyDescent="0.25">
      <c r="B1159" s="2257"/>
      <c r="C1159" s="1984"/>
      <c r="D1159" s="2254"/>
      <c r="E1159" s="2255"/>
      <c r="F1159" s="1726"/>
      <c r="G1159" s="1726"/>
      <c r="H1159" s="1726"/>
      <c r="I1159" s="1726"/>
      <c r="J1159" s="1726"/>
      <c r="K1159" s="2256"/>
      <c r="L1159" s="1694"/>
      <c r="M1159" s="2144"/>
      <c r="N1159" s="2144"/>
      <c r="O1159" s="2144"/>
      <c r="P1159" s="2144"/>
      <c r="Q1159" s="2144"/>
    </row>
    <row r="1160" spans="2:17" ht="30" x14ac:dyDescent="0.25">
      <c r="B1160" s="680"/>
      <c r="C1160" s="661" t="s">
        <v>5</v>
      </c>
      <c r="D1160" s="681"/>
      <c r="E1160" s="693" t="s">
        <v>1711</v>
      </c>
      <c r="F1160" s="786">
        <v>647651.69999999995</v>
      </c>
      <c r="G1160" s="786">
        <v>650442.5</v>
      </c>
      <c r="H1160" s="786">
        <v>446128</v>
      </c>
      <c r="I1160" s="685">
        <f>437223.4</f>
        <v>437223.4</v>
      </c>
      <c r="J1160" s="685">
        <f>438085.8-38.6</f>
        <v>438047.2</v>
      </c>
      <c r="K1160" s="659" t="s">
        <v>1712</v>
      </c>
      <c r="L1160" s="660" t="s">
        <v>35</v>
      </c>
      <c r="M1160" s="660">
        <v>97.8</v>
      </c>
      <c r="N1160" s="660">
        <v>100</v>
      </c>
      <c r="O1160" s="660">
        <v>100</v>
      </c>
      <c r="P1160" s="660">
        <v>100</v>
      </c>
      <c r="Q1160" s="660">
        <v>100</v>
      </c>
    </row>
    <row r="1161" spans="2:17" ht="30" x14ac:dyDescent="0.25">
      <c r="B1161" s="680"/>
      <c r="C1161" s="661" t="s">
        <v>7</v>
      </c>
      <c r="D1161" s="681"/>
      <c r="E1161" s="693" t="s">
        <v>1713</v>
      </c>
      <c r="F1161" s="786">
        <v>434480.1</v>
      </c>
      <c r="G1161" s="786">
        <v>433648.9</v>
      </c>
      <c r="H1161" s="786">
        <v>421025</v>
      </c>
      <c r="I1161" s="685">
        <v>421392.13379999995</v>
      </c>
      <c r="J1161" s="685">
        <v>422223.58261920069</v>
      </c>
      <c r="K1161" s="659" t="s">
        <v>1714</v>
      </c>
      <c r="L1161" s="660" t="s">
        <v>40</v>
      </c>
      <c r="M1161" s="1060">
        <v>29733</v>
      </c>
      <c r="N1161" s="660">
        <v>50000</v>
      </c>
      <c r="O1161" s="660">
        <v>15000</v>
      </c>
      <c r="P1161" s="660">
        <v>10000</v>
      </c>
      <c r="Q1161" s="660">
        <v>10000</v>
      </c>
    </row>
    <row r="1162" spans="2:17" ht="30" x14ac:dyDescent="0.25">
      <c r="B1162" s="680"/>
      <c r="C1162" s="661" t="s">
        <v>9</v>
      </c>
      <c r="D1162" s="681"/>
      <c r="E1162" s="693" t="s">
        <v>1715</v>
      </c>
      <c r="F1162" s="786"/>
      <c r="G1162" s="786">
        <v>337201.2</v>
      </c>
      <c r="H1162" s="786">
        <v>272458.3</v>
      </c>
      <c r="I1162" s="685">
        <v>272695.8836376</v>
      </c>
      <c r="J1162" s="685">
        <v>273233.93988560536</v>
      </c>
      <c r="K1162" s="659" t="s">
        <v>1716</v>
      </c>
      <c r="L1162" s="660" t="s">
        <v>35</v>
      </c>
      <c r="M1162" s="665">
        <v>2.9</v>
      </c>
      <c r="N1162" s="665">
        <v>5</v>
      </c>
      <c r="O1162" s="665">
        <v>5</v>
      </c>
      <c r="P1162" s="665">
        <v>5</v>
      </c>
      <c r="Q1162" s="665">
        <v>5</v>
      </c>
    </row>
    <row r="1163" spans="2:17" ht="30" x14ac:dyDescent="0.25">
      <c r="B1163" s="680"/>
      <c r="C1163" s="661" t="s">
        <v>11</v>
      </c>
      <c r="D1163" s="681"/>
      <c r="E1163" s="693" t="s">
        <v>1717</v>
      </c>
      <c r="F1163" s="786"/>
      <c r="G1163" s="786"/>
      <c r="H1163" s="786">
        <v>136229.4</v>
      </c>
      <c r="I1163" s="685">
        <v>136348.1920368</v>
      </c>
      <c r="J1163" s="685">
        <v>136617.22065450781</v>
      </c>
      <c r="K1163" s="659" t="s">
        <v>1718</v>
      </c>
      <c r="L1163" s="660" t="s">
        <v>35</v>
      </c>
      <c r="M1163" s="665">
        <v>0</v>
      </c>
      <c r="N1163" s="665">
        <v>20</v>
      </c>
      <c r="O1163" s="665">
        <v>20</v>
      </c>
      <c r="P1163" s="665">
        <v>20</v>
      </c>
      <c r="Q1163" s="665">
        <v>20</v>
      </c>
    </row>
    <row r="1164" spans="2:17" ht="30" x14ac:dyDescent="0.25">
      <c r="B1164" s="680"/>
      <c r="C1164" s="661" t="s">
        <v>127</v>
      </c>
      <c r="D1164" s="681"/>
      <c r="E1164" s="693" t="s">
        <v>1719</v>
      </c>
      <c r="F1164" s="786"/>
      <c r="G1164" s="786"/>
      <c r="H1164" s="786">
        <v>136229.70000000001</v>
      </c>
      <c r="I1164" s="685">
        <v>136348.4922984</v>
      </c>
      <c r="J1164" s="685">
        <f>136617.521508554</f>
        <v>136617.521508554</v>
      </c>
      <c r="K1164" s="659" t="s">
        <v>1720</v>
      </c>
      <c r="L1164" s="660" t="s">
        <v>35</v>
      </c>
      <c r="M1164" s="665">
        <v>0</v>
      </c>
      <c r="N1164" s="665">
        <v>10</v>
      </c>
      <c r="O1164" s="665">
        <v>10</v>
      </c>
      <c r="P1164" s="665">
        <v>10</v>
      </c>
      <c r="Q1164" s="665">
        <v>10</v>
      </c>
    </row>
    <row r="1165" spans="2:17" x14ac:dyDescent="0.25">
      <c r="B1165" s="2248" t="s">
        <v>85</v>
      </c>
      <c r="C1165" s="2249"/>
      <c r="D1165" s="2249"/>
      <c r="E1165" s="2249"/>
      <c r="F1165" s="1061">
        <f>F1152+F1158</f>
        <v>1238180.1999999997</v>
      </c>
      <c r="G1165" s="1061">
        <f>G1152+G1158</f>
        <v>1623624.2999999998</v>
      </c>
      <c r="H1165" s="1061">
        <f>H1152+H1158</f>
        <v>1632910</v>
      </c>
      <c r="I1165" s="1061">
        <f>I1152+I1158</f>
        <v>1625040.2739040002</v>
      </c>
      <c r="J1165" s="1061">
        <f>J1152+J1158</f>
        <v>1628207.7553778999</v>
      </c>
      <c r="K1165" s="1062"/>
      <c r="L1165" s="2250"/>
      <c r="M1165" s="2250"/>
      <c r="N1165" s="2250"/>
      <c r="O1165" s="2250"/>
      <c r="P1165" s="2250"/>
      <c r="Q1165" s="2251"/>
    </row>
    <row r="1166" spans="2:17" x14ac:dyDescent="0.25">
      <c r="B1166" s="1710" t="s">
        <v>1721</v>
      </c>
      <c r="C1166" s="1710"/>
      <c r="D1166" s="1710"/>
      <c r="E1166" s="1710"/>
      <c r="F1166" s="1710"/>
      <c r="G1166" s="1710"/>
      <c r="H1166" s="1710"/>
      <c r="I1166" s="1710"/>
      <c r="J1166" s="1710"/>
      <c r="K1166" s="1710"/>
      <c r="L1166" s="1710"/>
      <c r="M1166" s="1710"/>
      <c r="N1166" s="1710"/>
      <c r="O1166" s="1710"/>
      <c r="P1166" s="1710"/>
      <c r="Q1166" s="1710"/>
    </row>
    <row r="1167" spans="2:17" ht="63" x14ac:dyDescent="0.25">
      <c r="B1167" s="1063">
        <v>1</v>
      </c>
      <c r="C1167" s="1064"/>
      <c r="D1167" s="1065"/>
      <c r="E1167" s="1046" t="s">
        <v>1722</v>
      </c>
      <c r="F1167" s="1066">
        <f>F1168+F1169+F1170+F1171+F1172+F1173+F1174</f>
        <v>191643.7</v>
      </c>
      <c r="G1167" s="1066">
        <f>G1168+G1169+G1170+G1171+G1172+G1173+G1174</f>
        <v>345476.50000000006</v>
      </c>
      <c r="H1167" s="1066">
        <f>H1168+H1169+H1170+H1171+H1172+H1173+H1174</f>
        <v>374576.6</v>
      </c>
      <c r="I1167" s="1066">
        <f>I1168+I1169+I1170+I1171+I1172+I1173+I1174</f>
        <v>372427.9</v>
      </c>
      <c r="J1167" s="1066">
        <f t="shared" ref="J1167" si="119">J1168+J1169+J1170+J1171+J1172+J1173+J1174</f>
        <v>373846.8</v>
      </c>
      <c r="K1167" s="1067" t="s">
        <v>34</v>
      </c>
      <c r="L1167" s="1068" t="s">
        <v>35</v>
      </c>
      <c r="M1167" s="1068" t="s">
        <v>169</v>
      </c>
      <c r="N1167" s="1068" t="s">
        <v>169</v>
      </c>
      <c r="O1167" s="1068" t="s">
        <v>169</v>
      </c>
      <c r="P1167" s="1068" t="s">
        <v>169</v>
      </c>
      <c r="Q1167" s="1068" t="s">
        <v>169</v>
      </c>
    </row>
    <row r="1168" spans="2:17" ht="15.75" x14ac:dyDescent="0.25">
      <c r="B1168" s="1069"/>
      <c r="C1168" s="1070">
        <v>1</v>
      </c>
      <c r="D1168" s="1064"/>
      <c r="E1168" s="261" t="s">
        <v>909</v>
      </c>
      <c r="F1168" s="1071">
        <f>2291+9927.7+381.8+763.7</f>
        <v>13364.2</v>
      </c>
      <c r="G1168" s="1071">
        <v>38482.699999999997</v>
      </c>
      <c r="H1168" s="1071">
        <v>56279.5</v>
      </c>
      <c r="I1168" s="1071">
        <v>56749.3</v>
      </c>
      <c r="J1168" s="1071">
        <v>56885.3</v>
      </c>
      <c r="K1168" s="1072" t="s">
        <v>36</v>
      </c>
      <c r="L1168" s="1073" t="s">
        <v>37</v>
      </c>
      <c r="M1168" s="1074">
        <v>7.3</v>
      </c>
      <c r="N1168" s="1074" t="s">
        <v>169</v>
      </c>
      <c r="O1168" s="1074" t="s">
        <v>169</v>
      </c>
      <c r="P1168" s="1074" t="s">
        <v>169</v>
      </c>
      <c r="Q1168" s="1074" t="s">
        <v>169</v>
      </c>
    </row>
    <row r="1169" spans="2:17" ht="31.5" x14ac:dyDescent="0.25">
      <c r="B1169" s="1069"/>
      <c r="C1169" s="1075">
        <v>2</v>
      </c>
      <c r="D1169" s="1064"/>
      <c r="E1169" s="126" t="s">
        <v>1723</v>
      </c>
      <c r="F1169" s="1071">
        <f>4200.2+1145.5+14509.7</f>
        <v>19855.400000000001</v>
      </c>
      <c r="G1169" s="1071">
        <v>49027.4</v>
      </c>
      <c r="H1169" s="1071">
        <v>55987.199999999997</v>
      </c>
      <c r="I1169" s="1071">
        <v>56540.5</v>
      </c>
      <c r="J1169" s="1071">
        <v>56750</v>
      </c>
      <c r="K1169" s="1072" t="s">
        <v>1724</v>
      </c>
      <c r="L1169" s="1073" t="s">
        <v>35</v>
      </c>
      <c r="M1169" s="1074">
        <v>67</v>
      </c>
      <c r="N1169" s="1074">
        <v>100</v>
      </c>
      <c r="O1169" s="1074">
        <v>100</v>
      </c>
      <c r="P1169" s="1074">
        <v>100</v>
      </c>
      <c r="Q1169" s="1074">
        <v>100</v>
      </c>
    </row>
    <row r="1170" spans="2:17" ht="31.5" x14ac:dyDescent="0.25">
      <c r="B1170" s="1069"/>
      <c r="C1170" s="1075">
        <v>3</v>
      </c>
      <c r="D1170" s="1064"/>
      <c r="E1170" s="126" t="s">
        <v>1725</v>
      </c>
      <c r="F1170" s="1071">
        <f>10691.3+4200.2+6109.3</f>
        <v>21000.799999999999</v>
      </c>
      <c r="G1170" s="1071">
        <v>46145.3</v>
      </c>
      <c r="H1170" s="1071">
        <v>57915.5</v>
      </c>
      <c r="I1170" s="1071">
        <v>58690.400000000001</v>
      </c>
      <c r="J1170" s="1071">
        <v>58939.3</v>
      </c>
      <c r="K1170" s="1076" t="s">
        <v>39</v>
      </c>
      <c r="L1170" s="1073" t="s">
        <v>313</v>
      </c>
      <c r="M1170" s="1074"/>
      <c r="N1170" s="1074" t="s">
        <v>169</v>
      </c>
      <c r="O1170" s="1074" t="s">
        <v>169</v>
      </c>
      <c r="P1170" s="1074" t="s">
        <v>169</v>
      </c>
      <c r="Q1170" s="1074" t="s">
        <v>169</v>
      </c>
    </row>
    <row r="1171" spans="2:17" ht="31.5" x14ac:dyDescent="0.25">
      <c r="B1171" s="1069"/>
      <c r="C1171" s="1075">
        <v>4</v>
      </c>
      <c r="D1171" s="1064"/>
      <c r="E1171" s="126" t="s">
        <v>1704</v>
      </c>
      <c r="F1171" s="1071">
        <f>8018.5</f>
        <v>8018.5</v>
      </c>
      <c r="G1171" s="1071">
        <v>24223.4</v>
      </c>
      <c r="H1171" s="1071">
        <v>29209.4</v>
      </c>
      <c r="I1171" s="1071">
        <v>30100.1</v>
      </c>
      <c r="J1171" s="1071">
        <v>30370.9</v>
      </c>
      <c r="K1171" s="1072" t="s">
        <v>191</v>
      </c>
      <c r="L1171" s="1073" t="s">
        <v>192</v>
      </c>
      <c r="M1171" s="1074"/>
      <c r="N1171" s="1074" t="s">
        <v>169</v>
      </c>
      <c r="O1171" s="1074" t="s">
        <v>169</v>
      </c>
      <c r="P1171" s="1074" t="s">
        <v>169</v>
      </c>
      <c r="Q1171" s="1074" t="s">
        <v>169</v>
      </c>
    </row>
    <row r="1172" spans="2:17" ht="47.25" x14ac:dyDescent="0.25">
      <c r="B1172" s="1069"/>
      <c r="C1172" s="1075">
        <v>5</v>
      </c>
      <c r="D1172" s="1064"/>
      <c r="E1172" s="126" t="s">
        <v>1726</v>
      </c>
      <c r="F1172" s="1071">
        <f>2291+13746+3054.7+5727.5</f>
        <v>24819.200000000001</v>
      </c>
      <c r="G1172" s="1071">
        <v>58053.8</v>
      </c>
      <c r="H1172" s="1071">
        <v>58966.599999999991</v>
      </c>
      <c r="I1172" s="1071">
        <v>59666.9</v>
      </c>
      <c r="J1172" s="1071">
        <v>59900</v>
      </c>
      <c r="K1172" s="1072" t="s">
        <v>45</v>
      </c>
      <c r="L1172" s="1073" t="s">
        <v>40</v>
      </c>
      <c r="M1172" s="1074"/>
      <c r="N1172" s="1074" t="s">
        <v>169</v>
      </c>
      <c r="O1172" s="1074" t="s">
        <v>169</v>
      </c>
      <c r="P1172" s="1074" t="s">
        <v>169</v>
      </c>
      <c r="Q1172" s="1074" t="s">
        <v>169</v>
      </c>
    </row>
    <row r="1173" spans="2:17" ht="63" x14ac:dyDescent="0.25">
      <c r="B1173" s="1077"/>
      <c r="C1173" s="1078">
        <v>6</v>
      </c>
      <c r="D1173" s="1064"/>
      <c r="E1173" s="918" t="s">
        <v>1727</v>
      </c>
      <c r="F1173" s="1071">
        <v>86439.5</v>
      </c>
      <c r="G1173" s="1071">
        <v>70172.100000000006</v>
      </c>
      <c r="H1173" s="1071">
        <v>62403.799999999988</v>
      </c>
      <c r="I1173" s="1071">
        <v>55780.5</v>
      </c>
      <c r="J1173" s="1071">
        <v>55851.199999999997</v>
      </c>
      <c r="K1173" s="1072" t="s">
        <v>1728</v>
      </c>
      <c r="L1173" s="1073" t="s">
        <v>35</v>
      </c>
      <c r="M1173" s="1079">
        <v>20</v>
      </c>
      <c r="N1173" s="1074">
        <v>20</v>
      </c>
      <c r="O1173" s="1074">
        <v>20</v>
      </c>
      <c r="P1173" s="1074">
        <v>20</v>
      </c>
      <c r="Q1173" s="1074">
        <v>20</v>
      </c>
    </row>
    <row r="1174" spans="2:17" ht="47.25" x14ac:dyDescent="0.25">
      <c r="B1174" s="1069"/>
      <c r="C1174" s="1080">
        <v>7</v>
      </c>
      <c r="D1174" s="1064"/>
      <c r="E1174" s="918" t="s">
        <v>1729</v>
      </c>
      <c r="F1174" s="1071">
        <f>381.8+15473.3+2291</f>
        <v>18146.099999999999</v>
      </c>
      <c r="G1174" s="1071">
        <v>59371.8</v>
      </c>
      <c r="H1174" s="1071">
        <v>53814.6</v>
      </c>
      <c r="I1174" s="1071">
        <v>54900.2</v>
      </c>
      <c r="J1174" s="1071">
        <v>55150.1</v>
      </c>
      <c r="K1174" s="1072" t="s">
        <v>1730</v>
      </c>
      <c r="L1174" s="1073" t="s">
        <v>40</v>
      </c>
      <c r="M1174" s="1074" t="s">
        <v>169</v>
      </c>
      <c r="N1174" s="1074" t="s">
        <v>169</v>
      </c>
      <c r="O1174" s="1074" t="s">
        <v>169</v>
      </c>
      <c r="P1174" s="1074" t="s">
        <v>169</v>
      </c>
      <c r="Q1174" s="1074" t="s">
        <v>169</v>
      </c>
    </row>
    <row r="1175" spans="2:17" ht="31.5" x14ac:dyDescent="0.25">
      <c r="B1175" s="1077">
        <v>2</v>
      </c>
      <c r="C1175" s="1081"/>
      <c r="D1175" s="1082"/>
      <c r="E1175" s="797" t="s">
        <v>1731</v>
      </c>
      <c r="F1175" s="1083">
        <f>F1176+F1178</f>
        <v>48492.800000000003</v>
      </c>
      <c r="G1175" s="1083">
        <f>G1176+G1178</f>
        <v>91566.599999999991</v>
      </c>
      <c r="H1175" s="1083">
        <f>H1176+H1178</f>
        <v>306122.59999999998</v>
      </c>
      <c r="I1175" s="1083">
        <f>I1176+I1178</f>
        <v>307592.5</v>
      </c>
      <c r="J1175" s="1083">
        <f>J1176+J1178</f>
        <v>308061.2</v>
      </c>
      <c r="K1175" s="1084" t="s">
        <v>1732</v>
      </c>
      <c r="L1175" s="1084"/>
      <c r="M1175" s="1085"/>
      <c r="N1175" s="1086" t="s">
        <v>169</v>
      </c>
      <c r="O1175" s="1086" t="s">
        <v>169</v>
      </c>
      <c r="P1175" s="1086" t="s">
        <v>169</v>
      </c>
      <c r="Q1175" s="1086" t="s">
        <v>169</v>
      </c>
    </row>
    <row r="1176" spans="2:17" ht="15.75" x14ac:dyDescent="0.25">
      <c r="B1176" s="2252"/>
      <c r="C1176" s="2179">
        <v>1</v>
      </c>
      <c r="D1176" s="2243"/>
      <c r="E1176" s="2245" t="s">
        <v>1733</v>
      </c>
      <c r="F1176" s="2233">
        <f>18328+22146.3+6491.2</f>
        <v>46965.5</v>
      </c>
      <c r="G1176" s="2233">
        <v>87202.2</v>
      </c>
      <c r="H1176" s="2233">
        <v>300613.8</v>
      </c>
      <c r="I1176" s="2233">
        <v>301401.8</v>
      </c>
      <c r="J1176" s="2233">
        <v>301751</v>
      </c>
      <c r="K1176" s="2052" t="s">
        <v>1734</v>
      </c>
      <c r="L1176" s="1084" t="s">
        <v>311</v>
      </c>
      <c r="M1176" s="1085"/>
      <c r="N1176" s="1087"/>
      <c r="O1176" s="1087"/>
      <c r="P1176" s="1087"/>
      <c r="Q1176" s="1087"/>
    </row>
    <row r="1177" spans="2:17" ht="15.75" x14ac:dyDescent="0.25">
      <c r="B1177" s="2253"/>
      <c r="C1177" s="2039"/>
      <c r="D1177" s="2244"/>
      <c r="E1177" s="2246"/>
      <c r="F1177" s="2234"/>
      <c r="G1177" s="2247"/>
      <c r="H1177" s="2247"/>
      <c r="I1177" s="2241"/>
      <c r="J1177" s="2241"/>
      <c r="K1177" s="2057"/>
      <c r="L1177" s="1084" t="s">
        <v>35</v>
      </c>
      <c r="M1177" s="1084">
        <v>98.4</v>
      </c>
      <c r="N1177" s="1088">
        <v>100</v>
      </c>
      <c r="O1177" s="1088">
        <v>100</v>
      </c>
      <c r="P1177" s="1088">
        <v>100</v>
      </c>
      <c r="Q1177" s="1088">
        <v>100</v>
      </c>
    </row>
    <row r="1178" spans="2:17" ht="63" x14ac:dyDescent="0.25">
      <c r="B1178" s="1089"/>
      <c r="C1178" s="1080">
        <v>2</v>
      </c>
      <c r="D1178" s="1090"/>
      <c r="E1178" s="693" t="s">
        <v>1735</v>
      </c>
      <c r="F1178" s="1071">
        <f>1527.3</f>
        <v>1527.3</v>
      </c>
      <c r="G1178" s="1071">
        <v>4364.3999999999996</v>
      </c>
      <c r="H1178" s="1071">
        <v>5508.8</v>
      </c>
      <c r="I1178" s="1071">
        <v>6190.7</v>
      </c>
      <c r="J1178" s="1071">
        <v>6310.2</v>
      </c>
      <c r="K1178" s="1091" t="s">
        <v>1736</v>
      </c>
      <c r="L1178" s="1084" t="s">
        <v>1737</v>
      </c>
      <c r="M1178" s="1084"/>
      <c r="N1178" s="1092"/>
      <c r="O1178" s="1092"/>
      <c r="P1178" s="1088"/>
      <c r="Q1178" s="1088"/>
    </row>
    <row r="1179" spans="2:17" ht="58.5" x14ac:dyDescent="0.25">
      <c r="B1179" s="1077">
        <v>3</v>
      </c>
      <c r="C1179" s="1081"/>
      <c r="D1179" s="1082"/>
      <c r="E1179" s="684" t="s">
        <v>1738</v>
      </c>
      <c r="F1179" s="1083">
        <f>F1180</f>
        <v>331731.40000000002</v>
      </c>
      <c r="G1179" s="1083">
        <f>G1180</f>
        <v>634824.80000000005</v>
      </c>
      <c r="H1179" s="1083">
        <f>H1180</f>
        <v>363072.5</v>
      </c>
      <c r="I1179" s="1083">
        <f>I1180</f>
        <v>364661.6</v>
      </c>
      <c r="J1179" s="1083">
        <f>J1180</f>
        <v>364810.3</v>
      </c>
      <c r="K1179" s="1084" t="s">
        <v>1739</v>
      </c>
      <c r="L1179" s="1084" t="s">
        <v>514</v>
      </c>
      <c r="M1179" s="1084">
        <v>195</v>
      </c>
      <c r="N1179" s="1093"/>
      <c r="O1179" s="1093"/>
      <c r="P1179" s="1093"/>
      <c r="Q1179" s="1093"/>
    </row>
    <row r="1180" spans="2:17" ht="31.5" x14ac:dyDescent="0.25">
      <c r="B1180" s="2035"/>
      <c r="C1180" s="2179">
        <v>1</v>
      </c>
      <c r="D1180" s="2042"/>
      <c r="E1180" s="1845" t="s">
        <v>1740</v>
      </c>
      <c r="F1180" s="2233">
        <f>89730.8+23291.8+131129.2+5345.7+4582+30486.7+39528.7+7636.5</f>
        <v>331731.40000000002</v>
      </c>
      <c r="G1180" s="2233">
        <f>637305.8-2451-30</f>
        <v>634824.80000000005</v>
      </c>
      <c r="H1180" s="2233">
        <v>363072.5</v>
      </c>
      <c r="I1180" s="2233">
        <v>364661.6</v>
      </c>
      <c r="J1180" s="2233">
        <v>364810.3</v>
      </c>
      <c r="K1180" s="1084" t="s">
        <v>1741</v>
      </c>
      <c r="L1180" s="1084" t="s">
        <v>514</v>
      </c>
      <c r="M1180" s="1094">
        <v>195</v>
      </c>
      <c r="N1180" s="1088" t="s">
        <v>169</v>
      </c>
      <c r="O1180" s="1088" t="s">
        <v>169</v>
      </c>
      <c r="P1180" s="1088" t="s">
        <v>169</v>
      </c>
      <c r="Q1180" s="1088" t="s">
        <v>169</v>
      </c>
    </row>
    <row r="1181" spans="2:17" ht="31.5" x14ac:dyDescent="0.25">
      <c r="B1181" s="2036"/>
      <c r="C1181" s="2180"/>
      <c r="D1181" s="2242"/>
      <c r="E1181" s="1846"/>
      <c r="F1181" s="2240"/>
      <c r="G1181" s="2240"/>
      <c r="H1181" s="2240"/>
      <c r="I1181" s="2241"/>
      <c r="J1181" s="2241"/>
      <c r="K1181" s="1091" t="s">
        <v>1742</v>
      </c>
      <c r="L1181" s="1091" t="s">
        <v>514</v>
      </c>
      <c r="M1181" s="1095" t="s">
        <v>169</v>
      </c>
      <c r="N1181" s="1096" t="s">
        <v>169</v>
      </c>
      <c r="O1181" s="1096" t="s">
        <v>169</v>
      </c>
      <c r="P1181" s="1096" t="s">
        <v>169</v>
      </c>
      <c r="Q1181" s="1096" t="s">
        <v>169</v>
      </c>
    </row>
    <row r="1182" spans="2:17" ht="15.75" x14ac:dyDescent="0.25">
      <c r="B1182" s="2037" t="s">
        <v>85</v>
      </c>
      <c r="C1182" s="2037"/>
      <c r="D1182" s="2037"/>
      <c r="E1182" s="2037"/>
      <c r="F1182" s="1097">
        <f>F1179+F1175+F1167</f>
        <v>571867.9</v>
      </c>
      <c r="G1182" s="1097">
        <f>G1179+G1175+G1167</f>
        <v>1071867.9000000001</v>
      </c>
      <c r="H1182" s="1097">
        <f>H1179+H1175+H1167</f>
        <v>1043771.7</v>
      </c>
      <c r="I1182" s="1097">
        <f>I1179+I1175+I1167</f>
        <v>1044682</v>
      </c>
      <c r="J1182" s="1097">
        <f>J1179+J1175+J1167</f>
        <v>1046718.3</v>
      </c>
      <c r="K1182" s="1098"/>
      <c r="L1182" s="2028"/>
      <c r="M1182" s="2028"/>
      <c r="N1182" s="2028"/>
      <c r="O1182" s="2028"/>
      <c r="P1182" s="2028"/>
      <c r="Q1182" s="2028"/>
    </row>
    <row r="1183" spans="2:17" x14ac:dyDescent="0.25">
      <c r="B1183" s="1710" t="s">
        <v>1743</v>
      </c>
      <c r="C1183" s="1710"/>
      <c r="D1183" s="1710"/>
      <c r="E1183" s="1710"/>
      <c r="F1183" s="1710"/>
      <c r="G1183" s="1710"/>
      <c r="H1183" s="1710"/>
      <c r="I1183" s="1710"/>
      <c r="J1183" s="1710"/>
      <c r="K1183" s="1710"/>
      <c r="L1183" s="1710"/>
      <c r="M1183" s="1710"/>
      <c r="N1183" s="1710"/>
      <c r="O1183" s="1710"/>
      <c r="P1183" s="1710"/>
      <c r="Q1183" s="1710"/>
    </row>
    <row r="1184" spans="2:17" ht="78.75" x14ac:dyDescent="0.25">
      <c r="B1184" s="2038" t="s">
        <v>467</v>
      </c>
      <c r="C1184" s="2042"/>
      <c r="D1184" s="2042"/>
      <c r="E1184" s="2056" t="s">
        <v>1744</v>
      </c>
      <c r="F1184" s="2054">
        <f>F1186+F1188+F1189</f>
        <v>11692.6</v>
      </c>
      <c r="G1184" s="2054">
        <f>G1186+G1188+G1189</f>
        <v>11692.6</v>
      </c>
      <c r="H1184" s="2054">
        <f t="shared" ref="H1184:J1184" si="120">H1186+H1188+H1189</f>
        <v>11692.6</v>
      </c>
      <c r="I1184" s="2054">
        <f t="shared" si="120"/>
        <v>11702.8</v>
      </c>
      <c r="J1184" s="2054">
        <f t="shared" si="120"/>
        <v>11725.6</v>
      </c>
      <c r="K1184" s="1084" t="s">
        <v>1745</v>
      </c>
      <c r="L1184" s="1073" t="s">
        <v>203</v>
      </c>
      <c r="M1184" s="1073">
        <v>427</v>
      </c>
      <c r="N1184" s="1086">
        <v>450</v>
      </c>
      <c r="O1184" s="1086">
        <v>450</v>
      </c>
      <c r="P1184" s="1086">
        <v>450</v>
      </c>
      <c r="Q1184" s="1086">
        <v>450</v>
      </c>
    </row>
    <row r="1185" spans="2:17" ht="63" x14ac:dyDescent="0.25">
      <c r="B1185" s="2039"/>
      <c r="C1185" s="2039"/>
      <c r="D1185" s="2039"/>
      <c r="E1185" s="2057"/>
      <c r="F1185" s="2055"/>
      <c r="G1185" s="2055"/>
      <c r="H1185" s="2055"/>
      <c r="I1185" s="2055"/>
      <c r="J1185" s="2055"/>
      <c r="K1185" s="1084" t="s">
        <v>1746</v>
      </c>
      <c r="L1185" s="1073" t="s">
        <v>1747</v>
      </c>
      <c r="M1185" s="1073" t="s">
        <v>1748</v>
      </c>
      <c r="N1185" s="1071" t="s">
        <v>1749</v>
      </c>
      <c r="O1185" s="1071" t="s">
        <v>1750</v>
      </c>
      <c r="P1185" s="1071" t="s">
        <v>1751</v>
      </c>
      <c r="Q1185" s="1071" t="s">
        <v>1752</v>
      </c>
    </row>
    <row r="1186" spans="2:17" ht="47.25" x14ac:dyDescent="0.25">
      <c r="B1186" s="2038"/>
      <c r="C1186" s="2042" t="s">
        <v>5</v>
      </c>
      <c r="D1186" s="2042"/>
      <c r="E1186" s="2237" t="s">
        <v>1753</v>
      </c>
      <c r="F1186" s="2233">
        <f>1610+106</f>
        <v>1716</v>
      </c>
      <c r="G1186" s="2233">
        <f t="shared" ref="G1186:J1186" si="121">1610+106</f>
        <v>1716</v>
      </c>
      <c r="H1186" s="2233">
        <f t="shared" si="121"/>
        <v>1716</v>
      </c>
      <c r="I1186" s="2233">
        <f t="shared" si="121"/>
        <v>1716</v>
      </c>
      <c r="J1186" s="2233">
        <f t="shared" si="121"/>
        <v>1716</v>
      </c>
      <c r="K1186" s="1084" t="s">
        <v>1754</v>
      </c>
      <c r="L1186" s="1073" t="s">
        <v>1755</v>
      </c>
      <c r="M1186" s="1073">
        <v>9</v>
      </c>
      <c r="N1186" s="1099">
        <v>8</v>
      </c>
      <c r="O1186" s="1099">
        <v>9</v>
      </c>
      <c r="P1186" s="1099">
        <v>10</v>
      </c>
      <c r="Q1186" s="1099">
        <v>10</v>
      </c>
    </row>
    <row r="1187" spans="2:17" ht="15.75" x14ac:dyDescent="0.25">
      <c r="B1187" s="2040"/>
      <c r="C1187" s="2040"/>
      <c r="D1187" s="2040"/>
      <c r="E1187" s="2238"/>
      <c r="F1187" s="2240"/>
      <c r="G1187" s="2240"/>
      <c r="H1187" s="2240"/>
      <c r="I1187" s="2240"/>
      <c r="J1187" s="2240"/>
      <c r="K1187" s="1084" t="s">
        <v>1756</v>
      </c>
      <c r="L1187" s="1073" t="s">
        <v>203</v>
      </c>
      <c r="M1187" s="1073">
        <v>719</v>
      </c>
      <c r="N1187" s="1099">
        <v>2100</v>
      </c>
      <c r="O1187" s="1099">
        <v>2150</v>
      </c>
      <c r="P1187" s="1099">
        <v>2200</v>
      </c>
      <c r="Q1187" s="1099">
        <v>2200</v>
      </c>
    </row>
    <row r="1188" spans="2:17" ht="15.75" x14ac:dyDescent="0.25">
      <c r="B1188" s="2039"/>
      <c r="C1188" s="2039"/>
      <c r="D1188" s="2039"/>
      <c r="E1188" s="2239"/>
      <c r="F1188" s="2241"/>
      <c r="G1188" s="2241"/>
      <c r="H1188" s="2241"/>
      <c r="I1188" s="2241"/>
      <c r="J1188" s="2241"/>
      <c r="K1188" s="1084"/>
      <c r="L1188" s="1073"/>
      <c r="M1188" s="1073"/>
      <c r="N1188" s="1099"/>
      <c r="O1188" s="1099"/>
      <c r="P1188" s="1099"/>
      <c r="Q1188" s="1099"/>
    </row>
    <row r="1189" spans="2:17" ht="31.5" x14ac:dyDescent="0.25">
      <c r="B1189" s="2038"/>
      <c r="C1189" s="2042" t="s">
        <v>9</v>
      </c>
      <c r="D1189" s="2042"/>
      <c r="E1189" s="2052" t="s">
        <v>1757</v>
      </c>
      <c r="F1189" s="2233">
        <v>9976.6</v>
      </c>
      <c r="G1189" s="2233">
        <f>9976.6</f>
        <v>9976.6</v>
      </c>
      <c r="H1189" s="2233">
        <f t="shared" ref="H1189" si="122">9976.6</f>
        <v>9976.6</v>
      </c>
      <c r="I1189" s="2233">
        <v>9986.7999999999993</v>
      </c>
      <c r="J1189" s="2233">
        <v>10009.6</v>
      </c>
      <c r="K1189" s="1084" t="s">
        <v>1758</v>
      </c>
      <c r="L1189" s="1073" t="s">
        <v>1759</v>
      </c>
      <c r="M1189" s="1073">
        <v>162</v>
      </c>
      <c r="N1189" s="1086">
        <v>160</v>
      </c>
      <c r="O1189" s="1086">
        <v>165</v>
      </c>
      <c r="P1189" s="1086">
        <v>170</v>
      </c>
      <c r="Q1189" s="1086">
        <v>175</v>
      </c>
    </row>
    <row r="1190" spans="2:17" ht="47.25" x14ac:dyDescent="0.25">
      <c r="B1190" s="2040"/>
      <c r="C1190" s="2040"/>
      <c r="D1190" s="2040"/>
      <c r="E1190" s="2235"/>
      <c r="F1190" s="2236"/>
      <c r="G1190" s="2236"/>
      <c r="H1190" s="2236"/>
      <c r="I1190" s="2236"/>
      <c r="J1190" s="2236"/>
      <c r="K1190" s="1084" t="s">
        <v>1760</v>
      </c>
      <c r="L1190" s="1073" t="s">
        <v>1755</v>
      </c>
      <c r="M1190" s="1073">
        <v>6213</v>
      </c>
      <c r="N1190" s="1099">
        <v>6150</v>
      </c>
      <c r="O1190" s="1099">
        <v>6200</v>
      </c>
      <c r="P1190" s="1099">
        <v>6250</v>
      </c>
      <c r="Q1190" s="1099">
        <v>6300</v>
      </c>
    </row>
    <row r="1191" spans="2:17" ht="47.25" x14ac:dyDescent="0.25">
      <c r="B1191" s="2039"/>
      <c r="C1191" s="2039"/>
      <c r="D1191" s="2039"/>
      <c r="E1191" s="2057"/>
      <c r="F1191" s="2055"/>
      <c r="G1191" s="2055"/>
      <c r="H1191" s="2055"/>
      <c r="I1191" s="2055"/>
      <c r="J1191" s="2055"/>
      <c r="K1191" s="1100" t="s">
        <v>1761</v>
      </c>
      <c r="L1191" s="1073" t="s">
        <v>35</v>
      </c>
      <c r="M1191" s="1073">
        <v>37</v>
      </c>
      <c r="N1191" s="1099">
        <v>50</v>
      </c>
      <c r="O1191" s="1099">
        <v>55</v>
      </c>
      <c r="P1191" s="1099">
        <v>60</v>
      </c>
      <c r="Q1191" s="1099">
        <v>65</v>
      </c>
    </row>
    <row r="1192" spans="2:17" ht="47.25" x14ac:dyDescent="0.25">
      <c r="B1192" s="2041" t="s">
        <v>500</v>
      </c>
      <c r="C1192" s="1101"/>
      <c r="D1192" s="2042"/>
      <c r="E1192" s="2052" t="s">
        <v>1762</v>
      </c>
      <c r="F1192" s="2054">
        <f>F1194+F1196</f>
        <v>28008.7</v>
      </c>
      <c r="G1192" s="2054">
        <f>G1194+G1196</f>
        <v>28008.7</v>
      </c>
      <c r="H1192" s="2054">
        <f t="shared" ref="H1192:J1192" si="123">H1194+H1196</f>
        <v>28008.7</v>
      </c>
      <c r="I1192" s="2054">
        <f t="shared" si="123"/>
        <v>28033.1</v>
      </c>
      <c r="J1192" s="2054">
        <f t="shared" si="123"/>
        <v>28087.800000000003</v>
      </c>
      <c r="K1192" s="1102" t="s">
        <v>1763</v>
      </c>
      <c r="L1192" s="1103" t="s">
        <v>203</v>
      </c>
      <c r="M1192" s="1073">
        <v>211</v>
      </c>
      <c r="N1192" s="1073">
        <v>211</v>
      </c>
      <c r="O1192" s="1073">
        <v>211</v>
      </c>
      <c r="P1192" s="1073">
        <v>211</v>
      </c>
      <c r="Q1192" s="1073">
        <v>211</v>
      </c>
    </row>
    <row r="1193" spans="2:17" ht="63" x14ac:dyDescent="0.25">
      <c r="B1193" s="2027"/>
      <c r="C1193" s="1104"/>
      <c r="D1193" s="2039"/>
      <c r="E1193" s="2053"/>
      <c r="F1193" s="2055"/>
      <c r="G1193" s="2055"/>
      <c r="H1193" s="2055"/>
      <c r="I1193" s="2055"/>
      <c r="J1193" s="2055"/>
      <c r="K1193" s="1102" t="s">
        <v>1764</v>
      </c>
      <c r="L1193" s="509" t="s">
        <v>311</v>
      </c>
      <c r="M1193" s="1105">
        <v>178000</v>
      </c>
      <c r="N1193" s="1106">
        <v>160272.5</v>
      </c>
      <c r="O1193" s="1106">
        <v>160272.5</v>
      </c>
      <c r="P1193" s="1106">
        <v>160272.5</v>
      </c>
      <c r="Q1193" s="1106">
        <v>166716.70000000001</v>
      </c>
    </row>
    <row r="1194" spans="2:17" ht="47.25" x14ac:dyDescent="0.25">
      <c r="B1194" s="2026"/>
      <c r="C1194" s="2042" t="s">
        <v>5</v>
      </c>
      <c r="D1194" s="2042"/>
      <c r="E1194" s="2231" t="s">
        <v>1765</v>
      </c>
      <c r="F1194" s="2233">
        <v>19232.7</v>
      </c>
      <c r="G1194" s="2233">
        <v>19232.7</v>
      </c>
      <c r="H1194" s="2233">
        <f>G1194</f>
        <v>19232.7</v>
      </c>
      <c r="I1194" s="2233">
        <f>H1194</f>
        <v>19232.7</v>
      </c>
      <c r="J1194" s="2233">
        <v>19287.400000000001</v>
      </c>
      <c r="K1194" s="1084" t="s">
        <v>1766</v>
      </c>
      <c r="L1194" s="660" t="s">
        <v>291</v>
      </c>
      <c r="M1194" s="1073">
        <v>11230</v>
      </c>
      <c r="N1194" s="1099">
        <v>0</v>
      </c>
      <c r="O1194" s="1099">
        <v>0</v>
      </c>
      <c r="P1194" s="1099">
        <v>0</v>
      </c>
      <c r="Q1194" s="1099">
        <v>0</v>
      </c>
    </row>
    <row r="1195" spans="2:17" ht="63" x14ac:dyDescent="0.25">
      <c r="B1195" s="2027"/>
      <c r="C1195" s="2039"/>
      <c r="D1195" s="2039"/>
      <c r="E1195" s="2232"/>
      <c r="F1195" s="2234"/>
      <c r="G1195" s="2234"/>
      <c r="H1195" s="2234"/>
      <c r="I1195" s="2234"/>
      <c r="J1195" s="2234"/>
      <c r="K1195" s="1084" t="s">
        <v>1767</v>
      </c>
      <c r="L1195" s="693" t="s">
        <v>311</v>
      </c>
      <c r="M1195" s="1095">
        <v>11977</v>
      </c>
      <c r="N1195" s="1107">
        <v>10786</v>
      </c>
      <c r="O1195" s="1107">
        <v>10786</v>
      </c>
      <c r="P1195" s="1107">
        <v>10786</v>
      </c>
      <c r="Q1195" s="1107">
        <v>10786</v>
      </c>
    </row>
    <row r="1196" spans="2:17" ht="47.25" x14ac:dyDescent="0.25">
      <c r="B1196" s="1108"/>
      <c r="C1196" s="1104" t="s">
        <v>7</v>
      </c>
      <c r="D1196" s="1104"/>
      <c r="E1196" s="1109" t="s">
        <v>1768</v>
      </c>
      <c r="F1196" s="1110">
        <v>8776</v>
      </c>
      <c r="G1196" s="1110">
        <v>8776</v>
      </c>
      <c r="H1196" s="1071">
        <v>8776</v>
      </c>
      <c r="I1196" s="1071">
        <v>8800.4</v>
      </c>
      <c r="J1196" s="1071">
        <v>8800.4</v>
      </c>
      <c r="K1196" s="1111"/>
      <c r="L1196" s="509"/>
      <c r="M1196" s="1095"/>
      <c r="N1196" s="1107"/>
      <c r="O1196" s="1107"/>
      <c r="P1196" s="1107"/>
      <c r="Q1196" s="1107"/>
    </row>
    <row r="1197" spans="2:17" ht="15.75" x14ac:dyDescent="0.25">
      <c r="B1197" s="1942" t="s">
        <v>85</v>
      </c>
      <c r="C1197" s="1942"/>
      <c r="D1197" s="1942"/>
      <c r="E1197" s="1942"/>
      <c r="F1197" s="322">
        <f>F1184+F1192</f>
        <v>39701.300000000003</v>
      </c>
      <c r="G1197" s="322">
        <f>G1184+G1192</f>
        <v>39701.300000000003</v>
      </c>
      <c r="H1197" s="322">
        <f>H1184+H1194+H1196</f>
        <v>39701.300000000003</v>
      </c>
      <c r="I1197" s="322">
        <f>I1184+I1194+I1196</f>
        <v>39735.9</v>
      </c>
      <c r="J1197" s="322">
        <f>J1184+J1194+J1196</f>
        <v>39813.4</v>
      </c>
      <c r="K1197" s="1098"/>
      <c r="L1197" s="2028"/>
      <c r="M1197" s="2028"/>
      <c r="N1197" s="2028"/>
      <c r="O1197" s="2028"/>
      <c r="P1197" s="2028"/>
      <c r="Q1197" s="2028"/>
    </row>
    <row r="1198" spans="2:17" x14ac:dyDescent="0.25">
      <c r="B1198" s="1872" t="s">
        <v>1769</v>
      </c>
      <c r="C1198" s="1873"/>
      <c r="D1198" s="1873"/>
      <c r="E1198" s="1873"/>
      <c r="F1198" s="1873"/>
      <c r="G1198" s="1873"/>
      <c r="H1198" s="1873"/>
      <c r="I1198" s="1873"/>
      <c r="J1198" s="1873"/>
      <c r="K1198" s="1873"/>
      <c r="L1198" s="1873"/>
      <c r="M1198" s="1873"/>
      <c r="N1198" s="1873"/>
      <c r="O1198" s="1873"/>
      <c r="P1198" s="1873"/>
      <c r="Q1198" s="1873"/>
    </row>
    <row r="1199" spans="2:17" ht="73.5" x14ac:dyDescent="0.25">
      <c r="B1199" s="1112" t="s">
        <v>516</v>
      </c>
      <c r="C1199" s="1113"/>
      <c r="D1199" s="1114"/>
      <c r="E1199" s="1115" t="s">
        <v>1770</v>
      </c>
      <c r="F1199" s="1116">
        <f>F1200+F1201</f>
        <v>5852</v>
      </c>
      <c r="G1199" s="1116">
        <f t="shared" ref="G1199:J1199" si="124">G1200+G1201</f>
        <v>5907</v>
      </c>
      <c r="H1199" s="1116">
        <f>H1200+H1201+H1202</f>
        <v>28403.5</v>
      </c>
      <c r="I1199" s="1116">
        <f t="shared" si="124"/>
        <v>6007</v>
      </c>
      <c r="J1199" s="1116">
        <f t="shared" si="124"/>
        <v>6085.5974999999999</v>
      </c>
      <c r="K1199" s="1115" t="s">
        <v>36</v>
      </c>
      <c r="L1199" s="1117" t="s">
        <v>37</v>
      </c>
      <c r="M1199" s="1118"/>
      <c r="N1199" s="1118"/>
      <c r="O1199" s="1118"/>
      <c r="P1199" s="1118"/>
      <c r="Q1199" s="1118"/>
    </row>
    <row r="1200" spans="2:17" ht="30" x14ac:dyDescent="0.25">
      <c r="B1200" s="1114"/>
      <c r="C1200" s="1119" t="s">
        <v>5</v>
      </c>
      <c r="D1200" s="1119"/>
      <c r="E1200" s="1120" t="s">
        <v>6</v>
      </c>
      <c r="F1200" s="1121">
        <v>2209</v>
      </c>
      <c r="G1200" s="1121">
        <v>2242</v>
      </c>
      <c r="H1200" s="1121">
        <v>1451.2</v>
      </c>
      <c r="I1200" s="1121">
        <v>2280</v>
      </c>
      <c r="J1200" s="1121">
        <f>2280.3*101.3/100</f>
        <v>2309.9439000000002</v>
      </c>
      <c r="K1200" s="1122" t="s">
        <v>38</v>
      </c>
      <c r="L1200" s="1117" t="s">
        <v>35</v>
      </c>
      <c r="M1200" s="1118">
        <v>100</v>
      </c>
      <c r="N1200" s="1118"/>
      <c r="O1200" s="1118"/>
      <c r="P1200" s="1118"/>
      <c r="Q1200" s="1118"/>
    </row>
    <row r="1201" spans="2:17" x14ac:dyDescent="0.25">
      <c r="B1201" s="1114"/>
      <c r="C1201" s="1114" t="s">
        <v>7</v>
      </c>
      <c r="D1201" s="1114"/>
      <c r="E1201" s="1123" t="s">
        <v>8</v>
      </c>
      <c r="F1201" s="1124">
        <v>3643</v>
      </c>
      <c r="G1201" s="1124">
        <v>3665</v>
      </c>
      <c r="H1201" s="1124">
        <v>1615.6</v>
      </c>
      <c r="I1201" s="1124">
        <v>3727</v>
      </c>
      <c r="J1201" s="1124">
        <f>3727.2*101.3/100</f>
        <v>3775.6535999999996</v>
      </c>
      <c r="K1201" s="659"/>
      <c r="L1201" s="660" t="s">
        <v>192</v>
      </c>
      <c r="M1201" s="660"/>
      <c r="N1201" s="660"/>
      <c r="O1201" s="660"/>
      <c r="P1201" s="660"/>
      <c r="Q1201" s="660"/>
    </row>
    <row r="1202" spans="2:17" ht="30" x14ac:dyDescent="0.25">
      <c r="B1202" s="1114"/>
      <c r="C1202" s="1119" t="s">
        <v>1771</v>
      </c>
      <c r="D1202" s="1114"/>
      <c r="E1202" s="1125" t="s">
        <v>1772</v>
      </c>
      <c r="F1202" s="1124"/>
      <c r="G1202" s="1124"/>
      <c r="H1202" s="1121">
        <v>25336.7</v>
      </c>
      <c r="I1202" s="1124"/>
      <c r="J1202" s="1124"/>
      <c r="K1202" s="659"/>
      <c r="L1202" s="660" t="s">
        <v>40</v>
      </c>
      <c r="M1202" s="660"/>
      <c r="N1202" s="660"/>
      <c r="O1202" s="660"/>
      <c r="P1202" s="660"/>
      <c r="Q1202" s="660"/>
    </row>
    <row r="1203" spans="2:17" ht="57.75" x14ac:dyDescent="0.25">
      <c r="B1203" s="1699" t="s">
        <v>467</v>
      </c>
      <c r="C1203" s="2229"/>
      <c r="D1203" s="2230"/>
      <c r="E1203" s="1126" t="s">
        <v>1773</v>
      </c>
      <c r="F1203" s="2029">
        <f>F1205+F1206+F1207+F1208+F1209+F1210+F1211+F1212+F1213+F1214+F1215</f>
        <v>22060.400000000001</v>
      </c>
      <c r="G1203" s="2029">
        <f>G1205+G1206+G1207+G1208+G1209+G1210+G1211+G1212+G1213+G1214+G1215</f>
        <v>24496.5</v>
      </c>
      <c r="H1203" s="2029">
        <f>H1205+H1206+H1207+H1208+H1209+H1210+H1211+H1212+H1213+H1214+H1215</f>
        <v>0</v>
      </c>
      <c r="I1203" s="2029">
        <f>I1205+I1206+I1207+I1208+I1209+I1210+I1211+I1212+I1213+I1214+I1215</f>
        <v>22421.300000000003</v>
      </c>
      <c r="J1203" s="2029">
        <f>J1205+J1206+J1207+J1208+J1209+J1210+J1211+J1212+J1213+J1214+J1215</f>
        <v>22398.115099999995</v>
      </c>
      <c r="K1203" s="659"/>
      <c r="L1203" s="660" t="s">
        <v>35</v>
      </c>
      <c r="M1203" s="660"/>
      <c r="N1203" s="660"/>
      <c r="O1203" s="660"/>
      <c r="P1203" s="660"/>
      <c r="Q1203" s="660"/>
    </row>
    <row r="1204" spans="2:17" ht="45" x14ac:dyDescent="0.25">
      <c r="B1204" s="1700"/>
      <c r="C1204" s="2229"/>
      <c r="D1204" s="2230"/>
      <c r="E1204" s="1127" t="s">
        <v>1774</v>
      </c>
      <c r="F1204" s="2029"/>
      <c r="G1204" s="2029"/>
      <c r="H1204" s="2029"/>
      <c r="I1204" s="2029"/>
      <c r="J1204" s="2029"/>
      <c r="K1204" s="659"/>
      <c r="L1204" s="660"/>
      <c r="M1204" s="660"/>
      <c r="N1204" s="660"/>
      <c r="O1204" s="660"/>
      <c r="P1204" s="660"/>
      <c r="Q1204" s="660"/>
    </row>
    <row r="1205" spans="2:17" x14ac:dyDescent="0.25">
      <c r="B1205" s="1128"/>
      <c r="C1205" s="1114" t="s">
        <v>5</v>
      </c>
      <c r="D1205" s="1129"/>
      <c r="E1205" s="1130" t="s">
        <v>333</v>
      </c>
      <c r="F1205" s="1121"/>
      <c r="G1205" s="1121"/>
      <c r="H1205" s="1121"/>
      <c r="I1205" s="1121"/>
      <c r="J1205" s="1121"/>
      <c r="K1205" s="659"/>
      <c r="L1205" s="660"/>
      <c r="M1205" s="660"/>
      <c r="N1205" s="660"/>
      <c r="O1205" s="660"/>
      <c r="P1205" s="660"/>
      <c r="Q1205" s="660"/>
    </row>
    <row r="1206" spans="2:17" ht="90" x14ac:dyDescent="0.25">
      <c r="B1206" s="1131"/>
      <c r="C1206" s="1132" t="s">
        <v>7</v>
      </c>
      <c r="D1206" s="1131"/>
      <c r="E1206" s="1123" t="s">
        <v>1775</v>
      </c>
      <c r="F1206" s="1124">
        <v>3525.4</v>
      </c>
      <c r="G1206" s="1124">
        <v>3572</v>
      </c>
      <c r="H1206" s="1124"/>
      <c r="I1206" s="1124">
        <v>3798</v>
      </c>
      <c r="J1206" s="1124">
        <f>3798.2*101.3/100</f>
        <v>3847.5765999999999</v>
      </c>
      <c r="K1206" s="1133" t="s">
        <v>1776</v>
      </c>
      <c r="L1206" s="2030"/>
      <c r="M1206" s="2227">
        <v>0.5</v>
      </c>
      <c r="N1206" s="448"/>
      <c r="O1206" s="448"/>
      <c r="P1206" s="448"/>
      <c r="Q1206" s="448"/>
    </row>
    <row r="1207" spans="2:17" ht="30" x14ac:dyDescent="0.25">
      <c r="B1207" s="1131"/>
      <c r="C1207" s="1132" t="s">
        <v>9</v>
      </c>
      <c r="D1207" s="1131"/>
      <c r="E1207" s="1134" t="s">
        <v>1777</v>
      </c>
      <c r="F1207" s="1124">
        <v>1600</v>
      </c>
      <c r="G1207" s="1124">
        <v>4117</v>
      </c>
      <c r="H1207" s="1124"/>
      <c r="I1207" s="1124">
        <v>4726</v>
      </c>
      <c r="J1207" s="1124">
        <f>4726.1*101.3/100</f>
        <v>4787.5393000000004</v>
      </c>
      <c r="K1207" s="1133" t="s">
        <v>1776</v>
      </c>
      <c r="L1207" s="2030"/>
      <c r="M1207" s="2227"/>
      <c r="N1207" s="398"/>
      <c r="O1207" s="398"/>
      <c r="P1207" s="398"/>
      <c r="Q1207" s="398"/>
    </row>
    <row r="1208" spans="2:17" ht="30" x14ac:dyDescent="0.25">
      <c r="B1208" s="1131"/>
      <c r="C1208" s="1132" t="s">
        <v>11</v>
      </c>
      <c r="D1208" s="1131"/>
      <c r="E1208" s="1123" t="s">
        <v>1778</v>
      </c>
      <c r="F1208" s="1124">
        <v>3295</v>
      </c>
      <c r="G1208" s="1124">
        <v>3267</v>
      </c>
      <c r="H1208" s="1124"/>
      <c r="I1208" s="1124">
        <v>3323</v>
      </c>
      <c r="J1208" s="1124">
        <f>3322.6*101.3/100</f>
        <v>3365.7937999999999</v>
      </c>
      <c r="K1208" s="1133" t="s">
        <v>1776</v>
      </c>
      <c r="L1208" s="2030"/>
      <c r="M1208" s="2227"/>
      <c r="N1208" s="398"/>
      <c r="O1208" s="398"/>
      <c r="P1208" s="398"/>
      <c r="Q1208" s="398"/>
    </row>
    <row r="1209" spans="2:17" ht="45" x14ac:dyDescent="0.25">
      <c r="B1209" s="1131"/>
      <c r="C1209" s="1132" t="s">
        <v>127</v>
      </c>
      <c r="D1209" s="1131"/>
      <c r="E1209" s="1134" t="s">
        <v>1779</v>
      </c>
      <c r="F1209" s="1135">
        <v>300</v>
      </c>
      <c r="G1209" s="1124">
        <v>301.8</v>
      </c>
      <c r="H1209" s="1135"/>
      <c r="I1209" s="1135">
        <v>306.89999999999998</v>
      </c>
      <c r="J1209" s="1135">
        <f>306.9*101.3/100</f>
        <v>310.88969999999995</v>
      </c>
      <c r="K1209" s="693" t="s">
        <v>1780</v>
      </c>
      <c r="L1209" s="693"/>
      <c r="M1209" s="693"/>
      <c r="N1209" s="398"/>
      <c r="O1209" s="398"/>
      <c r="P1209" s="398"/>
      <c r="Q1209" s="398"/>
    </row>
    <row r="1210" spans="2:17" ht="75" x14ac:dyDescent="0.25">
      <c r="B1210" s="1131"/>
      <c r="C1210" s="1132" t="s">
        <v>129</v>
      </c>
      <c r="D1210" s="1131"/>
      <c r="E1210" s="1123" t="s">
        <v>1781</v>
      </c>
      <c r="F1210" s="1124">
        <v>2120</v>
      </c>
      <c r="G1210" s="1124">
        <v>2132</v>
      </c>
      <c r="H1210" s="1124"/>
      <c r="I1210" s="1124">
        <v>2169</v>
      </c>
      <c r="J1210" s="1124">
        <f>2168.6*101.3/100</f>
        <v>2196.7918</v>
      </c>
      <c r="K1210" s="693" t="s">
        <v>1782</v>
      </c>
      <c r="L1210" s="693"/>
      <c r="M1210" s="693"/>
      <c r="N1210" s="448"/>
      <c r="O1210" s="448"/>
      <c r="P1210" s="448"/>
      <c r="Q1210" s="448"/>
    </row>
    <row r="1211" spans="2:17" ht="30" x14ac:dyDescent="0.25">
      <c r="B1211" s="1131"/>
      <c r="C1211" s="1132" t="s">
        <v>131</v>
      </c>
      <c r="D1211" s="1131"/>
      <c r="E1211" s="1134" t="s">
        <v>1783</v>
      </c>
      <c r="F1211" s="1124">
        <v>1060</v>
      </c>
      <c r="G1211" s="1124">
        <v>1066</v>
      </c>
      <c r="H1211" s="1124"/>
      <c r="I1211" s="1124">
        <v>1084</v>
      </c>
      <c r="J1211" s="1124">
        <f>1084.3*101.3/100</f>
        <v>1098.3959</v>
      </c>
      <c r="K1211" s="693" t="s">
        <v>1784</v>
      </c>
      <c r="L1211" s="693"/>
      <c r="M1211" s="693"/>
      <c r="N1211" s="398"/>
      <c r="O1211" s="398"/>
      <c r="P1211" s="398"/>
      <c r="Q1211" s="398"/>
    </row>
    <row r="1212" spans="2:17" x14ac:dyDescent="0.25">
      <c r="B1212" s="1131"/>
      <c r="C1212" s="1132" t="s">
        <v>134</v>
      </c>
      <c r="D1212" s="1131"/>
      <c r="E1212" s="1134" t="s">
        <v>1785</v>
      </c>
      <c r="F1212" s="1124">
        <v>1060</v>
      </c>
      <c r="G1212" s="1124">
        <v>1066</v>
      </c>
      <c r="H1212" s="1124"/>
      <c r="I1212" s="1124">
        <v>1084</v>
      </c>
      <c r="J1212" s="1124">
        <f>1084.3*101.3/100</f>
        <v>1098.3959</v>
      </c>
      <c r="K1212" s="693"/>
      <c r="L1212" s="693"/>
      <c r="M1212" s="693"/>
      <c r="N1212" s="398"/>
      <c r="O1212" s="398"/>
      <c r="P1212" s="398"/>
      <c r="Q1212" s="398"/>
    </row>
    <row r="1213" spans="2:17" ht="45" x14ac:dyDescent="0.25">
      <c r="B1213" s="1131"/>
      <c r="C1213" s="1132" t="s">
        <v>137</v>
      </c>
      <c r="D1213" s="1131"/>
      <c r="E1213" s="1123" t="s">
        <v>1786</v>
      </c>
      <c r="F1213" s="1124">
        <v>2800</v>
      </c>
      <c r="G1213" s="1124">
        <v>2817</v>
      </c>
      <c r="H1213" s="1124"/>
      <c r="I1213" s="1124">
        <v>2865</v>
      </c>
      <c r="J1213" s="1124">
        <f>2864.8*101.3/100</f>
        <v>2902.0423999999998</v>
      </c>
      <c r="K1213" s="693" t="s">
        <v>1787</v>
      </c>
      <c r="L1213" s="1136">
        <v>1</v>
      </c>
      <c r="M1213" s="693"/>
      <c r="N1213" s="398"/>
      <c r="O1213" s="398"/>
      <c r="P1213" s="398"/>
      <c r="Q1213" s="398"/>
    </row>
    <row r="1214" spans="2:17" ht="30" x14ac:dyDescent="0.25">
      <c r="B1214" s="1131"/>
      <c r="C1214" s="1132" t="s">
        <v>1788</v>
      </c>
      <c r="D1214" s="1131"/>
      <c r="E1214" s="1123" t="s">
        <v>1789</v>
      </c>
      <c r="F1214" s="1124">
        <v>6000</v>
      </c>
      <c r="G1214" s="1124">
        <v>5856</v>
      </c>
      <c r="H1214" s="1124"/>
      <c r="I1214" s="1124">
        <f>5542-2783.5</f>
        <v>2758.5</v>
      </c>
      <c r="J1214" s="1124">
        <f>2479.7+0.1</f>
        <v>2479.7999999999997</v>
      </c>
      <c r="K1214" s="448"/>
      <c r="L1214" s="2031">
        <v>1</v>
      </c>
      <c r="M1214" s="2031"/>
      <c r="N1214" s="2031"/>
      <c r="O1214" s="2031"/>
      <c r="P1214" s="2031"/>
      <c r="Q1214" s="2031"/>
    </row>
    <row r="1215" spans="2:17" ht="30" x14ac:dyDescent="0.25">
      <c r="B1215" s="1131"/>
      <c r="C1215" s="1132" t="s">
        <v>1790</v>
      </c>
      <c r="D1215" s="1131"/>
      <c r="E1215" s="1123" t="s">
        <v>1791</v>
      </c>
      <c r="F1215" s="1124">
        <v>300</v>
      </c>
      <c r="G1215" s="1124">
        <f>301.8-0.1</f>
        <v>301.7</v>
      </c>
      <c r="H1215" s="1124"/>
      <c r="I1215" s="1124">
        <v>306.89999999999998</v>
      </c>
      <c r="J1215" s="1124">
        <f>306.9*101.3/100</f>
        <v>310.88969999999995</v>
      </c>
      <c r="K1215" s="1137" t="s">
        <v>1792</v>
      </c>
      <c r="L1215" s="1137"/>
      <c r="M1215" s="1137"/>
      <c r="N1215" s="1137"/>
      <c r="O1215" s="1137"/>
      <c r="P1215" s="1137"/>
      <c r="Q1215" s="1137"/>
    </row>
    <row r="1216" spans="2:17" x14ac:dyDescent="0.25">
      <c r="B1216" s="2032" t="s">
        <v>85</v>
      </c>
      <c r="C1216" s="2032"/>
      <c r="D1216" s="2032"/>
      <c r="E1216" s="2032"/>
      <c r="F1216" s="1138">
        <f>F1199+F1203</f>
        <v>27912.400000000001</v>
      </c>
      <c r="G1216" s="1138">
        <f>G1199+G1203</f>
        <v>30403.5</v>
      </c>
      <c r="H1216" s="1138">
        <f>H1199+H1203</f>
        <v>28403.5</v>
      </c>
      <c r="I1216" s="1138">
        <f>I1199+I1203</f>
        <v>28428.300000000003</v>
      </c>
      <c r="J1216" s="1138">
        <f>J1199+J1203</f>
        <v>28483.712599999995</v>
      </c>
      <c r="K1216" s="1139"/>
      <c r="L1216" s="1139"/>
      <c r="M1216" s="1140"/>
      <c r="N1216" s="1141"/>
      <c r="O1216" s="1141"/>
      <c r="P1216" s="1142"/>
      <c r="Q1216" s="1141"/>
    </row>
    <row r="1217" spans="2:17" x14ac:dyDescent="0.25">
      <c r="B1217" s="1872" t="s">
        <v>1793</v>
      </c>
      <c r="C1217" s="1873"/>
      <c r="D1217" s="1873"/>
      <c r="E1217" s="1873"/>
      <c r="F1217" s="1873"/>
      <c r="G1217" s="1873"/>
      <c r="H1217" s="1873"/>
      <c r="I1217" s="1873"/>
      <c r="J1217" s="1873"/>
      <c r="K1217" s="1873"/>
      <c r="L1217" s="1873"/>
      <c r="M1217" s="1873"/>
      <c r="N1217" s="1873"/>
      <c r="O1217" s="1873"/>
      <c r="P1217" s="1873"/>
      <c r="Q1217" s="1873"/>
    </row>
    <row r="1218" spans="2:17" ht="73.5" x14ac:dyDescent="0.25">
      <c r="B1218" s="1019">
        <v>1</v>
      </c>
      <c r="C1218" s="665"/>
      <c r="D1218" s="665"/>
      <c r="E1218" s="684" t="s">
        <v>1794</v>
      </c>
      <c r="F1218" s="683">
        <f>F1219+F1220+F1221+F1222+F1223+F1224</f>
        <v>14880.300000000001</v>
      </c>
      <c r="G1218" s="683">
        <f t="shared" ref="G1218:J1218" si="125">G1219+G1220+G1221+G1222+G1223+G1224</f>
        <v>10249.847750000001</v>
      </c>
      <c r="H1218" s="683">
        <f t="shared" si="125"/>
        <v>16164.6</v>
      </c>
      <c r="I1218" s="683">
        <f t="shared" si="125"/>
        <v>10086.962749999999</v>
      </c>
      <c r="J1218" s="683">
        <f t="shared" si="125"/>
        <v>10086.16275</v>
      </c>
      <c r="K1218" s="659" t="s">
        <v>34</v>
      </c>
      <c r="L1218" s="660" t="s">
        <v>35</v>
      </c>
      <c r="M1218" s="1143">
        <v>4.5</v>
      </c>
      <c r="N1218" s="1143">
        <v>4.5</v>
      </c>
      <c r="O1218" s="1143">
        <v>4.5</v>
      </c>
      <c r="P1218" s="1143">
        <v>4.5</v>
      </c>
      <c r="Q1218" s="1143">
        <v>4.5</v>
      </c>
    </row>
    <row r="1219" spans="2:17" x14ac:dyDescent="0.25">
      <c r="B1219" s="1144"/>
      <c r="C1219" s="676">
        <v>1</v>
      </c>
      <c r="D1219" s="665"/>
      <c r="E1219" s="666" t="s">
        <v>6</v>
      </c>
      <c r="F1219" s="786">
        <v>6300.4</v>
      </c>
      <c r="G1219" s="1121">
        <v>1013.8017500000001</v>
      </c>
      <c r="H1219" s="1121">
        <v>5689.8</v>
      </c>
      <c r="I1219" s="786">
        <v>998.01675</v>
      </c>
      <c r="J1219" s="786">
        <v>998.01675</v>
      </c>
      <c r="K1219" s="659" t="s">
        <v>36</v>
      </c>
      <c r="L1219" s="660"/>
      <c r="M1219" s="1143"/>
      <c r="N1219" s="1143"/>
      <c r="O1219" s="1143"/>
      <c r="P1219" s="1143"/>
      <c r="Q1219" s="1143"/>
    </row>
    <row r="1220" spans="2:17" ht="30" x14ac:dyDescent="0.25">
      <c r="B1220" s="1144"/>
      <c r="C1220" s="676">
        <v>2</v>
      </c>
      <c r="D1220" s="665"/>
      <c r="E1220" s="1145" t="s">
        <v>1723</v>
      </c>
      <c r="F1220" s="786">
        <v>1796</v>
      </c>
      <c r="G1220" s="1121">
        <v>1673.8035</v>
      </c>
      <c r="H1220" s="1121">
        <v>3934</v>
      </c>
      <c r="I1220" s="786">
        <v>1647.5285000000001</v>
      </c>
      <c r="J1220" s="786">
        <v>1647.5285000000001</v>
      </c>
      <c r="K1220" s="659" t="s">
        <v>38</v>
      </c>
      <c r="L1220" s="660"/>
      <c r="M1220" s="1146">
        <v>52</v>
      </c>
      <c r="N1220" s="1146">
        <v>54</v>
      </c>
      <c r="O1220" s="1146">
        <v>56</v>
      </c>
      <c r="P1220" s="1146">
        <v>60</v>
      </c>
      <c r="Q1220" s="1146">
        <v>62</v>
      </c>
    </row>
    <row r="1221" spans="2:17" ht="30" x14ac:dyDescent="0.25">
      <c r="B1221" s="1144"/>
      <c r="C1221" s="676">
        <v>3</v>
      </c>
      <c r="D1221" s="665"/>
      <c r="E1221" s="1145" t="s">
        <v>10</v>
      </c>
      <c r="F1221" s="786">
        <v>2219.5</v>
      </c>
      <c r="G1221" s="1121">
        <v>2606.2939999999999</v>
      </c>
      <c r="H1221" s="1121">
        <v>2636</v>
      </c>
      <c r="I1221" s="786">
        <v>2564.2939999999999</v>
      </c>
      <c r="J1221" s="786">
        <v>2564.2939999999999</v>
      </c>
      <c r="K1221" s="659" t="s">
        <v>39</v>
      </c>
      <c r="L1221" s="660"/>
      <c r="M1221" s="2228">
        <v>40</v>
      </c>
      <c r="N1221" s="2228">
        <v>45</v>
      </c>
      <c r="O1221" s="2228">
        <v>50</v>
      </c>
      <c r="P1221" s="2228">
        <v>55</v>
      </c>
      <c r="Q1221" s="2228">
        <v>60</v>
      </c>
    </row>
    <row r="1222" spans="2:17" ht="30" x14ac:dyDescent="0.25">
      <c r="B1222" s="1144"/>
      <c r="C1222" s="676">
        <v>5</v>
      </c>
      <c r="D1222" s="665"/>
      <c r="E1222" s="1145" t="s">
        <v>1795</v>
      </c>
      <c r="F1222" s="786">
        <v>546</v>
      </c>
      <c r="G1222" s="1121">
        <v>668.06925000000001</v>
      </c>
      <c r="H1222" s="1121">
        <v>658.6</v>
      </c>
      <c r="I1222" s="786">
        <v>657.57925</v>
      </c>
      <c r="J1222" s="786">
        <v>657.57925</v>
      </c>
      <c r="K1222" s="659" t="s">
        <v>45</v>
      </c>
      <c r="L1222" s="660"/>
      <c r="M1222" s="2228"/>
      <c r="N1222" s="2228"/>
      <c r="O1222" s="2228"/>
      <c r="P1222" s="2228"/>
      <c r="Q1222" s="2228"/>
    </row>
    <row r="1223" spans="2:17" ht="30" x14ac:dyDescent="0.25">
      <c r="B1223" s="1144"/>
      <c r="C1223" s="676">
        <v>4</v>
      </c>
      <c r="D1223" s="665"/>
      <c r="E1223" s="1147" t="s">
        <v>12</v>
      </c>
      <c r="F1223" s="786">
        <v>2337.3000000000002</v>
      </c>
      <c r="G1223" s="1121">
        <v>2352.5910000000003</v>
      </c>
      <c r="H1223" s="1121">
        <v>2515.1</v>
      </c>
      <c r="I1223" s="786">
        <f>2315.826</f>
        <v>2315.826</v>
      </c>
      <c r="J1223" s="786">
        <f>2315.826-0.8</f>
        <v>2315.0259999999998</v>
      </c>
      <c r="K1223" s="659" t="s">
        <v>39</v>
      </c>
      <c r="L1223" s="660"/>
      <c r="M1223" s="1146">
        <v>28</v>
      </c>
      <c r="N1223" s="1146">
        <v>20</v>
      </c>
      <c r="O1223" s="1146">
        <v>16</v>
      </c>
      <c r="P1223" s="1146">
        <v>12</v>
      </c>
      <c r="Q1223" s="1146">
        <v>10</v>
      </c>
    </row>
    <row r="1224" spans="2:17" ht="30" x14ac:dyDescent="0.25">
      <c r="B1224" s="1144"/>
      <c r="C1224" s="676">
        <v>6</v>
      </c>
      <c r="D1224" s="665"/>
      <c r="E1224" s="1147" t="s">
        <v>1727</v>
      </c>
      <c r="F1224" s="786">
        <v>1681.1</v>
      </c>
      <c r="G1224" s="1121">
        <v>1935.2882500000001</v>
      </c>
      <c r="H1224" s="1121">
        <v>731.1</v>
      </c>
      <c r="I1224" s="786">
        <v>1903.7182499999999</v>
      </c>
      <c r="J1224" s="786">
        <v>1903.7182499999999</v>
      </c>
      <c r="K1224" s="659" t="s">
        <v>196</v>
      </c>
      <c r="L1224" s="660"/>
      <c r="M1224" s="660">
        <v>5</v>
      </c>
      <c r="N1224" s="660"/>
      <c r="O1224" s="660"/>
      <c r="P1224" s="660"/>
      <c r="Q1224" s="660"/>
    </row>
    <row r="1225" spans="2:17" ht="42.75" x14ac:dyDescent="0.25">
      <c r="B1225" s="1019">
        <v>2</v>
      </c>
      <c r="C1225" s="665"/>
      <c r="D1225" s="665"/>
      <c r="E1225" s="1148" t="s">
        <v>1796</v>
      </c>
      <c r="F1225" s="683">
        <f>F1226+F1227</f>
        <v>21259.599999999999</v>
      </c>
      <c r="G1225" s="683">
        <f t="shared" ref="G1225:J1225" si="126">G1226+G1227</f>
        <v>22707.061000000002</v>
      </c>
      <c r="H1225" s="683">
        <f t="shared" si="126"/>
        <v>21096.300000000003</v>
      </c>
      <c r="I1225" s="683">
        <f t="shared" si="126"/>
        <v>27206.403249999999</v>
      </c>
      <c r="J1225" s="683">
        <f t="shared" si="126"/>
        <v>27279.903249999999</v>
      </c>
      <c r="K1225" s="659"/>
      <c r="L1225" s="660"/>
      <c r="M1225" s="660"/>
      <c r="N1225" s="660"/>
      <c r="O1225" s="660"/>
      <c r="P1225" s="660"/>
      <c r="Q1225" s="660"/>
    </row>
    <row r="1226" spans="2:17" ht="30" x14ac:dyDescent="0.25">
      <c r="B1226" s="1144"/>
      <c r="C1226" s="676">
        <v>1</v>
      </c>
      <c r="D1226" s="665"/>
      <c r="E1226" s="1145" t="s">
        <v>1797</v>
      </c>
      <c r="F1226" s="786">
        <v>9705.4</v>
      </c>
      <c r="G1226" s="786">
        <f>16286.24825-2.1</f>
        <v>16284.14825</v>
      </c>
      <c r="H1226" s="786">
        <v>8500.1</v>
      </c>
      <c r="I1226" s="786">
        <v>16509.403249999999</v>
      </c>
      <c r="J1226" s="786">
        <v>16509.403249999999</v>
      </c>
      <c r="K1226" s="223" t="s">
        <v>1798</v>
      </c>
      <c r="L1226" s="660" t="s">
        <v>35</v>
      </c>
      <c r="M1226" s="1146">
        <v>26</v>
      </c>
      <c r="N1226" s="1146">
        <v>26</v>
      </c>
      <c r="O1226" s="1146">
        <v>28</v>
      </c>
      <c r="P1226" s="1146">
        <v>29</v>
      </c>
      <c r="Q1226" s="1146">
        <v>30</v>
      </c>
    </row>
    <row r="1227" spans="2:17" ht="30" x14ac:dyDescent="0.25">
      <c r="B1227" s="1144"/>
      <c r="C1227" s="676">
        <v>2</v>
      </c>
      <c r="D1227" s="665"/>
      <c r="E1227" s="1145" t="s">
        <v>1799</v>
      </c>
      <c r="F1227" s="786">
        <v>11554.2</v>
      </c>
      <c r="G1227" s="786">
        <f>5929.41275+493.5</f>
        <v>6422.9127500000004</v>
      </c>
      <c r="H1227" s="786">
        <v>12596.2</v>
      </c>
      <c r="I1227" s="786">
        <f>10138.7-3749.5+4307.8</f>
        <v>10697</v>
      </c>
      <c r="J1227" s="786">
        <f>10758.3-4304+4316.2</f>
        <v>10770.5</v>
      </c>
      <c r="K1227" s="666" t="s">
        <v>1800</v>
      </c>
      <c r="L1227" s="660" t="s">
        <v>40</v>
      </c>
      <c r="M1227" s="1146">
        <v>26</v>
      </c>
      <c r="N1227" s="1146">
        <v>26</v>
      </c>
      <c r="O1227" s="1146">
        <v>26</v>
      </c>
      <c r="P1227" s="1146">
        <v>26</v>
      </c>
      <c r="Q1227" s="1146">
        <v>26</v>
      </c>
    </row>
    <row r="1228" spans="2:17" x14ac:dyDescent="0.25">
      <c r="B1228" s="70">
        <v>992</v>
      </c>
      <c r="C1228" s="930"/>
      <c r="D1228" s="91"/>
      <c r="E1228" s="797" t="s">
        <v>260</v>
      </c>
      <c r="F1228" s="68">
        <f>F1229</f>
        <v>0</v>
      </c>
      <c r="G1228" s="68">
        <f t="shared" ref="G1228:J1228" si="127">G1229</f>
        <v>3491927.1</v>
      </c>
      <c r="H1228" s="68">
        <f t="shared" si="127"/>
        <v>1221100</v>
      </c>
      <c r="I1228" s="68">
        <f>I1229</f>
        <v>3564044.58</v>
      </c>
      <c r="J1228" s="68">
        <f t="shared" si="127"/>
        <v>1971782</v>
      </c>
      <c r="K1228" s="666"/>
      <c r="L1228" s="660"/>
      <c r="M1228" s="1146"/>
      <c r="N1228" s="1146"/>
      <c r="O1228" s="1146"/>
      <c r="P1228" s="1146"/>
      <c r="Q1228" s="1146"/>
    </row>
    <row r="1229" spans="2:17" ht="30" x14ac:dyDescent="0.25">
      <c r="B1229" s="76"/>
      <c r="C1229" s="930">
        <v>1</v>
      </c>
      <c r="D1229" s="91"/>
      <c r="E1229" s="692" t="s">
        <v>261</v>
      </c>
      <c r="F1229" s="69"/>
      <c r="G1229" s="69">
        <v>3491927.1</v>
      </c>
      <c r="H1229" s="69">
        <v>1221100</v>
      </c>
      <c r="I1229" s="786">
        <f>383608.26+3180436.32</f>
        <v>3564044.58</v>
      </c>
      <c r="J1229" s="786">
        <f>189777.7+1782004.3</f>
        <v>1971782</v>
      </c>
      <c r="K1229" s="666"/>
      <c r="L1229" s="660"/>
      <c r="M1229" s="1146"/>
      <c r="N1229" s="1146"/>
      <c r="O1229" s="1146"/>
      <c r="P1229" s="1146"/>
      <c r="Q1229" s="1146"/>
    </row>
    <row r="1230" spans="2:17" x14ac:dyDescent="0.25">
      <c r="B1230" s="1942" t="s">
        <v>85</v>
      </c>
      <c r="C1230" s="1942"/>
      <c r="D1230" s="1942"/>
      <c r="E1230" s="1942"/>
      <c r="F1230" s="1008">
        <f>F1218+F1225+F1228</f>
        <v>36139.9</v>
      </c>
      <c r="G1230" s="1008">
        <f t="shared" ref="G1230:J1230" si="128">G1218+G1225+G1228</f>
        <v>3524884.00875</v>
      </c>
      <c r="H1230" s="1008">
        <f t="shared" si="128"/>
        <v>1258360.8999999999</v>
      </c>
      <c r="I1230" s="1008">
        <f t="shared" si="128"/>
        <v>3601337.946</v>
      </c>
      <c r="J1230" s="1008">
        <f t="shared" si="128"/>
        <v>2009148.0660000001</v>
      </c>
      <c r="K1230" s="1141"/>
      <c r="L1230" s="1943"/>
      <c r="M1230" s="1943"/>
      <c r="N1230" s="1943"/>
      <c r="O1230" s="1943"/>
      <c r="P1230" s="1943"/>
      <c r="Q1230" s="1943"/>
    </row>
    <row r="1231" spans="2:17" x14ac:dyDescent="0.25">
      <c r="B1231" s="1722" t="s">
        <v>1801</v>
      </c>
      <c r="C1231" s="1698"/>
      <c r="D1231" s="1698"/>
      <c r="E1231" s="1698"/>
      <c r="F1231" s="1698"/>
      <c r="G1231" s="1698"/>
      <c r="H1231" s="1698"/>
      <c r="I1231" s="1698"/>
      <c r="J1231" s="1698"/>
      <c r="K1231" s="1698"/>
      <c r="L1231" s="1698"/>
      <c r="M1231" s="1698"/>
      <c r="N1231" s="1698"/>
      <c r="O1231" s="1698"/>
      <c r="P1231" s="1698"/>
      <c r="Q1231" s="1698"/>
    </row>
    <row r="1232" spans="2:17" ht="73.5" x14ac:dyDescent="0.25">
      <c r="B1232" s="687">
        <v>1</v>
      </c>
      <c r="C1232" s="915"/>
      <c r="D1232" s="915"/>
      <c r="E1232" s="797" t="s">
        <v>1802</v>
      </c>
      <c r="F1232" s="672">
        <f>F1233+F1234+F1235+F1236+F1237+F1238+F1239</f>
        <v>38672.300000000003</v>
      </c>
      <c r="G1232" s="672">
        <f t="shared" ref="G1232:J1232" si="129">G1233+G1234+G1235+G1236+G1237+G1238+G1239</f>
        <v>27256.899999999998</v>
      </c>
      <c r="H1232" s="672">
        <f t="shared" si="129"/>
        <v>132899</v>
      </c>
      <c r="I1232" s="672">
        <f t="shared" si="129"/>
        <v>20256.899999999998</v>
      </c>
      <c r="J1232" s="672">
        <f t="shared" si="129"/>
        <v>21026.6</v>
      </c>
      <c r="K1232" s="797" t="s">
        <v>1803</v>
      </c>
      <c r="L1232" s="915" t="s">
        <v>35</v>
      </c>
      <c r="M1232" s="915"/>
      <c r="N1232" s="915"/>
      <c r="O1232" s="915"/>
      <c r="P1232" s="915"/>
      <c r="Q1232" s="915"/>
    </row>
    <row r="1233" spans="2:17" x14ac:dyDescent="0.25">
      <c r="B1233" s="686"/>
      <c r="C1233" s="1149">
        <v>1</v>
      </c>
      <c r="D1233" s="915"/>
      <c r="E1233" s="692" t="s">
        <v>6</v>
      </c>
      <c r="F1233" s="761">
        <v>3567.4</v>
      </c>
      <c r="G1233" s="761">
        <v>3841.6000000000004</v>
      </c>
      <c r="H1233" s="761">
        <v>3966.6</v>
      </c>
      <c r="I1233" s="761">
        <v>3841.6000000000004</v>
      </c>
      <c r="J1233" s="761">
        <v>4611.3</v>
      </c>
      <c r="K1233" s="774" t="s">
        <v>36</v>
      </c>
      <c r="L1233" s="915" t="s">
        <v>37</v>
      </c>
      <c r="M1233" s="915"/>
      <c r="N1233" s="915"/>
      <c r="O1233" s="915"/>
      <c r="P1233" s="915"/>
      <c r="Q1233" s="915"/>
    </row>
    <row r="1234" spans="2:17" ht="30" x14ac:dyDescent="0.25">
      <c r="B1234" s="686"/>
      <c r="C1234" s="1149">
        <v>2</v>
      </c>
      <c r="D1234" s="915"/>
      <c r="E1234" s="692" t="s">
        <v>8</v>
      </c>
      <c r="F1234" s="761">
        <v>1705.2</v>
      </c>
      <c r="G1234" s="761">
        <v>3180</v>
      </c>
      <c r="H1234" s="761">
        <v>3305</v>
      </c>
      <c r="I1234" s="761">
        <v>3180</v>
      </c>
      <c r="J1234" s="761">
        <v>3180</v>
      </c>
      <c r="K1234" s="774" t="s">
        <v>38</v>
      </c>
      <c r="L1234" s="915" t="s">
        <v>35</v>
      </c>
      <c r="M1234" s="915"/>
      <c r="N1234" s="915">
        <v>100</v>
      </c>
      <c r="O1234" s="915">
        <v>100</v>
      </c>
      <c r="P1234" s="915">
        <v>100</v>
      </c>
      <c r="Q1234" s="915">
        <v>100</v>
      </c>
    </row>
    <row r="1235" spans="2:17" ht="30" x14ac:dyDescent="0.25">
      <c r="B1235" s="686"/>
      <c r="C1235" s="1149">
        <v>3</v>
      </c>
      <c r="D1235" s="915"/>
      <c r="E1235" s="692" t="s">
        <v>10</v>
      </c>
      <c r="F1235" s="761">
        <v>1058.9000000000001</v>
      </c>
      <c r="G1235" s="761">
        <v>5019.3999999999996</v>
      </c>
      <c r="H1235" s="761">
        <v>4144.3999999999996</v>
      </c>
      <c r="I1235" s="761">
        <v>5019.3999999999996</v>
      </c>
      <c r="J1235" s="761">
        <v>5019.3999999999996</v>
      </c>
      <c r="K1235" s="774" t="s">
        <v>39</v>
      </c>
      <c r="L1235" s="915" t="s">
        <v>35</v>
      </c>
      <c r="M1235" s="915"/>
      <c r="N1235" s="915">
        <v>100</v>
      </c>
      <c r="O1235" s="915">
        <v>100</v>
      </c>
      <c r="P1235" s="915">
        <v>100</v>
      </c>
      <c r="Q1235" s="915">
        <v>100</v>
      </c>
    </row>
    <row r="1236" spans="2:17" ht="30" x14ac:dyDescent="0.25">
      <c r="B1236" s="686"/>
      <c r="C1236" s="1149">
        <v>4</v>
      </c>
      <c r="D1236" s="915"/>
      <c r="E1236" s="692" t="s">
        <v>12</v>
      </c>
      <c r="F1236" s="761">
        <v>178.6</v>
      </c>
      <c r="G1236" s="761">
        <v>1923.3</v>
      </c>
      <c r="H1236" s="761">
        <v>2048.3000000000002</v>
      </c>
      <c r="I1236" s="761">
        <v>1923.3</v>
      </c>
      <c r="J1236" s="761">
        <v>1923.3</v>
      </c>
      <c r="K1236" s="774" t="s">
        <v>191</v>
      </c>
      <c r="L1236" s="915" t="s">
        <v>192</v>
      </c>
      <c r="M1236" s="915"/>
      <c r="N1236" s="915">
        <v>100</v>
      </c>
      <c r="O1236" s="915">
        <v>100</v>
      </c>
      <c r="P1236" s="915">
        <v>100</v>
      </c>
      <c r="Q1236" s="915">
        <v>100</v>
      </c>
    </row>
    <row r="1237" spans="2:17" ht="30" x14ac:dyDescent="0.25">
      <c r="B1237" s="686"/>
      <c r="C1237" s="1149">
        <v>5</v>
      </c>
      <c r="D1237" s="915"/>
      <c r="E1237" s="692" t="s">
        <v>13</v>
      </c>
      <c r="F1237" s="761">
        <v>1980</v>
      </c>
      <c r="G1237" s="761">
        <v>1878.3</v>
      </c>
      <c r="H1237" s="761">
        <v>2003.3</v>
      </c>
      <c r="I1237" s="761">
        <v>1878.3</v>
      </c>
      <c r="J1237" s="761">
        <v>1878.3</v>
      </c>
      <c r="K1237" s="774" t="s">
        <v>194</v>
      </c>
      <c r="L1237" s="915" t="s">
        <v>40</v>
      </c>
      <c r="M1237" s="915"/>
      <c r="N1237" s="915">
        <v>15</v>
      </c>
      <c r="O1237" s="915">
        <v>15</v>
      </c>
      <c r="P1237" s="915">
        <v>15</v>
      </c>
      <c r="Q1237" s="915">
        <v>15</v>
      </c>
    </row>
    <row r="1238" spans="2:17" ht="60" x14ac:dyDescent="0.25">
      <c r="B1238" s="686"/>
      <c r="C1238" s="1149">
        <v>39</v>
      </c>
      <c r="D1238" s="915"/>
      <c r="E1238" s="774" t="s">
        <v>1804</v>
      </c>
      <c r="F1238" s="761">
        <v>30182.2</v>
      </c>
      <c r="G1238" s="761">
        <v>1414.3</v>
      </c>
      <c r="H1238" s="761">
        <v>1539.3</v>
      </c>
      <c r="I1238" s="761">
        <v>1414.3</v>
      </c>
      <c r="J1238" s="761">
        <v>1414.3</v>
      </c>
      <c r="K1238" s="774" t="s">
        <v>1805</v>
      </c>
      <c r="L1238" s="915" t="s">
        <v>35</v>
      </c>
      <c r="M1238" s="915"/>
      <c r="N1238" s="915">
        <v>15</v>
      </c>
      <c r="O1238" s="915">
        <v>15</v>
      </c>
      <c r="P1238" s="915">
        <v>15</v>
      </c>
      <c r="Q1238" s="915">
        <v>15</v>
      </c>
    </row>
    <row r="1239" spans="2:17" ht="30" x14ac:dyDescent="0.25">
      <c r="B1239" s="686"/>
      <c r="C1239" s="773" t="s">
        <v>1806</v>
      </c>
      <c r="D1239" s="773"/>
      <c r="E1239" s="774" t="s">
        <v>1807</v>
      </c>
      <c r="F1239" s="761"/>
      <c r="G1239" s="761">
        <v>10000</v>
      </c>
      <c r="H1239" s="761">
        <v>115892.1</v>
      </c>
      <c r="I1239" s="761">
        <v>3000</v>
      </c>
      <c r="J1239" s="761">
        <v>3000</v>
      </c>
      <c r="K1239" s="774" t="s">
        <v>1808</v>
      </c>
      <c r="L1239" s="915" t="s">
        <v>279</v>
      </c>
      <c r="M1239" s="915"/>
      <c r="N1239" s="915" t="s">
        <v>211</v>
      </c>
      <c r="O1239" s="915" t="s">
        <v>211</v>
      </c>
      <c r="P1239" s="915" t="s">
        <v>211</v>
      </c>
      <c r="Q1239" s="915" t="s">
        <v>211</v>
      </c>
    </row>
    <row r="1240" spans="2:17" ht="104.25" x14ac:dyDescent="0.25">
      <c r="B1240" s="687">
        <v>2</v>
      </c>
      <c r="C1240" s="840"/>
      <c r="D1240" s="840"/>
      <c r="E1240" s="797" t="s">
        <v>1809</v>
      </c>
      <c r="F1240" s="672">
        <f>F1241+F1243+F1250+F1255+F1258+F1262</f>
        <v>151096.20000000001</v>
      </c>
      <c r="G1240" s="672">
        <f t="shared" ref="G1240:J1240" si="130">G1241+G1243+G1250+G1255+G1258+G1262</f>
        <v>146283.5</v>
      </c>
      <c r="H1240" s="672">
        <f t="shared" si="130"/>
        <v>94706.3</v>
      </c>
      <c r="I1240" s="672">
        <f t="shared" si="130"/>
        <v>144318.9</v>
      </c>
      <c r="J1240" s="672">
        <f t="shared" si="130"/>
        <v>144818.9</v>
      </c>
      <c r="K1240" s="797" t="s">
        <v>1810</v>
      </c>
      <c r="L1240" s="500" t="s">
        <v>136</v>
      </c>
      <c r="M1240" s="500">
        <v>99</v>
      </c>
      <c r="N1240" s="500">
        <v>99</v>
      </c>
      <c r="O1240" s="500">
        <v>71</v>
      </c>
      <c r="P1240" s="500">
        <v>71</v>
      </c>
      <c r="Q1240" s="500">
        <v>71</v>
      </c>
    </row>
    <row r="1241" spans="2:17" ht="60" x14ac:dyDescent="0.25">
      <c r="B1241" s="2011"/>
      <c r="C1241" s="2033" t="s">
        <v>5</v>
      </c>
      <c r="D1241" s="2033"/>
      <c r="E1241" s="2034" t="s">
        <v>1811</v>
      </c>
      <c r="F1241" s="1897">
        <v>2781</v>
      </c>
      <c r="G1241" s="1897">
        <v>2078.8000000000002</v>
      </c>
      <c r="H1241" s="1897">
        <v>2203.8000000000002</v>
      </c>
      <c r="I1241" s="1897">
        <v>2478.8000000000002</v>
      </c>
      <c r="J1241" s="1897">
        <v>2978.8</v>
      </c>
      <c r="K1241" s="774" t="s">
        <v>1812</v>
      </c>
      <c r="L1241" s="915" t="s">
        <v>279</v>
      </c>
      <c r="M1241" s="915">
        <v>2</v>
      </c>
      <c r="N1241" s="915">
        <v>3</v>
      </c>
      <c r="O1241" s="915">
        <v>3</v>
      </c>
      <c r="P1241" s="915">
        <v>3</v>
      </c>
      <c r="Q1241" s="915">
        <v>3</v>
      </c>
    </row>
    <row r="1242" spans="2:17" ht="75" x14ac:dyDescent="0.25">
      <c r="B1242" s="2011"/>
      <c r="C1242" s="2033"/>
      <c r="D1242" s="2033"/>
      <c r="E1242" s="2034"/>
      <c r="F1242" s="1897"/>
      <c r="G1242" s="1897"/>
      <c r="H1242" s="1897"/>
      <c r="I1242" s="1897"/>
      <c r="J1242" s="1897"/>
      <c r="K1242" s="774" t="s">
        <v>1813</v>
      </c>
      <c r="L1242" s="915" t="s">
        <v>40</v>
      </c>
      <c r="M1242" s="915">
        <v>12</v>
      </c>
      <c r="N1242" s="915">
        <v>15</v>
      </c>
      <c r="O1242" s="915">
        <v>15</v>
      </c>
      <c r="P1242" s="915">
        <v>15</v>
      </c>
      <c r="Q1242" s="915">
        <v>15</v>
      </c>
    </row>
    <row r="1243" spans="2:17" ht="45" x14ac:dyDescent="0.25">
      <c r="B1243" s="2011"/>
      <c r="C1243" s="2033" t="s">
        <v>7</v>
      </c>
      <c r="D1243" s="2033"/>
      <c r="E1243" s="2034" t="s">
        <v>1814</v>
      </c>
      <c r="F1243" s="1897">
        <v>5604</v>
      </c>
      <c r="G1243" s="1897">
        <v>4306.1000000000004</v>
      </c>
      <c r="H1243" s="1897">
        <v>4306.1000000000004</v>
      </c>
      <c r="I1243" s="1897">
        <v>4306.1000000000004</v>
      </c>
      <c r="J1243" s="1897">
        <v>4306.1000000000004</v>
      </c>
      <c r="K1243" s="774" t="s">
        <v>1815</v>
      </c>
      <c r="L1243" s="915" t="s">
        <v>40</v>
      </c>
      <c r="M1243" s="915" t="s">
        <v>1816</v>
      </c>
      <c r="N1243" s="915" t="s">
        <v>1816</v>
      </c>
      <c r="O1243" s="915" t="s">
        <v>1816</v>
      </c>
      <c r="P1243" s="915" t="s">
        <v>1816</v>
      </c>
      <c r="Q1243" s="915" t="s">
        <v>1816</v>
      </c>
    </row>
    <row r="1244" spans="2:17" ht="45" x14ac:dyDescent="0.25">
      <c r="B1244" s="2011"/>
      <c r="C1244" s="2033"/>
      <c r="D1244" s="2033"/>
      <c r="E1244" s="2034"/>
      <c r="F1244" s="1897"/>
      <c r="G1244" s="1897"/>
      <c r="H1244" s="1897"/>
      <c r="I1244" s="1897"/>
      <c r="J1244" s="1897"/>
      <c r="K1244" s="774" t="s">
        <v>1817</v>
      </c>
      <c r="L1244" s="915" t="s">
        <v>40</v>
      </c>
      <c r="M1244" s="915" t="s">
        <v>1818</v>
      </c>
      <c r="N1244" s="915" t="s">
        <v>1818</v>
      </c>
      <c r="O1244" s="915" t="s">
        <v>1818</v>
      </c>
      <c r="P1244" s="915" t="s">
        <v>1818</v>
      </c>
      <c r="Q1244" s="915" t="s">
        <v>1818</v>
      </c>
    </row>
    <row r="1245" spans="2:17" ht="45" x14ac:dyDescent="0.25">
      <c r="B1245" s="2011"/>
      <c r="C1245" s="2033"/>
      <c r="D1245" s="2033"/>
      <c r="E1245" s="2034"/>
      <c r="F1245" s="1897"/>
      <c r="G1245" s="1897"/>
      <c r="H1245" s="1897"/>
      <c r="I1245" s="1897"/>
      <c r="J1245" s="1897"/>
      <c r="K1245" s="774" t="s">
        <v>1819</v>
      </c>
      <c r="L1245" s="915" t="s">
        <v>40</v>
      </c>
      <c r="M1245" s="915" t="s">
        <v>1818</v>
      </c>
      <c r="N1245" s="915" t="s">
        <v>1818</v>
      </c>
      <c r="O1245" s="915" t="s">
        <v>1818</v>
      </c>
      <c r="P1245" s="915" t="s">
        <v>1818</v>
      </c>
      <c r="Q1245" s="915" t="s">
        <v>1818</v>
      </c>
    </row>
    <row r="1246" spans="2:17" ht="45" x14ac:dyDescent="0.25">
      <c r="B1246" s="2011"/>
      <c r="C1246" s="2033"/>
      <c r="D1246" s="2033"/>
      <c r="E1246" s="2034"/>
      <c r="F1246" s="1897"/>
      <c r="G1246" s="1897"/>
      <c r="H1246" s="1897"/>
      <c r="I1246" s="1897"/>
      <c r="J1246" s="1897"/>
      <c r="K1246" s="774" t="s">
        <v>1820</v>
      </c>
      <c r="L1246" s="915" t="s">
        <v>40</v>
      </c>
      <c r="M1246" s="915" t="s">
        <v>1818</v>
      </c>
      <c r="N1246" s="915" t="s">
        <v>1818</v>
      </c>
      <c r="O1246" s="915" t="s">
        <v>1818</v>
      </c>
      <c r="P1246" s="915" t="s">
        <v>1818</v>
      </c>
      <c r="Q1246" s="915" t="s">
        <v>1818</v>
      </c>
    </row>
    <row r="1247" spans="2:17" ht="45" x14ac:dyDescent="0.25">
      <c r="B1247" s="2011"/>
      <c r="C1247" s="2033"/>
      <c r="D1247" s="2033"/>
      <c r="E1247" s="2034"/>
      <c r="F1247" s="1897"/>
      <c r="G1247" s="1897"/>
      <c r="H1247" s="1897"/>
      <c r="I1247" s="1897"/>
      <c r="J1247" s="1897"/>
      <c r="K1247" s="774" t="s">
        <v>1821</v>
      </c>
      <c r="L1247" s="915" t="s">
        <v>40</v>
      </c>
      <c r="M1247" s="915" t="s">
        <v>1818</v>
      </c>
      <c r="N1247" s="915" t="s">
        <v>1818</v>
      </c>
      <c r="O1247" s="915" t="s">
        <v>1818</v>
      </c>
      <c r="P1247" s="915" t="s">
        <v>1818</v>
      </c>
      <c r="Q1247" s="915" t="s">
        <v>1818</v>
      </c>
    </row>
    <row r="1248" spans="2:17" ht="30" x14ac:dyDescent="0.25">
      <c r="B1248" s="2011"/>
      <c r="C1248" s="2033"/>
      <c r="D1248" s="2033"/>
      <c r="E1248" s="2034"/>
      <c r="F1248" s="1897"/>
      <c r="G1248" s="1897"/>
      <c r="H1248" s="1897"/>
      <c r="I1248" s="1897"/>
      <c r="J1248" s="1897"/>
      <c r="K1248" s="774" t="s">
        <v>1822</v>
      </c>
      <c r="L1248" s="915"/>
      <c r="M1248" s="915" t="s">
        <v>1818</v>
      </c>
      <c r="N1248" s="915" t="s">
        <v>1818</v>
      </c>
      <c r="O1248" s="915" t="s">
        <v>1818</v>
      </c>
      <c r="P1248" s="915" t="s">
        <v>1818</v>
      </c>
      <c r="Q1248" s="915" t="s">
        <v>1818</v>
      </c>
    </row>
    <row r="1249" spans="2:17" ht="60" x14ac:dyDescent="0.25">
      <c r="B1249" s="2011"/>
      <c r="C1249" s="2033"/>
      <c r="D1249" s="2033"/>
      <c r="E1249" s="2034"/>
      <c r="F1249" s="1897"/>
      <c r="G1249" s="1897"/>
      <c r="H1249" s="1897"/>
      <c r="I1249" s="1897"/>
      <c r="J1249" s="1897"/>
      <c r="K1249" s="692" t="s">
        <v>1823</v>
      </c>
      <c r="L1249" s="915"/>
      <c r="M1249" s="915" t="s">
        <v>1818</v>
      </c>
      <c r="N1249" s="915" t="s">
        <v>1818</v>
      </c>
      <c r="O1249" s="915" t="s">
        <v>1818</v>
      </c>
      <c r="P1249" s="915" t="s">
        <v>1818</v>
      </c>
      <c r="Q1249" s="915" t="s">
        <v>1818</v>
      </c>
    </row>
    <row r="1250" spans="2:17" ht="30" x14ac:dyDescent="0.25">
      <c r="B1250" s="2011"/>
      <c r="C1250" s="2033" t="s">
        <v>9</v>
      </c>
      <c r="D1250" s="2033"/>
      <c r="E1250" s="2034" t="s">
        <v>1824</v>
      </c>
      <c r="F1250" s="1897">
        <v>51436.4</v>
      </c>
      <c r="G1250" s="1897">
        <v>78161.8</v>
      </c>
      <c r="H1250" s="1897">
        <f>70999.3+4872.5</f>
        <v>75871.8</v>
      </c>
      <c r="I1250" s="1897">
        <v>78161.8</v>
      </c>
      <c r="J1250" s="1897">
        <v>78161.8</v>
      </c>
      <c r="K1250" s="692" t="s">
        <v>1825</v>
      </c>
      <c r="L1250" s="1150" t="s">
        <v>40</v>
      </c>
      <c r="M1250" s="915" t="s">
        <v>211</v>
      </c>
      <c r="N1250" s="915" t="s">
        <v>211</v>
      </c>
      <c r="O1250" s="915" t="s">
        <v>211</v>
      </c>
      <c r="P1250" s="915" t="s">
        <v>211</v>
      </c>
      <c r="Q1250" s="915" t="s">
        <v>211</v>
      </c>
    </row>
    <row r="1251" spans="2:17" ht="30" x14ac:dyDescent="0.25">
      <c r="B1251" s="2011"/>
      <c r="C1251" s="2033"/>
      <c r="D1251" s="2033"/>
      <c r="E1251" s="2034"/>
      <c r="F1251" s="1897"/>
      <c r="G1251" s="1897"/>
      <c r="H1251" s="1897"/>
      <c r="I1251" s="1897"/>
      <c r="J1251" s="1897"/>
      <c r="K1251" s="692" t="s">
        <v>1826</v>
      </c>
      <c r="L1251" s="1150" t="s">
        <v>40</v>
      </c>
      <c r="M1251" s="915" t="s">
        <v>211</v>
      </c>
      <c r="N1251" s="915" t="s">
        <v>211</v>
      </c>
      <c r="O1251" s="915" t="s">
        <v>211</v>
      </c>
      <c r="P1251" s="915" t="s">
        <v>211</v>
      </c>
      <c r="Q1251" s="915" t="s">
        <v>211</v>
      </c>
    </row>
    <row r="1252" spans="2:17" ht="30" x14ac:dyDescent="0.25">
      <c r="B1252" s="2011"/>
      <c r="C1252" s="2033"/>
      <c r="D1252" s="2033"/>
      <c r="E1252" s="2034"/>
      <c r="F1252" s="1897"/>
      <c r="G1252" s="1897"/>
      <c r="H1252" s="1897"/>
      <c r="I1252" s="1897"/>
      <c r="J1252" s="1897"/>
      <c r="K1252" s="692" t="s">
        <v>1827</v>
      </c>
      <c r="L1252" s="291" t="s">
        <v>279</v>
      </c>
      <c r="M1252" s="915" t="s">
        <v>211</v>
      </c>
      <c r="N1252" s="915" t="s">
        <v>211</v>
      </c>
      <c r="O1252" s="915" t="s">
        <v>211</v>
      </c>
      <c r="P1252" s="915" t="s">
        <v>211</v>
      </c>
      <c r="Q1252" s="915" t="s">
        <v>211</v>
      </c>
    </row>
    <row r="1253" spans="2:17" ht="45" x14ac:dyDescent="0.25">
      <c r="B1253" s="2011"/>
      <c r="C1253" s="2033"/>
      <c r="D1253" s="2033"/>
      <c r="E1253" s="2034"/>
      <c r="F1253" s="1897"/>
      <c r="G1253" s="1897"/>
      <c r="H1253" s="1897"/>
      <c r="I1253" s="1897"/>
      <c r="J1253" s="1897"/>
      <c r="K1253" s="1151" t="s">
        <v>1828</v>
      </c>
      <c r="L1253" s="915" t="s">
        <v>40</v>
      </c>
      <c r="M1253" s="915">
        <v>17</v>
      </c>
      <c r="N1253" s="915">
        <v>17</v>
      </c>
      <c r="O1253" s="915">
        <v>17</v>
      </c>
      <c r="P1253" s="915">
        <v>17</v>
      </c>
      <c r="Q1253" s="915">
        <v>17</v>
      </c>
    </row>
    <row r="1254" spans="2:17" ht="30" x14ac:dyDescent="0.25">
      <c r="B1254" s="2011"/>
      <c r="C1254" s="2033"/>
      <c r="D1254" s="2033"/>
      <c r="E1254" s="2034"/>
      <c r="F1254" s="1897"/>
      <c r="G1254" s="1897"/>
      <c r="H1254" s="1897"/>
      <c r="I1254" s="1897"/>
      <c r="J1254" s="1897"/>
      <c r="K1254" s="1151" t="s">
        <v>1829</v>
      </c>
      <c r="L1254" s="915" t="s">
        <v>40</v>
      </c>
      <c r="M1254" s="915">
        <v>36</v>
      </c>
      <c r="N1254" s="915">
        <v>45</v>
      </c>
      <c r="O1254" s="915">
        <v>61</v>
      </c>
      <c r="P1254" s="915">
        <v>61</v>
      </c>
      <c r="Q1254" s="915">
        <v>61</v>
      </c>
    </row>
    <row r="1255" spans="2:17" ht="60" x14ac:dyDescent="0.25">
      <c r="B1255" s="2011"/>
      <c r="C1255" s="2033" t="s">
        <v>11</v>
      </c>
      <c r="D1255" s="2033"/>
      <c r="E1255" s="2034" t="s">
        <v>1830</v>
      </c>
      <c r="F1255" s="1897">
        <v>7274.8</v>
      </c>
      <c r="G1255" s="1897">
        <v>7324.6</v>
      </c>
      <c r="H1255" s="1897">
        <v>7324.6</v>
      </c>
      <c r="I1255" s="1897">
        <v>7960</v>
      </c>
      <c r="J1255" s="1897">
        <v>7960</v>
      </c>
      <c r="K1255" s="774" t="s">
        <v>1831</v>
      </c>
      <c r="L1255" s="915" t="s">
        <v>173</v>
      </c>
      <c r="M1255" s="915">
        <v>1</v>
      </c>
      <c r="N1255" s="915">
        <v>1</v>
      </c>
      <c r="O1255" s="915">
        <v>1</v>
      </c>
      <c r="P1255" s="915">
        <v>1</v>
      </c>
      <c r="Q1255" s="915">
        <v>1</v>
      </c>
    </row>
    <row r="1256" spans="2:17" ht="60" x14ac:dyDescent="0.25">
      <c r="B1256" s="2011"/>
      <c r="C1256" s="2033"/>
      <c r="D1256" s="2033"/>
      <c r="E1256" s="2034"/>
      <c r="F1256" s="1897"/>
      <c r="G1256" s="1897"/>
      <c r="H1256" s="1897"/>
      <c r="I1256" s="1897"/>
      <c r="J1256" s="1897"/>
      <c r="K1256" s="774" t="s">
        <v>1832</v>
      </c>
      <c r="L1256" s="915" t="s">
        <v>173</v>
      </c>
      <c r="M1256" s="915">
        <v>2</v>
      </c>
      <c r="N1256" s="915">
        <v>2</v>
      </c>
      <c r="O1256" s="915">
        <v>2</v>
      </c>
      <c r="P1256" s="915">
        <v>2</v>
      </c>
      <c r="Q1256" s="915">
        <v>2</v>
      </c>
    </row>
    <row r="1257" spans="2:17" ht="60" x14ac:dyDescent="0.25">
      <c r="B1257" s="2011"/>
      <c r="C1257" s="2033"/>
      <c r="D1257" s="2033"/>
      <c r="E1257" s="2034"/>
      <c r="F1257" s="1897"/>
      <c r="G1257" s="1897"/>
      <c r="H1257" s="1897"/>
      <c r="I1257" s="1897"/>
      <c r="J1257" s="1897"/>
      <c r="K1257" s="774" t="s">
        <v>1833</v>
      </c>
      <c r="L1257" s="915" t="s">
        <v>173</v>
      </c>
      <c r="M1257" s="915">
        <v>3</v>
      </c>
      <c r="N1257" s="915">
        <v>3</v>
      </c>
      <c r="O1257" s="915">
        <v>3</v>
      </c>
      <c r="P1257" s="915">
        <v>3</v>
      </c>
      <c r="Q1257" s="915">
        <v>3</v>
      </c>
    </row>
    <row r="1258" spans="2:17" ht="30" x14ac:dyDescent="0.25">
      <c r="B1258" s="2011"/>
      <c r="C1258" s="2033" t="s">
        <v>127</v>
      </c>
      <c r="D1258" s="2033"/>
      <c r="E1258" s="2034" t="s">
        <v>1834</v>
      </c>
      <c r="F1258" s="1897">
        <v>84000</v>
      </c>
      <c r="G1258" s="1897">
        <v>5000</v>
      </c>
      <c r="H1258" s="1897">
        <v>5000</v>
      </c>
      <c r="I1258" s="1897">
        <v>2000</v>
      </c>
      <c r="J1258" s="1897">
        <v>2000</v>
      </c>
      <c r="K1258" s="774" t="s">
        <v>1835</v>
      </c>
      <c r="L1258" s="915" t="s">
        <v>173</v>
      </c>
      <c r="M1258" s="915">
        <v>100</v>
      </c>
      <c r="N1258" s="915">
        <v>100</v>
      </c>
      <c r="O1258" s="915">
        <v>100</v>
      </c>
      <c r="P1258" s="915">
        <v>100</v>
      </c>
      <c r="Q1258" s="915">
        <v>100</v>
      </c>
    </row>
    <row r="1259" spans="2:17" ht="45" x14ac:dyDescent="0.25">
      <c r="B1259" s="2011"/>
      <c r="C1259" s="2033"/>
      <c r="D1259" s="2033"/>
      <c r="E1259" s="2034"/>
      <c r="F1259" s="1897"/>
      <c r="G1259" s="1897"/>
      <c r="H1259" s="1897"/>
      <c r="I1259" s="1897"/>
      <c r="J1259" s="1897"/>
      <c r="K1259" s="774" t="s">
        <v>1836</v>
      </c>
      <c r="L1259" s="915" t="s">
        <v>173</v>
      </c>
      <c r="M1259" s="915">
        <v>5</v>
      </c>
      <c r="N1259" s="915">
        <v>5</v>
      </c>
      <c r="O1259" s="915">
        <v>5</v>
      </c>
      <c r="P1259" s="915">
        <v>5</v>
      </c>
      <c r="Q1259" s="915">
        <v>5</v>
      </c>
    </row>
    <row r="1260" spans="2:17" x14ac:dyDescent="0.25">
      <c r="B1260" s="2011"/>
      <c r="C1260" s="2033"/>
      <c r="D1260" s="2033"/>
      <c r="E1260" s="2034"/>
      <c r="F1260" s="1897"/>
      <c r="G1260" s="1897"/>
      <c r="H1260" s="1897"/>
      <c r="I1260" s="1897"/>
      <c r="J1260" s="1897"/>
      <c r="K1260" s="774" t="s">
        <v>1837</v>
      </c>
      <c r="L1260" s="915" t="s">
        <v>1838</v>
      </c>
      <c r="M1260" s="915">
        <v>33</v>
      </c>
      <c r="N1260" s="915">
        <v>33</v>
      </c>
      <c r="O1260" s="915">
        <v>33</v>
      </c>
      <c r="P1260" s="915">
        <v>33</v>
      </c>
      <c r="Q1260" s="915">
        <v>33</v>
      </c>
    </row>
    <row r="1261" spans="2:17" ht="30" x14ac:dyDescent="0.25">
      <c r="B1261" s="2011"/>
      <c r="C1261" s="2033"/>
      <c r="D1261" s="2033"/>
      <c r="E1261" s="2034"/>
      <c r="F1261" s="1897"/>
      <c r="G1261" s="1897"/>
      <c r="H1261" s="1897"/>
      <c r="I1261" s="1897"/>
      <c r="J1261" s="1897"/>
      <c r="K1261" s="774" t="s">
        <v>1839</v>
      </c>
      <c r="L1261" s="915" t="s">
        <v>1840</v>
      </c>
      <c r="M1261" s="915">
        <v>30</v>
      </c>
      <c r="N1261" s="915">
        <v>30</v>
      </c>
      <c r="O1261" s="915">
        <v>30</v>
      </c>
      <c r="P1261" s="915">
        <v>30</v>
      </c>
      <c r="Q1261" s="915">
        <v>30</v>
      </c>
    </row>
    <row r="1262" spans="2:17" ht="30" x14ac:dyDescent="0.25">
      <c r="B1262" s="686"/>
      <c r="C1262" s="773" t="s">
        <v>129</v>
      </c>
      <c r="D1262" s="773"/>
      <c r="E1262" s="774" t="s">
        <v>1807</v>
      </c>
      <c r="F1262" s="761"/>
      <c r="G1262" s="761">
        <v>49412.2</v>
      </c>
      <c r="H1262" s="761"/>
      <c r="I1262" s="761">
        <v>49412.2</v>
      </c>
      <c r="J1262" s="761">
        <v>49412.2</v>
      </c>
      <c r="K1262" s="774" t="s">
        <v>1841</v>
      </c>
      <c r="L1262" s="915" t="s">
        <v>279</v>
      </c>
      <c r="M1262" s="915"/>
      <c r="N1262" s="915" t="s">
        <v>211</v>
      </c>
      <c r="O1262" s="915" t="s">
        <v>211</v>
      </c>
      <c r="P1262" s="915" t="s">
        <v>211</v>
      </c>
      <c r="Q1262" s="915" t="s">
        <v>211</v>
      </c>
    </row>
    <row r="1263" spans="2:17" ht="59.25" x14ac:dyDescent="0.25">
      <c r="B1263" s="687">
        <v>3</v>
      </c>
      <c r="C1263" s="773"/>
      <c r="D1263" s="773"/>
      <c r="E1263" s="797" t="s">
        <v>1842</v>
      </c>
      <c r="F1263" s="672">
        <f t="shared" ref="F1263:J1263" si="131">F1264+F1266+F1267+F1270+F1271+F1273+F1274+F1275</f>
        <v>328545.3</v>
      </c>
      <c r="G1263" s="672">
        <f t="shared" si="131"/>
        <v>332568.5</v>
      </c>
      <c r="H1263" s="672">
        <f t="shared" si="131"/>
        <v>287041.49999999994</v>
      </c>
      <c r="I1263" s="672">
        <f t="shared" si="131"/>
        <v>310892.49999999994</v>
      </c>
      <c r="J1263" s="672">
        <f t="shared" si="131"/>
        <v>310892.49999999994</v>
      </c>
      <c r="K1263" s="774" t="s">
        <v>1843</v>
      </c>
      <c r="L1263" s="500" t="s">
        <v>1530</v>
      </c>
      <c r="M1263" s="500">
        <v>768637</v>
      </c>
      <c r="N1263" s="500">
        <v>768637</v>
      </c>
      <c r="O1263" s="500">
        <v>768637</v>
      </c>
      <c r="P1263" s="500">
        <v>768637</v>
      </c>
      <c r="Q1263" s="500">
        <v>768637</v>
      </c>
    </row>
    <row r="1264" spans="2:17" ht="45" x14ac:dyDescent="0.25">
      <c r="B1264" s="2011"/>
      <c r="C1264" s="2033" t="s">
        <v>5</v>
      </c>
      <c r="D1264" s="2033"/>
      <c r="E1264" s="2034" t="s">
        <v>1844</v>
      </c>
      <c r="F1264" s="1897">
        <v>230899.20000000001</v>
      </c>
      <c r="G1264" s="1897">
        <v>185550</v>
      </c>
      <c r="H1264" s="1897">
        <v>177536.3</v>
      </c>
      <c r="I1264" s="1897">
        <v>187392.4</v>
      </c>
      <c r="J1264" s="1897">
        <v>187392.4</v>
      </c>
      <c r="K1264" s="774" t="s">
        <v>1845</v>
      </c>
      <c r="L1264" s="915" t="s">
        <v>1530</v>
      </c>
      <c r="M1264" s="915">
        <v>2546323</v>
      </c>
      <c r="N1264" s="915">
        <v>2546323</v>
      </c>
      <c r="O1264" s="915">
        <v>2546323</v>
      </c>
      <c r="P1264" s="915">
        <v>2546323</v>
      </c>
      <c r="Q1264" s="915">
        <v>2546323</v>
      </c>
    </row>
    <row r="1265" spans="2:17" ht="45" x14ac:dyDescent="0.25">
      <c r="B1265" s="2011"/>
      <c r="C1265" s="2033"/>
      <c r="D1265" s="2033"/>
      <c r="E1265" s="2034"/>
      <c r="F1265" s="1897"/>
      <c r="G1265" s="1897"/>
      <c r="H1265" s="1897"/>
      <c r="I1265" s="1897"/>
      <c r="J1265" s="1897"/>
      <c r="K1265" s="774" t="s">
        <v>1846</v>
      </c>
      <c r="L1265" s="915" t="s">
        <v>35</v>
      </c>
      <c r="M1265" s="915">
        <v>100</v>
      </c>
      <c r="N1265" s="915">
        <v>100</v>
      </c>
      <c r="O1265" s="915">
        <v>100</v>
      </c>
      <c r="P1265" s="915">
        <v>100</v>
      </c>
      <c r="Q1265" s="915">
        <v>100</v>
      </c>
    </row>
    <row r="1266" spans="2:17" ht="45" x14ac:dyDescent="0.25">
      <c r="B1266" s="686"/>
      <c r="C1266" s="773" t="s">
        <v>7</v>
      </c>
      <c r="D1266" s="773"/>
      <c r="E1266" s="774" t="s">
        <v>1847</v>
      </c>
      <c r="F1266" s="761">
        <v>2779.5</v>
      </c>
      <c r="G1266" s="761">
        <v>2806.5</v>
      </c>
      <c r="H1266" s="761">
        <v>2806.5</v>
      </c>
      <c r="I1266" s="761">
        <v>2833.8</v>
      </c>
      <c r="J1266" s="761">
        <v>2833.8</v>
      </c>
      <c r="K1266" s="774" t="s">
        <v>1848</v>
      </c>
      <c r="L1266" s="915" t="s">
        <v>35</v>
      </c>
      <c r="M1266" s="915">
        <v>100</v>
      </c>
      <c r="N1266" s="915">
        <v>100</v>
      </c>
      <c r="O1266" s="915">
        <v>100</v>
      </c>
      <c r="P1266" s="915">
        <v>100</v>
      </c>
      <c r="Q1266" s="915">
        <v>100</v>
      </c>
    </row>
    <row r="1267" spans="2:17" x14ac:dyDescent="0.25">
      <c r="B1267" s="2011"/>
      <c r="C1267" s="2033" t="s">
        <v>9</v>
      </c>
      <c r="D1267" s="2033"/>
      <c r="E1267" s="2034" t="s">
        <v>1849</v>
      </c>
      <c r="F1267" s="1897">
        <v>90469.9</v>
      </c>
      <c r="G1267" s="1897">
        <v>70289.2</v>
      </c>
      <c r="H1267" s="1897">
        <f>53820.2+23456.7</f>
        <v>77276.899999999994</v>
      </c>
      <c r="I1267" s="1897">
        <v>30183.8</v>
      </c>
      <c r="J1267" s="1897">
        <v>30183.8</v>
      </c>
      <c r="K1267" s="774" t="s">
        <v>1850</v>
      </c>
      <c r="L1267" s="915" t="s">
        <v>35</v>
      </c>
      <c r="M1267" s="915">
        <v>60</v>
      </c>
      <c r="N1267" s="915">
        <v>61</v>
      </c>
      <c r="O1267" s="915">
        <v>62</v>
      </c>
      <c r="P1267" s="915">
        <v>62</v>
      </c>
      <c r="Q1267" s="915">
        <v>62</v>
      </c>
    </row>
    <row r="1268" spans="2:17" ht="45" x14ac:dyDescent="0.25">
      <c r="B1268" s="2011"/>
      <c r="C1268" s="2033"/>
      <c r="D1268" s="2033"/>
      <c r="E1268" s="2034"/>
      <c r="F1268" s="1897"/>
      <c r="G1268" s="1897"/>
      <c r="H1268" s="1897"/>
      <c r="I1268" s="1897"/>
      <c r="J1268" s="1897"/>
      <c r="K1268" s="774" t="s">
        <v>1851</v>
      </c>
      <c r="L1268" s="915" t="s">
        <v>1530</v>
      </c>
      <c r="M1268" s="915">
        <v>1110</v>
      </c>
      <c r="N1268" s="915">
        <v>1120</v>
      </c>
      <c r="O1268" s="915">
        <v>1130</v>
      </c>
      <c r="P1268" s="915">
        <v>1130</v>
      </c>
      <c r="Q1268" s="915">
        <v>1130</v>
      </c>
    </row>
    <row r="1269" spans="2:17" ht="30" x14ac:dyDescent="0.25">
      <c r="B1269" s="2011"/>
      <c r="C1269" s="2033"/>
      <c r="D1269" s="2033"/>
      <c r="E1269" s="2034"/>
      <c r="F1269" s="1897"/>
      <c r="G1269" s="1897"/>
      <c r="H1269" s="1897"/>
      <c r="I1269" s="1897"/>
      <c r="J1269" s="1897"/>
      <c r="K1269" s="774" t="s">
        <v>1852</v>
      </c>
      <c r="L1269" s="915" t="s">
        <v>1450</v>
      </c>
      <c r="M1269" s="915">
        <v>15</v>
      </c>
      <c r="N1269" s="915">
        <v>13</v>
      </c>
      <c r="O1269" s="915">
        <v>13</v>
      </c>
      <c r="P1269" s="915">
        <v>13</v>
      </c>
      <c r="Q1269" s="915">
        <v>13</v>
      </c>
    </row>
    <row r="1270" spans="2:17" x14ac:dyDescent="0.25">
      <c r="B1270" s="686"/>
      <c r="C1270" s="773" t="s">
        <v>11</v>
      </c>
      <c r="D1270" s="773"/>
      <c r="E1270" s="774" t="s">
        <v>1853</v>
      </c>
      <c r="F1270" s="761">
        <v>2965.7</v>
      </c>
      <c r="G1270" s="761">
        <v>3097.5</v>
      </c>
      <c r="H1270" s="761">
        <v>3097.5</v>
      </c>
      <c r="I1270" s="761">
        <v>3281.3</v>
      </c>
      <c r="J1270" s="761">
        <v>3281.3</v>
      </c>
      <c r="K1270" s="774" t="s">
        <v>1854</v>
      </c>
      <c r="L1270" s="915" t="s">
        <v>1530</v>
      </c>
      <c r="M1270" s="915">
        <v>754</v>
      </c>
      <c r="N1270" s="915">
        <v>754</v>
      </c>
      <c r="O1270" s="915">
        <v>754</v>
      </c>
      <c r="P1270" s="915">
        <v>760</v>
      </c>
      <c r="Q1270" s="915">
        <v>760</v>
      </c>
    </row>
    <row r="1271" spans="2:17" ht="45" x14ac:dyDescent="0.25">
      <c r="B1271" s="2011"/>
      <c r="C1271" s="2033" t="s">
        <v>127</v>
      </c>
      <c r="D1271" s="2033"/>
      <c r="E1271" s="2034" t="s">
        <v>1855</v>
      </c>
      <c r="F1271" s="1897">
        <v>1431</v>
      </c>
      <c r="G1271" s="1897">
        <v>1667.9</v>
      </c>
      <c r="H1271" s="1897">
        <v>1667.9</v>
      </c>
      <c r="I1271" s="1897">
        <v>1730.1</v>
      </c>
      <c r="J1271" s="1897">
        <v>1730.1</v>
      </c>
      <c r="K1271" s="774" t="s">
        <v>1856</v>
      </c>
      <c r="L1271" s="915" t="s">
        <v>1857</v>
      </c>
      <c r="M1271" s="23">
        <v>2.5</v>
      </c>
      <c r="N1271" s="23">
        <v>5</v>
      </c>
      <c r="O1271" s="23">
        <v>10</v>
      </c>
      <c r="P1271" s="23">
        <v>15</v>
      </c>
      <c r="Q1271" s="23">
        <v>15</v>
      </c>
    </row>
    <row r="1272" spans="2:17" ht="30" x14ac:dyDescent="0.25">
      <c r="B1272" s="2011"/>
      <c r="C1272" s="2033"/>
      <c r="D1272" s="2033"/>
      <c r="E1272" s="2034"/>
      <c r="F1272" s="1897"/>
      <c r="G1272" s="1897"/>
      <c r="H1272" s="1897"/>
      <c r="I1272" s="1897"/>
      <c r="J1272" s="1897"/>
      <c r="K1272" s="774" t="s">
        <v>1858</v>
      </c>
      <c r="L1272" s="915" t="s">
        <v>1857</v>
      </c>
      <c r="M1272" s="915">
        <v>1010</v>
      </c>
      <c r="N1272" s="915">
        <v>1020</v>
      </c>
      <c r="O1272" s="915">
        <v>1030</v>
      </c>
      <c r="P1272" s="915">
        <v>1040</v>
      </c>
      <c r="Q1272" s="915">
        <v>1040</v>
      </c>
    </row>
    <row r="1273" spans="2:17" ht="60" x14ac:dyDescent="0.25">
      <c r="B1273" s="686"/>
      <c r="C1273" s="773" t="s">
        <v>129</v>
      </c>
      <c r="D1273" s="773"/>
      <c r="E1273" s="774" t="s">
        <v>1859</v>
      </c>
      <c r="F1273" s="761"/>
      <c r="G1273" s="761">
        <v>2867.3</v>
      </c>
      <c r="H1273" s="761">
        <v>2867.3</v>
      </c>
      <c r="I1273" s="761">
        <v>2974.3</v>
      </c>
      <c r="J1273" s="761">
        <v>2974.3</v>
      </c>
      <c r="K1273" s="774" t="s">
        <v>1860</v>
      </c>
      <c r="L1273" s="915" t="s">
        <v>35</v>
      </c>
      <c r="M1273" s="915">
        <v>0.7</v>
      </c>
      <c r="N1273" s="915">
        <v>0.7</v>
      </c>
      <c r="O1273" s="915">
        <v>0.7</v>
      </c>
      <c r="P1273" s="915">
        <v>0.7</v>
      </c>
      <c r="Q1273" s="915">
        <v>0.7</v>
      </c>
    </row>
    <row r="1274" spans="2:17" ht="60" x14ac:dyDescent="0.25">
      <c r="B1274" s="686"/>
      <c r="C1274" s="773" t="s">
        <v>131</v>
      </c>
      <c r="D1274" s="773"/>
      <c r="E1274" s="774" t="s">
        <v>1861</v>
      </c>
      <c r="F1274" s="761"/>
      <c r="G1274" s="761">
        <v>21789.1</v>
      </c>
      <c r="H1274" s="761">
        <v>21789.1</v>
      </c>
      <c r="I1274" s="761">
        <v>37496.800000000003</v>
      </c>
      <c r="J1274" s="761">
        <v>37496.800000000003</v>
      </c>
      <c r="K1274" s="774" t="s">
        <v>1862</v>
      </c>
      <c r="L1274" s="915" t="s">
        <v>35</v>
      </c>
      <c r="M1274" s="915">
        <v>29.6</v>
      </c>
      <c r="N1274" s="915">
        <v>29.6</v>
      </c>
      <c r="O1274" s="915">
        <v>29.6</v>
      </c>
      <c r="P1274" s="915">
        <v>29.6</v>
      </c>
      <c r="Q1274" s="915">
        <v>29.6</v>
      </c>
    </row>
    <row r="1275" spans="2:17" ht="30" x14ac:dyDescent="0.25">
      <c r="B1275" s="686"/>
      <c r="C1275" s="773" t="s">
        <v>134</v>
      </c>
      <c r="D1275" s="773"/>
      <c r="E1275" s="774" t="s">
        <v>1807</v>
      </c>
      <c r="F1275" s="761"/>
      <c r="G1275" s="761">
        <v>44501</v>
      </c>
      <c r="H1275" s="761"/>
      <c r="I1275" s="761">
        <v>45000</v>
      </c>
      <c r="J1275" s="761">
        <v>45000</v>
      </c>
      <c r="K1275" s="774" t="s">
        <v>1841</v>
      </c>
      <c r="L1275" s="915" t="s">
        <v>279</v>
      </c>
      <c r="M1275" s="915"/>
      <c r="N1275" s="915" t="s">
        <v>211</v>
      </c>
      <c r="O1275" s="915" t="s">
        <v>211</v>
      </c>
      <c r="P1275" s="915" t="s">
        <v>211</v>
      </c>
      <c r="Q1275" s="915" t="s">
        <v>211</v>
      </c>
    </row>
    <row r="1276" spans="2:17" ht="137.25" customHeight="1" x14ac:dyDescent="0.25">
      <c r="B1276" s="687">
        <v>4</v>
      </c>
      <c r="C1276" s="773"/>
      <c r="D1276" s="773"/>
      <c r="E1276" s="797" t="s">
        <v>1863</v>
      </c>
      <c r="F1276" s="672">
        <f t="shared" ref="F1276:J1276" si="132">F1277+F1278+F1279+F1283+F1287+F1291</f>
        <v>42500</v>
      </c>
      <c r="G1276" s="672">
        <f t="shared" si="132"/>
        <v>49000</v>
      </c>
      <c r="H1276" s="672">
        <f t="shared" si="132"/>
        <v>41988.4</v>
      </c>
      <c r="I1276" s="672">
        <f t="shared" si="132"/>
        <v>49000</v>
      </c>
      <c r="J1276" s="672">
        <f t="shared" si="132"/>
        <v>49000</v>
      </c>
      <c r="K1276" s="797" t="s">
        <v>1864</v>
      </c>
      <c r="L1276" s="500" t="s">
        <v>1517</v>
      </c>
      <c r="M1276" s="1152">
        <v>7003.86</v>
      </c>
      <c r="N1276" s="1152">
        <v>3665.49</v>
      </c>
      <c r="O1276" s="1152">
        <v>4641.8999999999996</v>
      </c>
      <c r="P1276" s="1152">
        <v>4641.8999999999996</v>
      </c>
      <c r="Q1276" s="1152">
        <v>4641.8999999999996</v>
      </c>
    </row>
    <row r="1277" spans="2:17" ht="60" x14ac:dyDescent="0.25">
      <c r="B1277" s="686"/>
      <c r="C1277" s="773" t="s">
        <v>5</v>
      </c>
      <c r="D1277" s="773"/>
      <c r="E1277" s="774" t="s">
        <v>1865</v>
      </c>
      <c r="F1277" s="761"/>
      <c r="G1277" s="761">
        <v>6980</v>
      </c>
      <c r="H1277" s="761">
        <f>3322+3658</f>
        <v>6980</v>
      </c>
      <c r="I1277" s="761">
        <v>6980</v>
      </c>
      <c r="J1277" s="761">
        <v>6980</v>
      </c>
      <c r="K1277" s="774" t="s">
        <v>1866</v>
      </c>
      <c r="L1277" s="500" t="s">
        <v>35</v>
      </c>
      <c r="M1277" s="1152"/>
      <c r="N1277" s="1152"/>
      <c r="O1277" s="1152"/>
      <c r="P1277" s="1152"/>
      <c r="Q1277" s="1152"/>
    </row>
    <row r="1278" spans="2:17" ht="30" x14ac:dyDescent="0.25">
      <c r="B1278" s="686"/>
      <c r="C1278" s="773" t="s">
        <v>7</v>
      </c>
      <c r="D1278" s="773"/>
      <c r="E1278" s="774" t="s">
        <v>1867</v>
      </c>
      <c r="F1278" s="761">
        <v>19000</v>
      </c>
      <c r="G1278" s="761">
        <v>10987</v>
      </c>
      <c r="H1278" s="761">
        <v>10987</v>
      </c>
      <c r="I1278" s="761">
        <v>10987</v>
      </c>
      <c r="J1278" s="761">
        <v>10987</v>
      </c>
      <c r="K1278" s="774" t="s">
        <v>1868</v>
      </c>
      <c r="L1278" s="915" t="s">
        <v>1517</v>
      </c>
      <c r="M1278" s="1152"/>
      <c r="N1278" s="915">
        <v>558.29999999999995</v>
      </c>
      <c r="O1278" s="915">
        <v>1116.5999999999999</v>
      </c>
      <c r="P1278" s="915">
        <v>1116.5999999999999</v>
      </c>
      <c r="Q1278" s="915">
        <v>1116.5999999999999</v>
      </c>
    </row>
    <row r="1279" spans="2:17" x14ac:dyDescent="0.25">
      <c r="B1279" s="2011"/>
      <c r="C1279" s="2033" t="s">
        <v>9</v>
      </c>
      <c r="D1279" s="2033"/>
      <c r="E1279" s="2034" t="s">
        <v>1869</v>
      </c>
      <c r="F1279" s="1897">
        <v>12875</v>
      </c>
      <c r="G1279" s="1897">
        <v>13325</v>
      </c>
      <c r="H1279" s="1897">
        <f>6038.3+5617.5</f>
        <v>11655.8</v>
      </c>
      <c r="I1279" s="1897">
        <v>13325</v>
      </c>
      <c r="J1279" s="1897">
        <v>13325</v>
      </c>
      <c r="K1279" s="774" t="s">
        <v>1870</v>
      </c>
      <c r="L1279" s="915" t="s">
        <v>1517</v>
      </c>
      <c r="M1279" s="915">
        <v>333.6</v>
      </c>
      <c r="N1279" s="915">
        <v>308.29000000000002</v>
      </c>
      <c r="O1279" s="915">
        <v>303.3</v>
      </c>
      <c r="P1279" s="915">
        <v>293.8</v>
      </c>
      <c r="Q1279" s="915">
        <v>293.8</v>
      </c>
    </row>
    <row r="1280" spans="2:17" x14ac:dyDescent="0.25">
      <c r="B1280" s="2011"/>
      <c r="C1280" s="2033"/>
      <c r="D1280" s="2033"/>
      <c r="E1280" s="2034"/>
      <c r="F1280" s="1897"/>
      <c r="G1280" s="1897"/>
      <c r="H1280" s="1897"/>
      <c r="I1280" s="1897"/>
      <c r="J1280" s="1897"/>
      <c r="K1280" s="774" t="s">
        <v>1871</v>
      </c>
      <c r="L1280" s="915" t="s">
        <v>1517</v>
      </c>
      <c r="M1280" s="915">
        <v>333.6</v>
      </c>
      <c r="N1280" s="915">
        <v>308.29000000000002</v>
      </c>
      <c r="O1280" s="915">
        <v>303.3</v>
      </c>
      <c r="P1280" s="915">
        <v>293.8</v>
      </c>
      <c r="Q1280" s="915">
        <v>293.8</v>
      </c>
    </row>
    <row r="1281" spans="2:17" ht="30" x14ac:dyDescent="0.25">
      <c r="B1281" s="2011"/>
      <c r="C1281" s="2033"/>
      <c r="D1281" s="2033"/>
      <c r="E1281" s="2034"/>
      <c r="F1281" s="1897"/>
      <c r="G1281" s="1897"/>
      <c r="H1281" s="1897"/>
      <c r="I1281" s="1897"/>
      <c r="J1281" s="1897"/>
      <c r="K1281" s="774" t="s">
        <v>1872</v>
      </c>
      <c r="L1281" s="915" t="s">
        <v>40</v>
      </c>
      <c r="M1281" s="915">
        <v>1835</v>
      </c>
      <c r="N1281" s="915">
        <v>1769</v>
      </c>
      <c r="O1281" s="915">
        <v>1689</v>
      </c>
      <c r="P1281" s="915">
        <v>1451</v>
      </c>
      <c r="Q1281" s="915">
        <v>1451</v>
      </c>
    </row>
    <row r="1282" spans="2:17" x14ac:dyDescent="0.25">
      <c r="B1282" s="2011"/>
      <c r="C1282" s="2033"/>
      <c r="D1282" s="2033"/>
      <c r="E1282" s="2034"/>
      <c r="F1282" s="1897"/>
      <c r="G1282" s="1897"/>
      <c r="H1282" s="1897"/>
      <c r="I1282" s="1897"/>
      <c r="J1282" s="1897"/>
      <c r="K1282" s="774" t="s">
        <v>1873</v>
      </c>
      <c r="L1282" s="915" t="s">
        <v>40</v>
      </c>
      <c r="M1282" s="915">
        <v>11</v>
      </c>
      <c r="N1282" s="915">
        <v>12</v>
      </c>
      <c r="O1282" s="915">
        <v>14</v>
      </c>
      <c r="P1282" s="915">
        <v>7</v>
      </c>
      <c r="Q1282" s="915">
        <v>7</v>
      </c>
    </row>
    <row r="1283" spans="2:17" ht="30" x14ac:dyDescent="0.25">
      <c r="B1283" s="2011"/>
      <c r="C1283" s="2033" t="s">
        <v>11</v>
      </c>
      <c r="D1283" s="2033"/>
      <c r="E1283" s="2034" t="s">
        <v>1874</v>
      </c>
      <c r="F1283" s="1897">
        <v>10625</v>
      </c>
      <c r="G1283" s="1897">
        <v>10093</v>
      </c>
      <c r="H1283" s="1897">
        <f>4028.6+5722</f>
        <v>9750.6</v>
      </c>
      <c r="I1283" s="1897">
        <v>10093</v>
      </c>
      <c r="J1283" s="1897">
        <v>10093</v>
      </c>
      <c r="K1283" s="774" t="s">
        <v>1875</v>
      </c>
      <c r="L1283" s="915" t="s">
        <v>1517</v>
      </c>
      <c r="M1283" s="915">
        <v>4491.6000000000004</v>
      </c>
      <c r="N1283" s="915">
        <v>1274.5</v>
      </c>
      <c r="O1283" s="915">
        <v>1341.7</v>
      </c>
      <c r="P1283" s="915">
        <v>1000</v>
      </c>
      <c r="Q1283" s="915">
        <v>1000</v>
      </c>
    </row>
    <row r="1284" spans="2:17" ht="30" x14ac:dyDescent="0.25">
      <c r="B1284" s="2011"/>
      <c r="C1284" s="2033"/>
      <c r="D1284" s="2033"/>
      <c r="E1284" s="2034"/>
      <c r="F1284" s="1897"/>
      <c r="G1284" s="1897"/>
      <c r="H1284" s="1897"/>
      <c r="I1284" s="1897"/>
      <c r="J1284" s="1897"/>
      <c r="K1284" s="774" t="s">
        <v>1876</v>
      </c>
      <c r="L1284" s="915" t="s">
        <v>173</v>
      </c>
      <c r="M1284" s="915">
        <v>800</v>
      </c>
      <c r="N1284" s="915">
        <v>350</v>
      </c>
      <c r="O1284" s="915">
        <v>365</v>
      </c>
      <c r="P1284" s="915">
        <v>317</v>
      </c>
      <c r="Q1284" s="915">
        <v>317</v>
      </c>
    </row>
    <row r="1285" spans="2:17" ht="30" x14ac:dyDescent="0.25">
      <c r="B1285" s="2011"/>
      <c r="C1285" s="2033"/>
      <c r="D1285" s="2033"/>
      <c r="E1285" s="2034"/>
      <c r="F1285" s="1897"/>
      <c r="G1285" s="1897"/>
      <c r="H1285" s="1897"/>
      <c r="I1285" s="1897"/>
      <c r="J1285" s="1897"/>
      <c r="K1285" s="774" t="s">
        <v>1877</v>
      </c>
      <c r="L1285" s="915" t="s">
        <v>1878</v>
      </c>
      <c r="M1285" s="915">
        <v>4300</v>
      </c>
      <c r="N1285" s="915">
        <v>1800</v>
      </c>
      <c r="O1285" s="915">
        <v>2100</v>
      </c>
      <c r="P1285" s="915">
        <v>1650</v>
      </c>
      <c r="Q1285" s="915">
        <v>1650</v>
      </c>
    </row>
    <row r="1286" spans="2:17" ht="30" x14ac:dyDescent="0.25">
      <c r="B1286" s="2011"/>
      <c r="C1286" s="2033"/>
      <c r="D1286" s="2033"/>
      <c r="E1286" s="2034"/>
      <c r="F1286" s="1897"/>
      <c r="G1286" s="1897"/>
      <c r="H1286" s="1897"/>
      <c r="I1286" s="1897"/>
      <c r="J1286" s="1897"/>
      <c r="K1286" s="774" t="s">
        <v>1879</v>
      </c>
      <c r="L1286" s="915" t="s">
        <v>173</v>
      </c>
      <c r="M1286" s="915">
        <v>2</v>
      </c>
      <c r="N1286" s="915">
        <v>2</v>
      </c>
      <c r="O1286" s="915">
        <v>1</v>
      </c>
      <c r="P1286" s="915">
        <v>1</v>
      </c>
      <c r="Q1286" s="915">
        <v>1</v>
      </c>
    </row>
    <row r="1287" spans="2:17" x14ac:dyDescent="0.25">
      <c r="B1287" s="2011"/>
      <c r="C1287" s="2033" t="s">
        <v>127</v>
      </c>
      <c r="D1287" s="2033"/>
      <c r="E1287" s="2034" t="s">
        <v>1880</v>
      </c>
      <c r="F1287" s="1897"/>
      <c r="G1287" s="1897">
        <v>2615</v>
      </c>
      <c r="H1287" s="1897">
        <v>2615</v>
      </c>
      <c r="I1287" s="1897">
        <v>2615</v>
      </c>
      <c r="J1287" s="1897">
        <v>2615</v>
      </c>
      <c r="K1287" s="774" t="s">
        <v>1881</v>
      </c>
      <c r="L1287" s="915" t="s">
        <v>1517</v>
      </c>
      <c r="M1287" s="915">
        <v>4825.2</v>
      </c>
      <c r="N1287" s="915">
        <v>2141.1</v>
      </c>
      <c r="O1287" s="915">
        <v>2761.6</v>
      </c>
      <c r="P1287" s="915">
        <v>1293.8</v>
      </c>
      <c r="Q1287" s="915">
        <v>1293.8</v>
      </c>
    </row>
    <row r="1288" spans="2:17" ht="30" x14ac:dyDescent="0.25">
      <c r="B1288" s="2011"/>
      <c r="C1288" s="2033"/>
      <c r="D1288" s="2033"/>
      <c r="E1288" s="2034"/>
      <c r="F1288" s="1897"/>
      <c r="G1288" s="1897"/>
      <c r="H1288" s="1897"/>
      <c r="I1288" s="1897"/>
      <c r="J1288" s="1897"/>
      <c r="K1288" s="774" t="s">
        <v>1882</v>
      </c>
      <c r="L1288" s="915" t="s">
        <v>173</v>
      </c>
      <c r="M1288" s="915">
        <v>33773</v>
      </c>
      <c r="N1288" s="915">
        <v>34345</v>
      </c>
      <c r="O1288" s="915">
        <v>34556</v>
      </c>
      <c r="P1288" s="915">
        <v>17859</v>
      </c>
      <c r="Q1288" s="915">
        <v>17859</v>
      </c>
    </row>
    <row r="1289" spans="2:17" x14ac:dyDescent="0.25">
      <c r="B1289" s="2011"/>
      <c r="C1289" s="2033"/>
      <c r="D1289" s="2033"/>
      <c r="E1289" s="2034"/>
      <c r="F1289" s="1897"/>
      <c r="G1289" s="1897"/>
      <c r="H1289" s="1897"/>
      <c r="I1289" s="1897"/>
      <c r="J1289" s="1897"/>
      <c r="K1289" s="774" t="s">
        <v>1883</v>
      </c>
      <c r="L1289" s="915" t="s">
        <v>173</v>
      </c>
      <c r="M1289" s="915">
        <v>138</v>
      </c>
      <c r="N1289" s="915">
        <v>154</v>
      </c>
      <c r="O1289" s="915">
        <v>182</v>
      </c>
      <c r="P1289" s="915">
        <v>91</v>
      </c>
      <c r="Q1289" s="915">
        <v>91</v>
      </c>
    </row>
    <row r="1290" spans="2:17" x14ac:dyDescent="0.25">
      <c r="B1290" s="2011"/>
      <c r="C1290" s="2033"/>
      <c r="D1290" s="2033"/>
      <c r="E1290" s="2034"/>
      <c r="F1290" s="1897"/>
      <c r="G1290" s="1897"/>
      <c r="H1290" s="1897"/>
      <c r="I1290" s="1897"/>
      <c r="J1290" s="1897"/>
      <c r="K1290" s="774" t="s">
        <v>1884</v>
      </c>
      <c r="L1290" s="915" t="s">
        <v>173</v>
      </c>
      <c r="M1290" s="915">
        <v>236</v>
      </c>
      <c r="N1290" s="915">
        <v>264</v>
      </c>
      <c r="O1290" s="915">
        <v>282</v>
      </c>
      <c r="P1290" s="915">
        <v>148</v>
      </c>
      <c r="Q1290" s="915">
        <v>148</v>
      </c>
    </row>
    <row r="1291" spans="2:17" ht="30" x14ac:dyDescent="0.25">
      <c r="B1291" s="686"/>
      <c r="C1291" s="773" t="s">
        <v>129</v>
      </c>
      <c r="D1291" s="773"/>
      <c r="E1291" s="774" t="s">
        <v>1807</v>
      </c>
      <c r="F1291" s="761"/>
      <c r="G1291" s="761">
        <v>5000</v>
      </c>
      <c r="H1291" s="761"/>
      <c r="I1291" s="761">
        <v>5000</v>
      </c>
      <c r="J1291" s="761">
        <v>5000</v>
      </c>
      <c r="K1291" s="774" t="s">
        <v>1841</v>
      </c>
      <c r="L1291" s="915" t="s">
        <v>279</v>
      </c>
      <c r="M1291" s="915"/>
      <c r="N1291" s="915" t="s">
        <v>211</v>
      </c>
      <c r="O1291" s="915" t="s">
        <v>211</v>
      </c>
      <c r="P1291" s="915" t="s">
        <v>211</v>
      </c>
      <c r="Q1291" s="915" t="s">
        <v>211</v>
      </c>
    </row>
    <row r="1292" spans="2:17" ht="42.75" x14ac:dyDescent="0.25">
      <c r="B1292" s="2012">
        <v>5</v>
      </c>
      <c r="C1292" s="2033"/>
      <c r="D1292" s="2033"/>
      <c r="E1292" s="2066" t="s">
        <v>1885</v>
      </c>
      <c r="F1292" s="2226">
        <f t="shared" ref="F1292:I1292" si="133">F1295+F1302+F1307+F1308+F1312+F1316+F1323</f>
        <v>200830.8</v>
      </c>
      <c r="G1292" s="2226">
        <f t="shared" si="133"/>
        <v>228791.30000000002</v>
      </c>
      <c r="H1292" s="2226">
        <f t="shared" si="133"/>
        <v>184265</v>
      </c>
      <c r="I1292" s="2226">
        <f t="shared" si="133"/>
        <v>217028.30000000002</v>
      </c>
      <c r="J1292" s="2226">
        <f>J1295+J1302+J1307+J1308+J1312+J1316+J1323</f>
        <v>217092.90000000002</v>
      </c>
      <c r="K1292" s="797" t="s">
        <v>1886</v>
      </c>
      <c r="L1292" s="500" t="s">
        <v>320</v>
      </c>
      <c r="M1292" s="500">
        <v>58</v>
      </c>
      <c r="N1292" s="500">
        <v>58</v>
      </c>
      <c r="O1292" s="500">
        <v>58</v>
      </c>
      <c r="P1292" s="500">
        <v>58</v>
      </c>
      <c r="Q1292" s="500">
        <v>58</v>
      </c>
    </row>
    <row r="1293" spans="2:17" ht="28.5" x14ac:dyDescent="0.25">
      <c r="B1293" s="2012"/>
      <c r="C1293" s="2033"/>
      <c r="D1293" s="2033"/>
      <c r="E1293" s="2066"/>
      <c r="F1293" s="2226"/>
      <c r="G1293" s="2226"/>
      <c r="H1293" s="2226"/>
      <c r="I1293" s="2226"/>
      <c r="J1293" s="2226"/>
      <c r="K1293" s="797" t="s">
        <v>1887</v>
      </c>
      <c r="L1293" s="500" t="s">
        <v>320</v>
      </c>
      <c r="M1293" s="500">
        <v>57</v>
      </c>
      <c r="N1293" s="500">
        <v>57</v>
      </c>
      <c r="O1293" s="500">
        <v>57</v>
      </c>
      <c r="P1293" s="500">
        <v>57</v>
      </c>
      <c r="Q1293" s="500">
        <v>57</v>
      </c>
    </row>
    <row r="1294" spans="2:17" ht="33" customHeight="1" x14ac:dyDescent="0.25">
      <c r="B1294" s="2012"/>
      <c r="C1294" s="2033"/>
      <c r="D1294" s="2033"/>
      <c r="E1294" s="2066"/>
      <c r="F1294" s="2226"/>
      <c r="G1294" s="2226"/>
      <c r="H1294" s="2226"/>
      <c r="I1294" s="2226"/>
      <c r="J1294" s="2226"/>
      <c r="K1294" s="797" t="s">
        <v>1888</v>
      </c>
      <c r="L1294" s="500" t="s">
        <v>320</v>
      </c>
      <c r="M1294" s="500">
        <v>85</v>
      </c>
      <c r="N1294" s="500">
        <v>85</v>
      </c>
      <c r="O1294" s="500">
        <v>85</v>
      </c>
      <c r="P1294" s="500">
        <v>85</v>
      </c>
      <c r="Q1294" s="500">
        <v>85</v>
      </c>
    </row>
    <row r="1295" spans="2:17" ht="60" x14ac:dyDescent="0.25">
      <c r="B1295" s="2011"/>
      <c r="C1295" s="2033" t="s">
        <v>5</v>
      </c>
      <c r="D1295" s="2033"/>
      <c r="E1295" s="2034" t="s">
        <v>1889</v>
      </c>
      <c r="F1295" s="1897">
        <v>93703</v>
      </c>
      <c r="G1295" s="1897">
        <v>96007.3</v>
      </c>
      <c r="H1295" s="1897">
        <v>96305.7</v>
      </c>
      <c r="I1295" s="1897">
        <v>96007.3</v>
      </c>
      <c r="J1295" s="1897">
        <v>96007.3</v>
      </c>
      <c r="K1295" s="774" t="s">
        <v>1866</v>
      </c>
      <c r="L1295" s="500" t="s">
        <v>35</v>
      </c>
      <c r="M1295" s="1152"/>
      <c r="N1295" s="1152"/>
      <c r="O1295" s="1152"/>
      <c r="P1295" s="1152"/>
      <c r="Q1295" s="1152"/>
    </row>
    <row r="1296" spans="2:17" ht="45" x14ac:dyDescent="0.25">
      <c r="B1296" s="2011"/>
      <c r="C1296" s="2033"/>
      <c r="D1296" s="2033"/>
      <c r="E1296" s="2034"/>
      <c r="F1296" s="1897"/>
      <c r="G1296" s="1897"/>
      <c r="H1296" s="1897"/>
      <c r="I1296" s="1897"/>
      <c r="J1296" s="1897"/>
      <c r="K1296" s="774" t="s">
        <v>1890</v>
      </c>
      <c r="L1296" s="915" t="s">
        <v>40</v>
      </c>
      <c r="M1296" s="915">
        <v>7</v>
      </c>
      <c r="N1296" s="915">
        <v>20</v>
      </c>
      <c r="O1296" s="915">
        <v>22</v>
      </c>
      <c r="P1296" s="915">
        <v>22</v>
      </c>
      <c r="Q1296" s="915">
        <v>22</v>
      </c>
    </row>
    <row r="1297" spans="2:17" ht="30" x14ac:dyDescent="0.25">
      <c r="B1297" s="2011"/>
      <c r="C1297" s="2033"/>
      <c r="D1297" s="2033"/>
      <c r="E1297" s="2034"/>
      <c r="F1297" s="1897"/>
      <c r="G1297" s="1897"/>
      <c r="H1297" s="1897"/>
      <c r="I1297" s="1897"/>
      <c r="J1297" s="1897"/>
      <c r="K1297" s="774" t="s">
        <v>1891</v>
      </c>
      <c r="L1297" s="915" t="s">
        <v>1892</v>
      </c>
      <c r="M1297" s="915">
        <v>7.38</v>
      </c>
      <c r="N1297" s="915">
        <v>7.6</v>
      </c>
      <c r="O1297" s="915">
        <v>8</v>
      </c>
      <c r="P1297" s="915">
        <v>10</v>
      </c>
      <c r="Q1297" s="915">
        <v>10</v>
      </c>
    </row>
    <row r="1298" spans="2:17" ht="30" x14ac:dyDescent="0.25">
      <c r="B1298" s="2011"/>
      <c r="C1298" s="2033"/>
      <c r="D1298" s="2033"/>
      <c r="E1298" s="2034"/>
      <c r="F1298" s="1897"/>
      <c r="G1298" s="1897"/>
      <c r="H1298" s="1897"/>
      <c r="I1298" s="1897"/>
      <c r="J1298" s="1897"/>
      <c r="K1298" s="774" t="s">
        <v>1893</v>
      </c>
      <c r="L1298" s="915" t="s">
        <v>1517</v>
      </c>
      <c r="M1298" s="915">
        <v>1476121.6000000001</v>
      </c>
      <c r="N1298" s="915">
        <v>1516121.6</v>
      </c>
      <c r="O1298" s="915">
        <v>1616121.6</v>
      </c>
      <c r="P1298" s="915"/>
      <c r="Q1298" s="915"/>
    </row>
    <row r="1299" spans="2:17" ht="30" x14ac:dyDescent="0.25">
      <c r="B1299" s="2011"/>
      <c r="C1299" s="2033"/>
      <c r="D1299" s="2033"/>
      <c r="E1299" s="2034"/>
      <c r="F1299" s="1897"/>
      <c r="G1299" s="1897"/>
      <c r="H1299" s="1897"/>
      <c r="I1299" s="1897"/>
      <c r="J1299" s="1897"/>
      <c r="K1299" s="774" t="s">
        <v>1894</v>
      </c>
      <c r="L1299" s="915" t="s">
        <v>40</v>
      </c>
      <c r="M1299" s="915">
        <v>0</v>
      </c>
      <c r="N1299" s="915">
        <v>1</v>
      </c>
      <c r="O1299" s="915">
        <v>5</v>
      </c>
      <c r="P1299" s="915">
        <v>6</v>
      </c>
      <c r="Q1299" s="915">
        <v>6</v>
      </c>
    </row>
    <row r="1300" spans="2:17" ht="30" x14ac:dyDescent="0.25">
      <c r="B1300" s="2011"/>
      <c r="C1300" s="2033"/>
      <c r="D1300" s="2033"/>
      <c r="E1300" s="2034"/>
      <c r="F1300" s="1897"/>
      <c r="G1300" s="1897"/>
      <c r="H1300" s="1897"/>
      <c r="I1300" s="1897"/>
      <c r="J1300" s="1897"/>
      <c r="K1300" s="774" t="s">
        <v>1895</v>
      </c>
      <c r="L1300" s="915" t="s">
        <v>40</v>
      </c>
      <c r="M1300" s="915">
        <v>0</v>
      </c>
      <c r="N1300" s="915">
        <v>1</v>
      </c>
      <c r="O1300" s="915">
        <v>2</v>
      </c>
      <c r="P1300" s="915">
        <v>3</v>
      </c>
      <c r="Q1300" s="915">
        <v>3</v>
      </c>
    </row>
    <row r="1301" spans="2:17" ht="45" x14ac:dyDescent="0.25">
      <c r="B1301" s="2011"/>
      <c r="C1301" s="2033"/>
      <c r="D1301" s="2033"/>
      <c r="E1301" s="2034"/>
      <c r="F1301" s="1897"/>
      <c r="G1301" s="1897"/>
      <c r="H1301" s="1897"/>
      <c r="I1301" s="1897"/>
      <c r="J1301" s="1897"/>
      <c r="K1301" s="774" t="s">
        <v>1896</v>
      </c>
      <c r="L1301" s="915" t="s">
        <v>279</v>
      </c>
      <c r="M1301" s="915"/>
      <c r="N1301" s="915"/>
      <c r="O1301" s="915"/>
      <c r="P1301" s="915"/>
      <c r="Q1301" s="915"/>
    </row>
    <row r="1302" spans="2:17" ht="30" x14ac:dyDescent="0.25">
      <c r="B1302" s="2011"/>
      <c r="C1302" s="2033" t="s">
        <v>7</v>
      </c>
      <c r="D1302" s="2033"/>
      <c r="E1302" s="2034" t="s">
        <v>1897</v>
      </c>
      <c r="F1302" s="1897">
        <v>93703.3</v>
      </c>
      <c r="G1302" s="1897">
        <v>39139</v>
      </c>
      <c r="H1302" s="1897">
        <v>40263</v>
      </c>
      <c r="I1302" s="1897">
        <v>39139</v>
      </c>
      <c r="J1302" s="1897">
        <v>39139</v>
      </c>
      <c r="K1302" s="774" t="s">
        <v>1898</v>
      </c>
      <c r="L1302" s="915" t="s">
        <v>40</v>
      </c>
      <c r="M1302" s="915"/>
      <c r="N1302" s="915"/>
      <c r="O1302" s="915"/>
      <c r="P1302" s="915"/>
      <c r="Q1302" s="915"/>
    </row>
    <row r="1303" spans="2:17" ht="30" x14ac:dyDescent="0.25">
      <c r="B1303" s="2011"/>
      <c r="C1303" s="2033"/>
      <c r="D1303" s="2033"/>
      <c r="E1303" s="2034"/>
      <c r="F1303" s="1897"/>
      <c r="G1303" s="1897"/>
      <c r="H1303" s="1897"/>
      <c r="I1303" s="1897"/>
      <c r="J1303" s="1897"/>
      <c r="K1303" s="774" t="s">
        <v>1899</v>
      </c>
      <c r="L1303" s="915" t="s">
        <v>40</v>
      </c>
      <c r="M1303" s="915"/>
      <c r="N1303" s="915"/>
      <c r="O1303" s="915"/>
      <c r="P1303" s="915"/>
      <c r="Q1303" s="915"/>
    </row>
    <row r="1304" spans="2:17" x14ac:dyDescent="0.25">
      <c r="B1304" s="2011"/>
      <c r="C1304" s="2033"/>
      <c r="D1304" s="2033"/>
      <c r="E1304" s="2034"/>
      <c r="F1304" s="1897"/>
      <c r="G1304" s="1897"/>
      <c r="H1304" s="1897"/>
      <c r="I1304" s="1897"/>
      <c r="J1304" s="1897"/>
      <c r="K1304" s="774" t="s">
        <v>1900</v>
      </c>
      <c r="L1304" s="915" t="s">
        <v>40</v>
      </c>
      <c r="M1304" s="915"/>
      <c r="N1304" s="915"/>
      <c r="O1304" s="915"/>
      <c r="P1304" s="915"/>
      <c r="Q1304" s="915"/>
    </row>
    <row r="1305" spans="2:17" ht="45" x14ac:dyDescent="0.25">
      <c r="B1305" s="2011"/>
      <c r="C1305" s="2033"/>
      <c r="D1305" s="2033"/>
      <c r="E1305" s="2034"/>
      <c r="F1305" s="1897"/>
      <c r="G1305" s="1897"/>
      <c r="H1305" s="1897"/>
      <c r="I1305" s="1897"/>
      <c r="J1305" s="1897"/>
      <c r="K1305" s="774" t="s">
        <v>1901</v>
      </c>
      <c r="L1305" s="915" t="s">
        <v>35</v>
      </c>
      <c r="M1305" s="915"/>
      <c r="N1305" s="915"/>
      <c r="O1305" s="915"/>
      <c r="P1305" s="915"/>
      <c r="Q1305" s="915"/>
    </row>
    <row r="1306" spans="2:17" ht="75" x14ac:dyDescent="0.25">
      <c r="B1306" s="2011"/>
      <c r="C1306" s="2033"/>
      <c r="D1306" s="2033"/>
      <c r="E1306" s="2034"/>
      <c r="F1306" s="1897"/>
      <c r="G1306" s="1897"/>
      <c r="H1306" s="1897"/>
      <c r="I1306" s="1897"/>
      <c r="J1306" s="1897"/>
      <c r="K1306" s="774" t="s">
        <v>1902</v>
      </c>
      <c r="L1306" s="915" t="s">
        <v>40</v>
      </c>
      <c r="M1306" s="915">
        <v>20</v>
      </c>
      <c r="N1306" s="915">
        <v>10</v>
      </c>
      <c r="O1306" s="915">
        <v>5</v>
      </c>
      <c r="P1306" s="915"/>
      <c r="Q1306" s="915"/>
    </row>
    <row r="1307" spans="2:17" ht="30" x14ac:dyDescent="0.25">
      <c r="B1307" s="686"/>
      <c r="C1307" s="773" t="s">
        <v>9</v>
      </c>
      <c r="D1307" s="773"/>
      <c r="E1307" s="774" t="s">
        <v>1903</v>
      </c>
      <c r="F1307" s="761"/>
      <c r="G1307" s="761">
        <v>10000</v>
      </c>
      <c r="H1307" s="761">
        <f>3840+8673.3</f>
        <v>12513.3</v>
      </c>
      <c r="I1307" s="761">
        <v>3237</v>
      </c>
      <c r="J1307" s="761">
        <v>4000</v>
      </c>
      <c r="K1307" s="774" t="s">
        <v>1904</v>
      </c>
      <c r="L1307" s="915" t="s">
        <v>40</v>
      </c>
      <c r="M1307" s="915">
        <v>53</v>
      </c>
      <c r="N1307" s="915"/>
      <c r="O1307" s="915"/>
      <c r="P1307" s="915"/>
      <c r="Q1307" s="915"/>
    </row>
    <row r="1308" spans="2:17" ht="30" x14ac:dyDescent="0.25">
      <c r="B1308" s="2011"/>
      <c r="C1308" s="2033" t="s">
        <v>11</v>
      </c>
      <c r="D1308" s="2033"/>
      <c r="E1308" s="2034" t="s">
        <v>1905</v>
      </c>
      <c r="F1308" s="1897">
        <v>4821.7</v>
      </c>
      <c r="G1308" s="1897">
        <v>26681.600000000002</v>
      </c>
      <c r="H1308" s="1897">
        <v>1816.6</v>
      </c>
      <c r="I1308" s="1897">
        <v>26681.600000000002</v>
      </c>
      <c r="J1308" s="1897">
        <v>26681.599999999999</v>
      </c>
      <c r="K1308" s="774" t="s">
        <v>1906</v>
      </c>
      <c r="L1308" s="915" t="s">
        <v>40</v>
      </c>
      <c r="M1308" s="915">
        <v>14</v>
      </c>
      <c r="N1308" s="915">
        <v>14</v>
      </c>
      <c r="O1308" s="915">
        <v>15</v>
      </c>
      <c r="P1308" s="915">
        <v>15</v>
      </c>
      <c r="Q1308" s="915">
        <v>15</v>
      </c>
    </row>
    <row r="1309" spans="2:17" ht="45" x14ac:dyDescent="0.25">
      <c r="B1309" s="2011"/>
      <c r="C1309" s="2033"/>
      <c r="D1309" s="2033"/>
      <c r="E1309" s="2034"/>
      <c r="F1309" s="1897"/>
      <c r="G1309" s="1897"/>
      <c r="H1309" s="1897"/>
      <c r="I1309" s="1897"/>
      <c r="J1309" s="1897"/>
      <c r="K1309" s="774" t="s">
        <v>1907</v>
      </c>
      <c r="L1309" s="915" t="s">
        <v>40</v>
      </c>
      <c r="M1309" s="915">
        <v>12</v>
      </c>
      <c r="N1309" s="915">
        <v>12</v>
      </c>
      <c r="O1309" s="915">
        <v>14</v>
      </c>
      <c r="P1309" s="915">
        <v>15</v>
      </c>
      <c r="Q1309" s="915">
        <v>15</v>
      </c>
    </row>
    <row r="1310" spans="2:17" x14ac:dyDescent="0.25">
      <c r="B1310" s="2011"/>
      <c r="C1310" s="2033"/>
      <c r="D1310" s="2033"/>
      <c r="E1310" s="2034"/>
      <c r="F1310" s="1897"/>
      <c r="G1310" s="1897"/>
      <c r="H1310" s="1897"/>
      <c r="I1310" s="1897"/>
      <c r="J1310" s="1897"/>
      <c r="K1310" s="774" t="s">
        <v>1908</v>
      </c>
      <c r="L1310" s="915" t="s">
        <v>116</v>
      </c>
      <c r="M1310" s="915">
        <v>0</v>
      </c>
      <c r="N1310" s="915">
        <v>0</v>
      </c>
      <c r="O1310" s="915">
        <v>2</v>
      </c>
      <c r="P1310" s="915">
        <v>5</v>
      </c>
      <c r="Q1310" s="915">
        <v>5</v>
      </c>
    </row>
    <row r="1311" spans="2:17" ht="45" x14ac:dyDescent="0.25">
      <c r="B1311" s="2011"/>
      <c r="C1311" s="2033"/>
      <c r="D1311" s="2033"/>
      <c r="E1311" s="2034"/>
      <c r="F1311" s="1897"/>
      <c r="G1311" s="1897"/>
      <c r="H1311" s="1897"/>
      <c r="I1311" s="1897"/>
      <c r="J1311" s="1897"/>
      <c r="K1311" s="774" t="s">
        <v>1909</v>
      </c>
      <c r="L1311" s="915" t="s">
        <v>40</v>
      </c>
      <c r="M1311" s="915">
        <v>26</v>
      </c>
      <c r="N1311" s="915">
        <v>26</v>
      </c>
      <c r="O1311" s="915">
        <v>29</v>
      </c>
      <c r="P1311" s="915">
        <v>30</v>
      </c>
      <c r="Q1311" s="915">
        <v>30</v>
      </c>
    </row>
    <row r="1312" spans="2:17" x14ac:dyDescent="0.25">
      <c r="B1312" s="2011"/>
      <c r="C1312" s="2033" t="s">
        <v>127</v>
      </c>
      <c r="D1312" s="2033"/>
      <c r="E1312" s="2034" t="s">
        <v>1910</v>
      </c>
      <c r="F1312" s="1897">
        <v>4551.3999999999996</v>
      </c>
      <c r="G1312" s="1897">
        <v>20981.7</v>
      </c>
      <c r="H1312" s="1897">
        <f>5946.9+5000</f>
        <v>10946.9</v>
      </c>
      <c r="I1312" s="1897">
        <v>20981.7</v>
      </c>
      <c r="J1312" s="1897">
        <v>20981.7</v>
      </c>
      <c r="K1312" s="774" t="s">
        <v>1911</v>
      </c>
      <c r="L1312" s="915" t="s">
        <v>40</v>
      </c>
      <c r="M1312" s="915">
        <v>1200</v>
      </c>
      <c r="N1312" s="915">
        <v>1200</v>
      </c>
      <c r="O1312" s="915">
        <v>1100</v>
      </c>
      <c r="P1312" s="915">
        <v>1000</v>
      </c>
      <c r="Q1312" s="915">
        <v>1000</v>
      </c>
    </row>
    <row r="1313" spans="2:17" ht="30" x14ac:dyDescent="0.25">
      <c r="B1313" s="2011"/>
      <c r="C1313" s="2033"/>
      <c r="D1313" s="2033"/>
      <c r="E1313" s="2034"/>
      <c r="F1313" s="1897"/>
      <c r="G1313" s="1897"/>
      <c r="H1313" s="1897"/>
      <c r="I1313" s="1897"/>
      <c r="J1313" s="1897"/>
      <c r="K1313" s="774" t="s">
        <v>1912</v>
      </c>
      <c r="L1313" s="915" t="s">
        <v>40</v>
      </c>
      <c r="M1313" s="915">
        <v>85</v>
      </c>
      <c r="N1313" s="915">
        <v>85</v>
      </c>
      <c r="O1313" s="915">
        <v>85</v>
      </c>
      <c r="P1313" s="915">
        <v>85</v>
      </c>
      <c r="Q1313" s="915">
        <v>85</v>
      </c>
    </row>
    <row r="1314" spans="2:17" ht="30" x14ac:dyDescent="0.25">
      <c r="B1314" s="2011"/>
      <c r="C1314" s="2033"/>
      <c r="D1314" s="2033"/>
      <c r="E1314" s="2034"/>
      <c r="F1314" s="1897"/>
      <c r="G1314" s="1897"/>
      <c r="H1314" s="1897"/>
      <c r="I1314" s="1897"/>
      <c r="J1314" s="1897"/>
      <c r="K1314" s="774" t="s">
        <v>1913</v>
      </c>
      <c r="L1314" s="915" t="s">
        <v>40</v>
      </c>
      <c r="M1314" s="915">
        <v>273</v>
      </c>
      <c r="N1314" s="915">
        <v>273</v>
      </c>
      <c r="O1314" s="915">
        <v>277</v>
      </c>
      <c r="P1314" s="915">
        <v>279</v>
      </c>
      <c r="Q1314" s="915">
        <v>279</v>
      </c>
    </row>
    <row r="1315" spans="2:17" ht="45" x14ac:dyDescent="0.25">
      <c r="B1315" s="2011"/>
      <c r="C1315" s="2033"/>
      <c r="D1315" s="2033"/>
      <c r="E1315" s="2034"/>
      <c r="F1315" s="1897"/>
      <c r="G1315" s="1897"/>
      <c r="H1315" s="1897"/>
      <c r="I1315" s="1897"/>
      <c r="J1315" s="1897"/>
      <c r="K1315" s="774" t="s">
        <v>1914</v>
      </c>
      <c r="L1315" s="915" t="s">
        <v>40</v>
      </c>
      <c r="M1315" s="915">
        <v>0</v>
      </c>
      <c r="N1315" s="915">
        <v>2</v>
      </c>
      <c r="O1315" s="915">
        <v>4</v>
      </c>
      <c r="P1315" s="915">
        <v>6</v>
      </c>
      <c r="Q1315" s="915">
        <v>6</v>
      </c>
    </row>
    <row r="1316" spans="2:17" ht="45" x14ac:dyDescent="0.25">
      <c r="B1316" s="2011"/>
      <c r="C1316" s="2033" t="s">
        <v>129</v>
      </c>
      <c r="D1316" s="2033"/>
      <c r="E1316" s="2034" t="s">
        <v>1915</v>
      </c>
      <c r="F1316" s="1897">
        <v>4051.4</v>
      </c>
      <c r="G1316" s="1897">
        <v>20981.7</v>
      </c>
      <c r="H1316" s="1897">
        <v>22419.5</v>
      </c>
      <c r="I1316" s="1897">
        <v>20981.7</v>
      </c>
      <c r="J1316" s="1897">
        <v>20981.7</v>
      </c>
      <c r="K1316" s="774" t="s">
        <v>1916</v>
      </c>
      <c r="L1316" s="915" t="s">
        <v>40</v>
      </c>
      <c r="M1316" s="915" t="s">
        <v>1917</v>
      </c>
      <c r="N1316" s="915" t="s">
        <v>1918</v>
      </c>
      <c r="O1316" s="915" t="s">
        <v>1919</v>
      </c>
      <c r="P1316" s="915" t="s">
        <v>1919</v>
      </c>
      <c r="Q1316" s="915" t="s">
        <v>1920</v>
      </c>
    </row>
    <row r="1317" spans="2:17" ht="45" x14ac:dyDescent="0.25">
      <c r="B1317" s="2011"/>
      <c r="C1317" s="2033"/>
      <c r="D1317" s="2033"/>
      <c r="E1317" s="2034"/>
      <c r="F1317" s="1897"/>
      <c r="G1317" s="1897"/>
      <c r="H1317" s="1897"/>
      <c r="I1317" s="1897"/>
      <c r="J1317" s="1897"/>
      <c r="K1317" s="774" t="s">
        <v>1921</v>
      </c>
      <c r="L1317" s="915" t="s">
        <v>40</v>
      </c>
      <c r="M1317" s="915">
        <v>425</v>
      </c>
      <c r="N1317" s="915">
        <v>420</v>
      </c>
      <c r="O1317" s="915">
        <v>415</v>
      </c>
      <c r="P1317" s="915">
        <v>410</v>
      </c>
      <c r="Q1317" s="915">
        <v>410</v>
      </c>
    </row>
    <row r="1318" spans="2:17" ht="45" x14ac:dyDescent="0.25">
      <c r="B1318" s="2011"/>
      <c r="C1318" s="2033"/>
      <c r="D1318" s="2033"/>
      <c r="E1318" s="2034"/>
      <c r="F1318" s="1897"/>
      <c r="G1318" s="1897"/>
      <c r="H1318" s="1897"/>
      <c r="I1318" s="1897"/>
      <c r="J1318" s="1897"/>
      <c r="K1318" s="774" t="s">
        <v>1922</v>
      </c>
      <c r="L1318" s="915" t="s">
        <v>35</v>
      </c>
      <c r="M1318" s="915">
        <v>90</v>
      </c>
      <c r="N1318" s="915">
        <v>90</v>
      </c>
      <c r="O1318" s="915">
        <v>90</v>
      </c>
      <c r="P1318" s="915">
        <v>90</v>
      </c>
      <c r="Q1318" s="915">
        <v>90</v>
      </c>
    </row>
    <row r="1319" spans="2:17" ht="45" x14ac:dyDescent="0.25">
      <c r="B1319" s="2011"/>
      <c r="C1319" s="2033"/>
      <c r="D1319" s="2033"/>
      <c r="E1319" s="2034"/>
      <c r="F1319" s="1897"/>
      <c r="G1319" s="1897"/>
      <c r="H1319" s="1897"/>
      <c r="I1319" s="1897"/>
      <c r="J1319" s="1897"/>
      <c r="K1319" s="774" t="s">
        <v>1923</v>
      </c>
      <c r="L1319" s="915" t="s">
        <v>1366</v>
      </c>
      <c r="M1319" s="915">
        <v>8823</v>
      </c>
      <c r="N1319" s="915">
        <v>9264.2000000000007</v>
      </c>
      <c r="O1319" s="915">
        <v>9727.4</v>
      </c>
      <c r="P1319" s="915">
        <v>10190.6</v>
      </c>
      <c r="Q1319" s="915">
        <v>10190.6</v>
      </c>
    </row>
    <row r="1320" spans="2:17" ht="45" x14ac:dyDescent="0.25">
      <c r="B1320" s="2011"/>
      <c r="C1320" s="2033"/>
      <c r="D1320" s="2033"/>
      <c r="E1320" s="2034"/>
      <c r="F1320" s="1897"/>
      <c r="G1320" s="1897"/>
      <c r="H1320" s="1897"/>
      <c r="I1320" s="1897"/>
      <c r="J1320" s="1897"/>
      <c r="K1320" s="774" t="s">
        <v>1924</v>
      </c>
      <c r="L1320" s="915" t="s">
        <v>279</v>
      </c>
      <c r="M1320" s="915">
        <v>7</v>
      </c>
      <c r="N1320" s="915">
        <v>9</v>
      </c>
      <c r="O1320" s="915">
        <v>9</v>
      </c>
      <c r="P1320" s="915">
        <v>9</v>
      </c>
      <c r="Q1320" s="915">
        <v>9</v>
      </c>
    </row>
    <row r="1321" spans="2:17" ht="45" x14ac:dyDescent="0.25">
      <c r="B1321" s="2011"/>
      <c r="C1321" s="2033"/>
      <c r="D1321" s="2033"/>
      <c r="E1321" s="2034"/>
      <c r="F1321" s="1897"/>
      <c r="G1321" s="1897"/>
      <c r="H1321" s="1897"/>
      <c r="I1321" s="1897"/>
      <c r="J1321" s="1897"/>
      <c r="K1321" s="774" t="s">
        <v>1925</v>
      </c>
      <c r="L1321" s="915" t="s">
        <v>1926</v>
      </c>
      <c r="M1321" s="915">
        <v>50</v>
      </c>
      <c r="N1321" s="915">
        <v>62</v>
      </c>
      <c r="O1321" s="915">
        <v>70</v>
      </c>
      <c r="P1321" s="915">
        <v>75</v>
      </c>
      <c r="Q1321" s="915">
        <v>75</v>
      </c>
    </row>
    <row r="1322" spans="2:17" ht="30" x14ac:dyDescent="0.25">
      <c r="B1322" s="2011"/>
      <c r="C1322" s="2033"/>
      <c r="D1322" s="2033"/>
      <c r="E1322" s="2034"/>
      <c r="F1322" s="1897"/>
      <c r="G1322" s="1897"/>
      <c r="H1322" s="1897"/>
      <c r="I1322" s="1897"/>
      <c r="J1322" s="1897"/>
      <c r="K1322" s="774" t="s">
        <v>1927</v>
      </c>
      <c r="L1322" s="915" t="s">
        <v>279</v>
      </c>
      <c r="M1322" s="915">
        <v>18000</v>
      </c>
      <c r="N1322" s="915">
        <v>19000</v>
      </c>
      <c r="O1322" s="915">
        <v>20000</v>
      </c>
      <c r="P1322" s="915">
        <v>21000</v>
      </c>
      <c r="Q1322" s="915">
        <v>21000</v>
      </c>
    </row>
    <row r="1323" spans="2:17" ht="30" x14ac:dyDescent="0.25">
      <c r="B1323" s="686"/>
      <c r="C1323" s="773" t="s">
        <v>131</v>
      </c>
      <c r="D1323" s="773"/>
      <c r="E1323" s="774" t="s">
        <v>1807</v>
      </c>
      <c r="F1323" s="761"/>
      <c r="G1323" s="761">
        <v>15000</v>
      </c>
      <c r="H1323" s="761"/>
      <c r="I1323" s="761">
        <v>10000</v>
      </c>
      <c r="J1323" s="761">
        <f>9317.8-16.2</f>
        <v>9301.5999999999985</v>
      </c>
      <c r="K1323" s="774" t="s">
        <v>1841</v>
      </c>
      <c r="L1323" s="915" t="s">
        <v>279</v>
      </c>
      <c r="M1323" s="915"/>
      <c r="N1323" s="915" t="s">
        <v>211</v>
      </c>
      <c r="O1323" s="915" t="s">
        <v>211</v>
      </c>
      <c r="P1323" s="915" t="s">
        <v>211</v>
      </c>
      <c r="Q1323" s="915" t="s">
        <v>211</v>
      </c>
    </row>
    <row r="1324" spans="2:17" x14ac:dyDescent="0.25">
      <c r="B1324" s="1153">
        <v>992</v>
      </c>
      <c r="C1324" s="658"/>
      <c r="D1324" s="658"/>
      <c r="E1324" s="684" t="s">
        <v>260</v>
      </c>
      <c r="F1324" s="1154">
        <v>0</v>
      </c>
      <c r="G1324" s="1154">
        <f>G1325</f>
        <v>139600</v>
      </c>
      <c r="H1324" s="1154">
        <f t="shared" ref="H1324:J1324" si="134">H1325</f>
        <v>282000</v>
      </c>
      <c r="I1324" s="1154">
        <f t="shared" si="134"/>
        <v>499100</v>
      </c>
      <c r="J1324" s="1154">
        <f t="shared" si="134"/>
        <v>132725.29999999999</v>
      </c>
      <c r="K1324" s="659"/>
      <c r="L1324" s="660"/>
      <c r="M1324" s="660"/>
      <c r="N1324" s="660"/>
      <c r="O1324" s="660"/>
      <c r="P1324" s="660"/>
      <c r="Q1324" s="660"/>
    </row>
    <row r="1325" spans="2:17" ht="30" x14ac:dyDescent="0.25">
      <c r="B1325" s="1155"/>
      <c r="C1325" s="658" t="s">
        <v>5</v>
      </c>
      <c r="D1325" s="658"/>
      <c r="E1325" s="666" t="s">
        <v>261</v>
      </c>
      <c r="F1325" s="1156"/>
      <c r="G1325" s="1156">
        <v>139600</v>
      </c>
      <c r="H1325" s="1156">
        <v>282000</v>
      </c>
      <c r="I1325" s="1156">
        <v>499100</v>
      </c>
      <c r="J1325" s="1156">
        <v>132725.29999999999</v>
      </c>
      <c r="K1325" s="659"/>
      <c r="L1325" s="660"/>
      <c r="M1325" s="660"/>
      <c r="N1325" s="660"/>
      <c r="O1325" s="660"/>
      <c r="P1325" s="660"/>
      <c r="Q1325" s="660"/>
    </row>
    <row r="1326" spans="2:17" x14ac:dyDescent="0.25">
      <c r="B1326" s="1874" t="s">
        <v>85</v>
      </c>
      <c r="C1326" s="1874"/>
      <c r="D1326" s="1874"/>
      <c r="E1326" s="1874"/>
      <c r="F1326" s="1008">
        <f>F1232+F1240+F1263+F1276+F1292+F1324</f>
        <v>761644.60000000009</v>
      </c>
      <c r="G1326" s="1008">
        <f t="shared" ref="G1326:J1326" si="135">G1232+G1240+G1263+G1276+G1292+G1324</f>
        <v>923500.20000000007</v>
      </c>
      <c r="H1326" s="1008">
        <f t="shared" si="135"/>
        <v>1022900.2</v>
      </c>
      <c r="I1326" s="1008">
        <f t="shared" si="135"/>
        <v>1240596.6000000001</v>
      </c>
      <c r="J1326" s="1008">
        <f t="shared" si="135"/>
        <v>875556.2</v>
      </c>
      <c r="K1326" s="1157"/>
      <c r="L1326" s="1157"/>
      <c r="M1326" s="1157"/>
      <c r="N1326" s="1157"/>
      <c r="O1326" s="1157"/>
      <c r="P1326" s="1157"/>
      <c r="Q1326" s="1157"/>
    </row>
    <row r="1327" spans="2:17" x14ac:dyDescent="0.25">
      <c r="B1327" s="1710" t="s">
        <v>1928</v>
      </c>
      <c r="C1327" s="1710"/>
      <c r="D1327" s="1710"/>
      <c r="E1327" s="1710"/>
      <c r="F1327" s="1710"/>
      <c r="G1327" s="1710"/>
      <c r="H1327" s="1710"/>
      <c r="I1327" s="1710"/>
      <c r="J1327" s="1710"/>
      <c r="K1327" s="1710"/>
      <c r="L1327" s="1710"/>
      <c r="M1327" s="1710"/>
      <c r="N1327" s="1710"/>
      <c r="O1327" s="1710"/>
      <c r="P1327" s="1710"/>
      <c r="Q1327" s="1710"/>
    </row>
    <row r="1328" spans="2:17" ht="45" customHeight="1" x14ac:dyDescent="0.25">
      <c r="B1328" s="768">
        <v>1</v>
      </c>
      <c r="C1328" s="1158"/>
      <c r="D1328" s="864"/>
      <c r="E1328" s="1046" t="s">
        <v>910</v>
      </c>
      <c r="F1328" s="1159">
        <f>F1329+F1330+F1331+F1332+F1333+F1334+F1335</f>
        <v>251311.1</v>
      </c>
      <c r="G1328" s="1159">
        <f>G1329+G1330+G1331+G1332+G1333+G1334+G1335</f>
        <v>332529.59999999998</v>
      </c>
      <c r="H1328" s="1159">
        <f t="shared" ref="H1328:J1328" si="136">H1329+H1330+H1331+H1332+H1333+H1334+H1335</f>
        <v>277719.59999999998</v>
      </c>
      <c r="I1328" s="1159">
        <f t="shared" si="136"/>
        <v>285822.37477067014</v>
      </c>
      <c r="J1328" s="1159">
        <f t="shared" si="136"/>
        <v>273654.23786777543</v>
      </c>
      <c r="K1328" s="807" t="s">
        <v>34</v>
      </c>
      <c r="L1328" s="809" t="s">
        <v>35</v>
      </c>
      <c r="M1328" s="809"/>
      <c r="N1328" s="809"/>
      <c r="O1328" s="809"/>
      <c r="P1328" s="809"/>
      <c r="Q1328" s="809"/>
    </row>
    <row r="1329" spans="2:17" ht="15.75" x14ac:dyDescent="0.25">
      <c r="B1329" s="1019"/>
      <c r="C1329" s="676">
        <v>1</v>
      </c>
      <c r="D1329" s="665"/>
      <c r="E1329" s="424" t="s">
        <v>6</v>
      </c>
      <c r="F1329" s="1160">
        <v>18277.099999999999</v>
      </c>
      <c r="G1329" s="1161">
        <v>16188.2</v>
      </c>
      <c r="H1329" s="1161">
        <f>7268.6+6527.8</f>
        <v>13796.400000000001</v>
      </c>
      <c r="I1329" s="1162">
        <v>14210.262488425269</v>
      </c>
      <c r="J1329" s="1162">
        <v>14304.753655949082</v>
      </c>
      <c r="K1329" s="765" t="s">
        <v>36</v>
      </c>
      <c r="L1329" s="660" t="s">
        <v>37</v>
      </c>
      <c r="M1329" s="660">
        <v>31.2</v>
      </c>
      <c r="N1329" s="421">
        <v>32.435084231667773</v>
      </c>
      <c r="O1329" s="660">
        <v>32</v>
      </c>
      <c r="P1329" s="660">
        <v>32.5</v>
      </c>
      <c r="Q1329" s="660">
        <v>33</v>
      </c>
    </row>
    <row r="1330" spans="2:17" ht="15.75" x14ac:dyDescent="0.25">
      <c r="B1330" s="1019"/>
      <c r="C1330" s="676">
        <v>2</v>
      </c>
      <c r="D1330" s="665"/>
      <c r="E1330" s="666" t="s">
        <v>8</v>
      </c>
      <c r="F1330" s="1160">
        <v>22846.5</v>
      </c>
      <c r="G1330" s="1161">
        <v>8048.1</v>
      </c>
      <c r="H1330" s="1161">
        <f>4400.6+4861.5</f>
        <v>9262.1</v>
      </c>
      <c r="I1330" s="1162">
        <v>9539.9295451707421</v>
      </c>
      <c r="J1330" s="1162">
        <v>9597.1370647435051</v>
      </c>
      <c r="K1330" s="765" t="s">
        <v>1929</v>
      </c>
      <c r="L1330" s="660" t="s">
        <v>35</v>
      </c>
      <c r="M1330" s="704">
        <v>71.400000000000006</v>
      </c>
      <c r="N1330" s="704">
        <v>85</v>
      </c>
      <c r="O1330" s="660">
        <v>90</v>
      </c>
      <c r="P1330" s="660">
        <v>90</v>
      </c>
      <c r="Q1330" s="660">
        <v>90</v>
      </c>
    </row>
    <row r="1331" spans="2:17" ht="30" x14ac:dyDescent="0.25">
      <c r="B1331" s="1019"/>
      <c r="C1331" s="676">
        <v>3</v>
      </c>
      <c r="D1331" s="665"/>
      <c r="E1331" s="666" t="s">
        <v>10</v>
      </c>
      <c r="F1331" s="1160">
        <v>13707.9</v>
      </c>
      <c r="G1331" s="1161">
        <v>5932</v>
      </c>
      <c r="H1331" s="1161">
        <f>3182.2+3737.2</f>
        <v>6919.4</v>
      </c>
      <c r="I1331" s="1162">
        <v>7126.9564489523518</v>
      </c>
      <c r="J1331" s="1162">
        <v>7168.3252700997646</v>
      </c>
      <c r="K1331" s="765" t="s">
        <v>519</v>
      </c>
      <c r="L1331" s="660" t="s">
        <v>35</v>
      </c>
      <c r="M1331" s="660">
        <v>45.5</v>
      </c>
      <c r="N1331" s="660" t="s">
        <v>190</v>
      </c>
      <c r="O1331" s="660" t="s">
        <v>190</v>
      </c>
      <c r="P1331" s="660" t="s">
        <v>190</v>
      </c>
      <c r="Q1331" s="660" t="s">
        <v>190</v>
      </c>
    </row>
    <row r="1332" spans="2:17" ht="30" x14ac:dyDescent="0.25">
      <c r="B1332" s="1019"/>
      <c r="C1332" s="676">
        <v>4</v>
      </c>
      <c r="D1332" s="665"/>
      <c r="E1332" s="666" t="s">
        <v>12</v>
      </c>
      <c r="F1332" s="1160">
        <v>18277.099999999999</v>
      </c>
      <c r="G1332" s="1161">
        <v>6062.2</v>
      </c>
      <c r="H1332" s="1161">
        <f>3577.2+3706.2</f>
        <v>7283.4</v>
      </c>
      <c r="I1332" s="1162">
        <v>7502.0088747559048</v>
      </c>
      <c r="J1332" s="1162">
        <v>7548.5143672969543</v>
      </c>
      <c r="K1332" s="765" t="s">
        <v>191</v>
      </c>
      <c r="L1332" s="660" t="s">
        <v>192</v>
      </c>
      <c r="M1332" s="660" t="s">
        <v>1930</v>
      </c>
      <c r="N1332" s="660" t="s">
        <v>190</v>
      </c>
      <c r="O1332" s="660" t="s">
        <v>190</v>
      </c>
      <c r="P1332" s="660" t="s">
        <v>190</v>
      </c>
      <c r="Q1332" s="660" t="s">
        <v>190</v>
      </c>
    </row>
    <row r="1333" spans="2:17" ht="30" x14ac:dyDescent="0.25">
      <c r="B1333" s="1019"/>
      <c r="C1333" s="676">
        <v>5</v>
      </c>
      <c r="D1333" s="665"/>
      <c r="E1333" s="666" t="s">
        <v>13</v>
      </c>
      <c r="F1333" s="1160">
        <v>13707.9</v>
      </c>
      <c r="G1333" s="1161">
        <v>6049.6</v>
      </c>
      <c r="H1333" s="1161">
        <f>3188+3693.2</f>
        <v>6881.2</v>
      </c>
      <c r="I1333" s="1162">
        <v>7087.7080915525066</v>
      </c>
      <c r="J1333" s="1162">
        <v>7129.1535450822512</v>
      </c>
      <c r="K1333" s="765" t="s">
        <v>1931</v>
      </c>
      <c r="L1333" s="660" t="s">
        <v>40</v>
      </c>
      <c r="M1333" s="660">
        <v>170</v>
      </c>
      <c r="N1333" s="660">
        <v>220</v>
      </c>
      <c r="O1333" s="660">
        <v>180</v>
      </c>
      <c r="P1333" s="660">
        <v>185</v>
      </c>
      <c r="Q1333" s="660">
        <v>190</v>
      </c>
    </row>
    <row r="1334" spans="2:17" ht="45" x14ac:dyDescent="0.25">
      <c r="B1334" s="1019"/>
      <c r="C1334" s="676">
        <v>6</v>
      </c>
      <c r="D1334" s="665"/>
      <c r="E1334" s="693" t="s">
        <v>14</v>
      </c>
      <c r="F1334" s="1160">
        <v>127940.2</v>
      </c>
      <c r="G1334" s="1161">
        <v>279768.5</v>
      </c>
      <c r="H1334" s="1161">
        <f>87148.1+134218.9</f>
        <v>221367</v>
      </c>
      <c r="I1334" s="1162">
        <f>227777.729843636+1.6</f>
        <v>227779.32984363602</v>
      </c>
      <c r="J1334" s="1162">
        <v>215255.67281848486</v>
      </c>
      <c r="K1334" s="659" t="s">
        <v>41</v>
      </c>
      <c r="L1334" s="660" t="s">
        <v>35</v>
      </c>
      <c r="M1334" s="660">
        <v>31.8</v>
      </c>
      <c r="N1334" s="660">
        <v>31.8</v>
      </c>
      <c r="O1334" s="660">
        <v>31.8</v>
      </c>
      <c r="P1334" s="660">
        <v>31.8</v>
      </c>
      <c r="Q1334" s="660">
        <v>31.8</v>
      </c>
    </row>
    <row r="1335" spans="2:17" ht="30" x14ac:dyDescent="0.25">
      <c r="B1335" s="1019"/>
      <c r="C1335" s="676">
        <v>7</v>
      </c>
      <c r="D1335" s="665"/>
      <c r="E1335" s="693" t="s">
        <v>464</v>
      </c>
      <c r="F1335" s="1160">
        <v>36554.400000000001</v>
      </c>
      <c r="G1335" s="1161">
        <v>10481</v>
      </c>
      <c r="H1335" s="1161">
        <f>5731.1+6479</f>
        <v>12210.1</v>
      </c>
      <c r="I1335" s="1162">
        <v>12576.179478177342</v>
      </c>
      <c r="J1335" s="1162">
        <v>12650.681146119034</v>
      </c>
      <c r="K1335" s="659" t="s">
        <v>1932</v>
      </c>
      <c r="L1335" s="660" t="s">
        <v>35</v>
      </c>
      <c r="M1335" s="660">
        <v>90</v>
      </c>
      <c r="N1335" s="660">
        <v>34</v>
      </c>
      <c r="O1335" s="660">
        <v>39.6</v>
      </c>
      <c r="P1335" s="660">
        <v>26.4</v>
      </c>
      <c r="Q1335" s="660">
        <v>0</v>
      </c>
    </row>
    <row r="1336" spans="2:17" ht="28.5" x14ac:dyDescent="0.25">
      <c r="B1336" s="680" t="s">
        <v>467</v>
      </c>
      <c r="C1336" s="680"/>
      <c r="D1336" s="661"/>
      <c r="E1336" s="684" t="s">
        <v>1933</v>
      </c>
      <c r="F1336" s="683">
        <f>F1337+F1338</f>
        <v>267872.39</v>
      </c>
      <c r="G1336" s="683">
        <f>G1337+G1338</f>
        <v>262556.7</v>
      </c>
      <c r="H1336" s="683">
        <f t="shared" ref="H1336:J1336" si="137">H1337+H1338</f>
        <v>273680.30000000005</v>
      </c>
      <c r="I1336" s="683">
        <f t="shared" si="137"/>
        <v>297483.05500000005</v>
      </c>
      <c r="J1336" s="683">
        <f t="shared" si="137"/>
        <v>305159.84665000002</v>
      </c>
      <c r="K1336" s="713" t="s">
        <v>1934</v>
      </c>
      <c r="L1336" s="693"/>
      <c r="M1336" s="693"/>
      <c r="N1336" s="448"/>
      <c r="O1336" s="448"/>
      <c r="P1336" s="448"/>
      <c r="Q1336" s="448"/>
    </row>
    <row r="1337" spans="2:17" ht="15.75" x14ac:dyDescent="0.25">
      <c r="B1337" s="661"/>
      <c r="C1337" s="661" t="s">
        <v>5</v>
      </c>
      <c r="D1337" s="661"/>
      <c r="E1337" s="693" t="s">
        <v>1935</v>
      </c>
      <c r="F1337" s="1160">
        <v>187510.66999999998</v>
      </c>
      <c r="G1337" s="1160">
        <v>183782.7</v>
      </c>
      <c r="H1337" s="1161">
        <f>106905.8+84180.85</f>
        <v>191086.65000000002</v>
      </c>
      <c r="I1337" s="1163">
        <v>208238.13850000003</v>
      </c>
      <c r="J1337" s="1163">
        <v>213611.892655</v>
      </c>
      <c r="K1337" s="714" t="s">
        <v>1936</v>
      </c>
      <c r="L1337" s="693" t="s">
        <v>1937</v>
      </c>
      <c r="M1337" s="786">
        <v>915.4</v>
      </c>
      <c r="N1337" s="786">
        <v>1061.05</v>
      </c>
      <c r="O1337" s="786">
        <v>1220.21</v>
      </c>
      <c r="P1337" s="786">
        <v>1260.53</v>
      </c>
      <c r="Q1337" s="786">
        <v>1323.56</v>
      </c>
    </row>
    <row r="1338" spans="2:17" ht="30" x14ac:dyDescent="0.25">
      <c r="B1338" s="661"/>
      <c r="C1338" s="661" t="s">
        <v>7</v>
      </c>
      <c r="D1338" s="661"/>
      <c r="E1338" s="693" t="s">
        <v>1938</v>
      </c>
      <c r="F1338" s="1160">
        <v>80361.72</v>
      </c>
      <c r="G1338" s="1160">
        <v>78774</v>
      </c>
      <c r="H1338" s="1161">
        <f>52304.5+30289.15</f>
        <v>82593.649999999994</v>
      </c>
      <c r="I1338" s="1163">
        <v>89244.916500000007</v>
      </c>
      <c r="J1338" s="1163">
        <v>91547.953995000003</v>
      </c>
      <c r="K1338" s="714" t="s">
        <v>1939</v>
      </c>
      <c r="L1338" s="693" t="s">
        <v>1937</v>
      </c>
      <c r="M1338" s="786">
        <v>332.64</v>
      </c>
      <c r="N1338" s="786">
        <v>365.9</v>
      </c>
      <c r="O1338" s="786">
        <v>401.66</v>
      </c>
      <c r="P1338" s="786">
        <v>442.74</v>
      </c>
      <c r="Q1338" s="786">
        <v>464.88</v>
      </c>
    </row>
    <row r="1339" spans="2:17" ht="28.5" x14ac:dyDescent="0.25">
      <c r="B1339" s="680" t="s">
        <v>500</v>
      </c>
      <c r="C1339" s="680"/>
      <c r="D1339" s="661"/>
      <c r="E1339" s="684" t="s">
        <v>1940</v>
      </c>
      <c r="F1339" s="683">
        <f>F1340+F1341</f>
        <v>46392.6</v>
      </c>
      <c r="G1339" s="683">
        <f>G1340+G1341</f>
        <v>48132.4</v>
      </c>
      <c r="H1339" s="683">
        <f>H1340+H1341</f>
        <v>154799.9</v>
      </c>
      <c r="I1339" s="683">
        <f t="shared" ref="I1339:J1339" si="138">I1340+I1341</f>
        <v>157917.52000000002</v>
      </c>
      <c r="J1339" s="683">
        <f t="shared" si="138"/>
        <v>161096.49600000001</v>
      </c>
      <c r="K1339" s="713" t="s">
        <v>1934</v>
      </c>
      <c r="L1339" s="693"/>
      <c r="M1339" s="693"/>
      <c r="N1339" s="448"/>
      <c r="O1339" s="448"/>
      <c r="P1339" s="448"/>
      <c r="Q1339" s="448"/>
    </row>
    <row r="1340" spans="2:17" ht="15.75" x14ac:dyDescent="0.25">
      <c r="B1340" s="661"/>
      <c r="C1340" s="661" t="s">
        <v>5</v>
      </c>
      <c r="D1340" s="661"/>
      <c r="E1340" s="693" t="s">
        <v>1941</v>
      </c>
      <c r="F1340" s="1160">
        <v>24588</v>
      </c>
      <c r="G1340" s="1161">
        <v>25510.2</v>
      </c>
      <c r="H1340" s="1161">
        <f>998.9+81045.46</f>
        <v>82044.36</v>
      </c>
      <c r="I1340" s="1162">
        <v>83696.285600000017</v>
      </c>
      <c r="J1340" s="1162">
        <v>85381.142880000014</v>
      </c>
      <c r="K1340" s="693" t="s">
        <v>1942</v>
      </c>
      <c r="L1340" s="693" t="s">
        <v>40</v>
      </c>
      <c r="M1340" s="868">
        <v>288317</v>
      </c>
      <c r="N1340" s="1164">
        <v>291200</v>
      </c>
      <c r="O1340" s="868">
        <v>294112</v>
      </c>
      <c r="P1340" s="868">
        <v>297053</v>
      </c>
      <c r="Q1340" s="868">
        <v>300023</v>
      </c>
    </row>
    <row r="1341" spans="2:17" ht="15.75" x14ac:dyDescent="0.25">
      <c r="B1341" s="661"/>
      <c r="C1341" s="661" t="s">
        <v>7</v>
      </c>
      <c r="D1341" s="661"/>
      <c r="E1341" s="693" t="s">
        <v>1943</v>
      </c>
      <c r="F1341" s="1160">
        <v>21804.6</v>
      </c>
      <c r="G1341" s="1161">
        <v>22622.2</v>
      </c>
      <c r="H1341" s="1161">
        <f>885+71870.54</f>
        <v>72755.539999999994</v>
      </c>
      <c r="I1341" s="1162">
        <v>74221.234400000001</v>
      </c>
      <c r="J1341" s="1162">
        <v>75715.35312</v>
      </c>
      <c r="K1341" s="693" t="s">
        <v>1944</v>
      </c>
      <c r="L1341" s="693" t="s">
        <v>173</v>
      </c>
      <c r="M1341" s="693">
        <v>92436</v>
      </c>
      <c r="N1341" s="1164">
        <v>93360</v>
      </c>
      <c r="O1341" s="868">
        <v>94293</v>
      </c>
      <c r="P1341" s="868">
        <v>95235</v>
      </c>
      <c r="Q1341" s="868">
        <v>96187</v>
      </c>
    </row>
    <row r="1342" spans="2:17" ht="28.5" x14ac:dyDescent="0.25">
      <c r="B1342" s="680" t="s">
        <v>508</v>
      </c>
      <c r="C1342" s="680"/>
      <c r="D1342" s="661"/>
      <c r="E1342" s="684" t="s">
        <v>1945</v>
      </c>
      <c r="F1342" s="683">
        <f>F1343</f>
        <v>26261.665999999997</v>
      </c>
      <c r="G1342" s="683">
        <f>G1343</f>
        <v>23089.1</v>
      </c>
      <c r="H1342" s="683">
        <f t="shared" ref="H1342:J1342" si="139">H1343</f>
        <v>15138.2</v>
      </c>
      <c r="I1342" s="683">
        <f t="shared" si="139"/>
        <v>15592.346000000001</v>
      </c>
      <c r="J1342" s="683">
        <f t="shared" si="139"/>
        <v>16060.116379999999</v>
      </c>
      <c r="K1342" s="713" t="s">
        <v>1934</v>
      </c>
      <c r="L1342" s="693"/>
      <c r="M1342" s="693"/>
      <c r="N1342" s="398"/>
      <c r="O1342" s="398"/>
      <c r="P1342" s="398"/>
      <c r="Q1342" s="398"/>
    </row>
    <row r="1343" spans="2:17" ht="30" x14ac:dyDescent="0.25">
      <c r="B1343" s="661"/>
      <c r="C1343" s="661" t="s">
        <v>5</v>
      </c>
      <c r="D1343" s="661"/>
      <c r="E1343" s="659" t="s">
        <v>481</v>
      </c>
      <c r="F1343" s="1160">
        <v>26261.665999999997</v>
      </c>
      <c r="G1343" s="1161">
        <v>23089.1</v>
      </c>
      <c r="H1343" s="1161">
        <v>15138.2</v>
      </c>
      <c r="I1343" s="1162">
        <v>15592.346000000001</v>
      </c>
      <c r="J1343" s="1162">
        <v>16060.116379999999</v>
      </c>
      <c r="K1343" s="659" t="s">
        <v>1946</v>
      </c>
      <c r="L1343" s="660" t="s">
        <v>1947</v>
      </c>
      <c r="M1343" s="510">
        <v>0.98</v>
      </c>
      <c r="N1343" s="510">
        <v>0.98</v>
      </c>
      <c r="O1343" s="510">
        <v>0.98</v>
      </c>
      <c r="P1343" s="510">
        <v>0.98</v>
      </c>
      <c r="Q1343" s="510">
        <v>0.98</v>
      </c>
    </row>
    <row r="1344" spans="2:17" ht="57" x14ac:dyDescent="0.25">
      <c r="B1344" s="680" t="s">
        <v>601</v>
      </c>
      <c r="C1344" s="680"/>
      <c r="D1344" s="661"/>
      <c r="E1344" s="395" t="s">
        <v>1948</v>
      </c>
      <c r="F1344" s="1165">
        <f>F1345+F1346</f>
        <v>247414.3</v>
      </c>
      <c r="G1344" s="1165">
        <f>G1345+G1346</f>
        <v>272816.2</v>
      </c>
      <c r="H1344" s="1165">
        <f t="shared" ref="H1344:J1344" si="140">H1345+H1346</f>
        <v>292825.8</v>
      </c>
      <c r="I1344" s="1165">
        <f t="shared" si="140"/>
        <v>269010.7</v>
      </c>
      <c r="J1344" s="1165">
        <f t="shared" si="140"/>
        <v>279538.5</v>
      </c>
      <c r="K1344" s="682" t="s">
        <v>1949</v>
      </c>
      <c r="L1344" s="693" t="s">
        <v>1950</v>
      </c>
      <c r="M1344" s="660">
        <v>20878</v>
      </c>
      <c r="N1344" s="987">
        <v>20733</v>
      </c>
      <c r="O1344" s="987">
        <v>20733</v>
      </c>
      <c r="P1344" s="987">
        <v>20111</v>
      </c>
      <c r="Q1344" s="987">
        <v>20891</v>
      </c>
    </row>
    <row r="1345" spans="2:17" ht="60" x14ac:dyDescent="0.25">
      <c r="B1345" s="661"/>
      <c r="C1345" s="661" t="s">
        <v>5</v>
      </c>
      <c r="D1345" s="661"/>
      <c r="E1345" s="388" t="s">
        <v>1951</v>
      </c>
      <c r="F1345" s="1160">
        <v>246264.3</v>
      </c>
      <c r="G1345" s="1161">
        <v>271536.8</v>
      </c>
      <c r="H1345" s="1161">
        <f>258716.8+32829.6</f>
        <v>291546.39999999997</v>
      </c>
      <c r="I1345" s="1162">
        <v>267695.3</v>
      </c>
      <c r="J1345" s="1163">
        <v>278208.09999999998</v>
      </c>
      <c r="K1345" s="693" t="s">
        <v>1952</v>
      </c>
      <c r="L1345" s="693" t="s">
        <v>1953</v>
      </c>
      <c r="M1345" s="693">
        <v>44783</v>
      </c>
      <c r="N1345" s="1051">
        <v>49376</v>
      </c>
      <c r="O1345" s="1051">
        <v>49376</v>
      </c>
      <c r="P1345" s="1051">
        <v>47895</v>
      </c>
      <c r="Q1345" s="1051">
        <v>49810</v>
      </c>
    </row>
    <row r="1346" spans="2:17" ht="90" x14ac:dyDescent="0.25">
      <c r="B1346" s="661"/>
      <c r="C1346" s="661" t="s">
        <v>7</v>
      </c>
      <c r="D1346" s="661"/>
      <c r="E1346" s="693" t="s">
        <v>1954</v>
      </c>
      <c r="F1346" s="1160">
        <v>1150</v>
      </c>
      <c r="G1346" s="1161">
        <v>1279.4000000000001</v>
      </c>
      <c r="H1346" s="1161">
        <f>1279.4</f>
        <v>1279.4000000000001</v>
      </c>
      <c r="I1346" s="1162">
        <v>1315.4</v>
      </c>
      <c r="J1346" s="1163">
        <v>1330.4</v>
      </c>
      <c r="K1346" s="693" t="s">
        <v>1955</v>
      </c>
      <c r="L1346" s="693" t="s">
        <v>1950</v>
      </c>
      <c r="M1346" s="693">
        <v>3774</v>
      </c>
      <c r="N1346" s="1051">
        <v>4190</v>
      </c>
      <c r="O1346" s="1051">
        <v>4190</v>
      </c>
      <c r="P1346" s="1051">
        <v>4064</v>
      </c>
      <c r="Q1346" s="1051">
        <v>4227</v>
      </c>
    </row>
    <row r="1347" spans="2:17" ht="71.25" x14ac:dyDescent="0.25">
      <c r="B1347" s="680" t="s">
        <v>1297</v>
      </c>
      <c r="C1347" s="680"/>
      <c r="D1347" s="661"/>
      <c r="E1347" s="684" t="s">
        <v>1956</v>
      </c>
      <c r="F1347" s="1166"/>
      <c r="G1347" s="1167">
        <f>G1348+G1349</f>
        <v>2400</v>
      </c>
      <c r="H1347" s="1167">
        <f t="shared" ref="H1347:J1347" si="141">H1348+H1349</f>
        <v>2400</v>
      </c>
      <c r="I1347" s="1167">
        <f t="shared" si="141"/>
        <v>2431.6999999999998</v>
      </c>
      <c r="J1347" s="1167">
        <f t="shared" si="141"/>
        <v>2463.6999999999998</v>
      </c>
      <c r="K1347" s="682" t="s">
        <v>1957</v>
      </c>
      <c r="L1347" s="693" t="s">
        <v>1958</v>
      </c>
      <c r="M1347" s="693" t="s">
        <v>1959</v>
      </c>
      <c r="N1347" s="1168" t="s">
        <v>1960</v>
      </c>
      <c r="O1347" s="1168" t="s">
        <v>1961</v>
      </c>
      <c r="P1347" s="1168" t="s">
        <v>1962</v>
      </c>
      <c r="Q1347" s="1168" t="s">
        <v>1963</v>
      </c>
    </row>
    <row r="1348" spans="2:17" ht="30" x14ac:dyDescent="0.25">
      <c r="B1348" s="661"/>
      <c r="C1348" s="661" t="s">
        <v>5</v>
      </c>
      <c r="D1348" s="661"/>
      <c r="E1348" s="693" t="s">
        <v>1964</v>
      </c>
      <c r="F1348" s="1166"/>
      <c r="G1348" s="1161">
        <v>1200</v>
      </c>
      <c r="H1348" s="1161">
        <v>1200</v>
      </c>
      <c r="I1348" s="1162">
        <v>1215.9000000000001</v>
      </c>
      <c r="J1348" s="1162">
        <v>1231.9000000000001</v>
      </c>
      <c r="K1348" s="693" t="s">
        <v>1965</v>
      </c>
      <c r="L1348" s="693" t="s">
        <v>1966</v>
      </c>
      <c r="M1348" s="660">
        <v>80</v>
      </c>
      <c r="N1348" s="660">
        <v>80</v>
      </c>
      <c r="O1348" s="660">
        <v>80</v>
      </c>
      <c r="P1348" s="660">
        <v>78</v>
      </c>
      <c r="Q1348" s="660">
        <v>81</v>
      </c>
    </row>
    <row r="1349" spans="2:17" ht="45" x14ac:dyDescent="0.25">
      <c r="B1349" s="661"/>
      <c r="C1349" s="661" t="s">
        <v>7</v>
      </c>
      <c r="D1349" s="661"/>
      <c r="E1349" s="693" t="s">
        <v>1967</v>
      </c>
      <c r="F1349" s="1166"/>
      <c r="G1349" s="1161">
        <v>1200</v>
      </c>
      <c r="H1349" s="1161">
        <v>1200</v>
      </c>
      <c r="I1349" s="1162">
        <v>1215.8</v>
      </c>
      <c r="J1349" s="1162">
        <v>1231.8</v>
      </c>
      <c r="K1349" s="693" t="s">
        <v>1968</v>
      </c>
      <c r="L1349" s="693" t="s">
        <v>1958</v>
      </c>
      <c r="M1349" s="660" t="s">
        <v>1959</v>
      </c>
      <c r="N1349" s="511" t="s">
        <v>1960</v>
      </c>
      <c r="O1349" s="511" t="s">
        <v>1961</v>
      </c>
      <c r="P1349" s="511" t="s">
        <v>1962</v>
      </c>
      <c r="Q1349" s="511" t="s">
        <v>1963</v>
      </c>
    </row>
    <row r="1350" spans="2:17" x14ac:dyDescent="0.25">
      <c r="B1350" s="70">
        <v>992</v>
      </c>
      <c r="C1350" s="835"/>
      <c r="D1350" s="120"/>
      <c r="E1350" s="797" t="s">
        <v>260</v>
      </c>
      <c r="F1350" s="78">
        <v>0</v>
      </c>
      <c r="G1350" s="78">
        <f>G1351</f>
        <v>122150</v>
      </c>
      <c r="H1350" s="78">
        <f t="shared" ref="H1350:J1350" si="142">H1351</f>
        <v>229125</v>
      </c>
      <c r="I1350" s="78">
        <f t="shared" si="142"/>
        <v>0</v>
      </c>
      <c r="J1350" s="78">
        <f t="shared" si="142"/>
        <v>0</v>
      </c>
      <c r="K1350" s="693"/>
      <c r="L1350" s="693"/>
      <c r="M1350" s="660"/>
      <c r="N1350" s="511"/>
      <c r="O1350" s="511"/>
      <c r="P1350" s="511"/>
      <c r="Q1350" s="511"/>
    </row>
    <row r="1351" spans="2:17" ht="30" x14ac:dyDescent="0.25">
      <c r="B1351" s="70"/>
      <c r="C1351" s="835" t="s">
        <v>5</v>
      </c>
      <c r="D1351" s="120"/>
      <c r="E1351" s="692" t="s">
        <v>261</v>
      </c>
      <c r="F1351" s="79"/>
      <c r="G1351" s="79">
        <v>122150</v>
      </c>
      <c r="H1351" s="79">
        <v>229125</v>
      </c>
      <c r="I1351" s="79"/>
      <c r="J1351" s="79"/>
      <c r="K1351" s="693"/>
      <c r="L1351" s="693"/>
      <c r="M1351" s="660"/>
      <c r="N1351" s="511"/>
      <c r="O1351" s="511"/>
      <c r="P1351" s="511"/>
      <c r="Q1351" s="511"/>
    </row>
    <row r="1352" spans="2:17" x14ac:dyDescent="0.25">
      <c r="B1352" s="1874" t="s">
        <v>85</v>
      </c>
      <c r="C1352" s="1874"/>
      <c r="D1352" s="1874"/>
      <c r="E1352" s="1874"/>
      <c r="F1352" s="1008">
        <f>F1328+F1336+F1339+F1342+F1344+F1347</f>
        <v>839252.05599999987</v>
      </c>
      <c r="G1352" s="1008">
        <f>G1328+G1336+G1339+G1342+G1344+G1347+G1350</f>
        <v>1063674</v>
      </c>
      <c r="H1352" s="1008">
        <f t="shared" ref="H1352:J1352" si="143">H1328+H1336+H1339+H1342+H1344+H1347+H1350</f>
        <v>1245688.8</v>
      </c>
      <c r="I1352" s="1008">
        <f t="shared" si="143"/>
        <v>1028257.6957706702</v>
      </c>
      <c r="J1352" s="1008">
        <f t="shared" si="143"/>
        <v>1037972.8968977755</v>
      </c>
      <c r="K1352" s="228"/>
      <c r="L1352" s="1909"/>
      <c r="M1352" s="1909"/>
      <c r="N1352" s="1909"/>
      <c r="O1352" s="1909"/>
      <c r="P1352" s="1909"/>
      <c r="Q1352" s="1909"/>
    </row>
    <row r="1353" spans="2:17" x14ac:dyDescent="0.25">
      <c r="B1353" s="1710" t="s">
        <v>1969</v>
      </c>
      <c r="C1353" s="1710"/>
      <c r="D1353" s="1710"/>
      <c r="E1353" s="1710"/>
      <c r="F1353" s="1710"/>
      <c r="G1353" s="1710"/>
      <c r="H1353" s="1710"/>
      <c r="I1353" s="1710"/>
      <c r="J1353" s="1710"/>
      <c r="K1353" s="1710"/>
      <c r="L1353" s="1710"/>
      <c r="M1353" s="1710"/>
      <c r="N1353" s="1710"/>
      <c r="O1353" s="1710"/>
      <c r="P1353" s="1710"/>
      <c r="Q1353" s="1710"/>
    </row>
    <row r="1354" spans="2:17" ht="89.25" customHeight="1" x14ac:dyDescent="0.25">
      <c r="B1354" s="1169" t="s">
        <v>1970</v>
      </c>
      <c r="C1354" s="1170"/>
      <c r="D1354" s="1171"/>
      <c r="E1354" s="347" t="s">
        <v>1971</v>
      </c>
      <c r="F1354" s="1172">
        <f>F1355+F1356+F1357+F1358+F1360+F1362+F1366+F1367</f>
        <v>93802.3</v>
      </c>
      <c r="G1354" s="1172">
        <f t="shared" ref="G1354:J1354" si="144">G1355+G1356+G1357+G1358+G1360+G1362+G1366+G1367</f>
        <v>96134.099999999991</v>
      </c>
      <c r="H1354" s="1172">
        <f t="shared" si="144"/>
        <v>106138.8</v>
      </c>
      <c r="I1354" s="1172">
        <f t="shared" si="144"/>
        <v>96217.9</v>
      </c>
      <c r="J1354" s="1172">
        <f t="shared" si="144"/>
        <v>96405.4</v>
      </c>
      <c r="K1354" s="1173" t="s">
        <v>34</v>
      </c>
      <c r="L1354" s="1174" t="s">
        <v>35</v>
      </c>
      <c r="M1354" s="1175">
        <v>0.316</v>
      </c>
      <c r="N1354" s="1175">
        <v>0.316</v>
      </c>
      <c r="O1354" s="1175">
        <v>0.316</v>
      </c>
      <c r="P1354" s="1175">
        <v>0.316</v>
      </c>
      <c r="Q1354" s="1175">
        <v>0.316</v>
      </c>
    </row>
    <row r="1355" spans="2:17" x14ac:dyDescent="0.25">
      <c r="B1355" s="1176"/>
      <c r="C1355" s="1177">
        <v>1</v>
      </c>
      <c r="D1355" s="1178"/>
      <c r="E1355" s="1179" t="s">
        <v>6</v>
      </c>
      <c r="F1355" s="1180">
        <v>22003</v>
      </c>
      <c r="G1355" s="1180">
        <v>22550</v>
      </c>
      <c r="H1355" s="1180">
        <f>21407.8+481.7</f>
        <v>21889.5</v>
      </c>
      <c r="I1355" s="1180">
        <v>22569.599999999999</v>
      </c>
      <c r="J1355" s="1180">
        <v>22613.599999999999</v>
      </c>
      <c r="K1355" s="1181" t="s">
        <v>36</v>
      </c>
      <c r="L1355" s="1182" t="s">
        <v>37</v>
      </c>
      <c r="M1355" s="1183">
        <v>0.40699999999999997</v>
      </c>
      <c r="N1355" s="1183">
        <v>0.44</v>
      </c>
      <c r="O1355" s="1183">
        <v>0.49</v>
      </c>
      <c r="P1355" s="1183">
        <v>0.53</v>
      </c>
      <c r="Q1355" s="1183">
        <v>0.56999999999999995</v>
      </c>
    </row>
    <row r="1356" spans="2:17" ht="30" x14ac:dyDescent="0.25">
      <c r="B1356" s="1184"/>
      <c r="C1356" s="1177">
        <v>2</v>
      </c>
      <c r="D1356" s="1185"/>
      <c r="E1356" s="1186" t="s">
        <v>8</v>
      </c>
      <c r="F1356" s="1187">
        <v>3860.2</v>
      </c>
      <c r="G1356" s="1187">
        <v>3956.1</v>
      </c>
      <c r="H1356" s="1187">
        <f>5256.9+320.9</f>
        <v>5577.7999999999993</v>
      </c>
      <c r="I1356" s="1187">
        <v>3959.6</v>
      </c>
      <c r="J1356" s="1187">
        <v>3967.3</v>
      </c>
      <c r="K1356" s="1181" t="s">
        <v>38</v>
      </c>
      <c r="L1356" s="1182" t="s">
        <v>35</v>
      </c>
      <c r="M1356" s="1183">
        <v>0.95199999999999996</v>
      </c>
      <c r="N1356" s="1183">
        <v>0.98</v>
      </c>
      <c r="O1356" s="1183">
        <v>0.99</v>
      </c>
      <c r="P1356" s="1183">
        <v>0.99</v>
      </c>
      <c r="Q1356" s="1183">
        <v>1</v>
      </c>
    </row>
    <row r="1357" spans="2:17" ht="45" x14ac:dyDescent="0.25">
      <c r="B1357" s="1188"/>
      <c r="C1357" s="1189">
        <v>3</v>
      </c>
      <c r="D1357" s="1190"/>
      <c r="E1357" s="1191" t="s">
        <v>1725</v>
      </c>
      <c r="F1357" s="1192">
        <v>2702.1</v>
      </c>
      <c r="G1357" s="1192">
        <v>2769.3</v>
      </c>
      <c r="H1357" s="1192">
        <f>3679.8+224.6</f>
        <v>3904.4</v>
      </c>
      <c r="I1357" s="1192">
        <v>2771.7</v>
      </c>
      <c r="J1357" s="1192">
        <v>2777.1</v>
      </c>
      <c r="K1357" s="1193" t="s">
        <v>1972</v>
      </c>
      <c r="L1357" s="1194" t="s">
        <v>35</v>
      </c>
      <c r="M1357" s="1195">
        <v>0.85</v>
      </c>
      <c r="N1357" s="1195">
        <v>0.85</v>
      </c>
      <c r="O1357" s="1195">
        <v>0.9</v>
      </c>
      <c r="P1357" s="1195">
        <v>0.9</v>
      </c>
      <c r="Q1357" s="1195">
        <v>0.9</v>
      </c>
    </row>
    <row r="1358" spans="2:17" x14ac:dyDescent="0.25">
      <c r="B1358" s="1998"/>
      <c r="C1358" s="2215">
        <v>4</v>
      </c>
      <c r="D1358" s="2224"/>
      <c r="E1358" s="2221" t="s">
        <v>12</v>
      </c>
      <c r="F1358" s="2205">
        <v>5404.2</v>
      </c>
      <c r="G1358" s="2205">
        <v>5538.6</v>
      </c>
      <c r="H1358" s="2205">
        <f>8301.3+383.5</f>
        <v>8684.7999999999993</v>
      </c>
      <c r="I1358" s="2205">
        <v>5543.4</v>
      </c>
      <c r="J1358" s="2205">
        <v>5554.2</v>
      </c>
      <c r="K1358" s="692" t="s">
        <v>1973</v>
      </c>
      <c r="L1358" s="291" t="s">
        <v>116</v>
      </c>
      <c r="M1358" s="291">
        <v>10</v>
      </c>
      <c r="N1358" s="291">
        <v>15</v>
      </c>
      <c r="O1358" s="291">
        <v>20</v>
      </c>
      <c r="P1358" s="291">
        <v>25</v>
      </c>
      <c r="Q1358" s="291">
        <v>30</v>
      </c>
    </row>
    <row r="1359" spans="2:17" ht="30" x14ac:dyDescent="0.25">
      <c r="B1359" s="1999"/>
      <c r="C1359" s="2217"/>
      <c r="D1359" s="2225"/>
      <c r="E1359" s="2223"/>
      <c r="F1359" s="2207"/>
      <c r="G1359" s="2207"/>
      <c r="H1359" s="2207"/>
      <c r="I1359" s="2207"/>
      <c r="J1359" s="2207"/>
      <c r="K1359" s="692" t="s">
        <v>191</v>
      </c>
      <c r="L1359" s="291" t="s">
        <v>192</v>
      </c>
      <c r="M1359" s="291" t="s">
        <v>1974</v>
      </c>
      <c r="N1359" s="291" t="s">
        <v>1975</v>
      </c>
      <c r="O1359" s="291" t="s">
        <v>1976</v>
      </c>
      <c r="P1359" s="291" t="s">
        <v>1977</v>
      </c>
      <c r="Q1359" s="291" t="s">
        <v>1978</v>
      </c>
    </row>
    <row r="1360" spans="2:17" x14ac:dyDescent="0.25">
      <c r="B1360" s="1998"/>
      <c r="C1360" s="2215"/>
      <c r="D1360" s="2224"/>
      <c r="E1360" s="2221" t="s">
        <v>1979</v>
      </c>
      <c r="F1360" s="2205">
        <v>1544.1</v>
      </c>
      <c r="G1360" s="2205">
        <v>1582.5</v>
      </c>
      <c r="H1360" s="2205"/>
      <c r="I1360" s="2205">
        <v>1583.8</v>
      </c>
      <c r="J1360" s="2205">
        <v>1586.9</v>
      </c>
      <c r="K1360" s="2016" t="s">
        <v>1980</v>
      </c>
      <c r="L1360" s="2211" t="s">
        <v>582</v>
      </c>
      <c r="M1360" s="2211">
        <v>12.4</v>
      </c>
      <c r="N1360" s="2213">
        <v>14</v>
      </c>
      <c r="O1360" s="2213">
        <v>15</v>
      </c>
      <c r="P1360" s="2213">
        <v>16</v>
      </c>
      <c r="Q1360" s="2213">
        <v>17</v>
      </c>
    </row>
    <row r="1361" spans="2:17" x14ac:dyDescent="0.25">
      <c r="B1361" s="1999"/>
      <c r="C1361" s="2217"/>
      <c r="D1361" s="2225"/>
      <c r="E1361" s="2223"/>
      <c r="F1361" s="2207"/>
      <c r="G1361" s="2207"/>
      <c r="H1361" s="2207"/>
      <c r="I1361" s="2207"/>
      <c r="J1361" s="2207"/>
      <c r="K1361" s="2018"/>
      <c r="L1361" s="2212"/>
      <c r="M1361" s="2212"/>
      <c r="N1361" s="2214"/>
      <c r="O1361" s="2214"/>
      <c r="P1361" s="2214"/>
      <c r="Q1361" s="2214"/>
    </row>
    <row r="1362" spans="2:17" ht="30" x14ac:dyDescent="0.25">
      <c r="B1362" s="2000"/>
      <c r="C1362" s="2215">
        <v>5</v>
      </c>
      <c r="D1362" s="2218"/>
      <c r="E1362" s="2221" t="s">
        <v>13</v>
      </c>
      <c r="F1362" s="2205">
        <f>386+1158.1</f>
        <v>1544.1</v>
      </c>
      <c r="G1362" s="2205">
        <f>395.6+1186.8</f>
        <v>1582.4</v>
      </c>
      <c r="H1362" s="2205">
        <f>2102.6+128.4</f>
        <v>2231</v>
      </c>
      <c r="I1362" s="2205">
        <f>396+1187.9</f>
        <v>1583.9</v>
      </c>
      <c r="J1362" s="2205">
        <f>396.7+1190.2</f>
        <v>1586.9</v>
      </c>
      <c r="K1362" s="692" t="s">
        <v>1981</v>
      </c>
      <c r="L1362" s="291" t="s">
        <v>40</v>
      </c>
      <c r="M1362" s="291">
        <v>15</v>
      </c>
      <c r="N1362" s="291">
        <v>17</v>
      </c>
      <c r="O1362" s="291">
        <v>19</v>
      </c>
      <c r="P1362" s="291">
        <v>21</v>
      </c>
      <c r="Q1362" s="291">
        <v>25</v>
      </c>
    </row>
    <row r="1363" spans="2:17" ht="45" x14ac:dyDescent="0.25">
      <c r="B1363" s="2001"/>
      <c r="C1363" s="2216"/>
      <c r="D1363" s="2219"/>
      <c r="E1363" s="2222"/>
      <c r="F1363" s="2206"/>
      <c r="G1363" s="2206"/>
      <c r="H1363" s="2206"/>
      <c r="I1363" s="2206"/>
      <c r="J1363" s="2206"/>
      <c r="K1363" s="692" t="s">
        <v>1982</v>
      </c>
      <c r="L1363" s="291" t="s">
        <v>40</v>
      </c>
      <c r="M1363" s="291">
        <v>100</v>
      </c>
      <c r="N1363" s="291">
        <v>106</v>
      </c>
      <c r="O1363" s="291">
        <v>109</v>
      </c>
      <c r="P1363" s="291">
        <v>111</v>
      </c>
      <c r="Q1363" s="291">
        <v>115</v>
      </c>
    </row>
    <row r="1364" spans="2:17" ht="60" x14ac:dyDescent="0.25">
      <c r="B1364" s="2001"/>
      <c r="C1364" s="2216"/>
      <c r="D1364" s="2219"/>
      <c r="E1364" s="2222"/>
      <c r="F1364" s="2206"/>
      <c r="G1364" s="2206"/>
      <c r="H1364" s="2206"/>
      <c r="I1364" s="2206"/>
      <c r="J1364" s="2206"/>
      <c r="K1364" s="692" t="s">
        <v>1983</v>
      </c>
      <c r="L1364" s="291" t="s">
        <v>40</v>
      </c>
      <c r="M1364" s="291">
        <v>75</v>
      </c>
      <c r="N1364" s="291">
        <v>81</v>
      </c>
      <c r="O1364" s="291">
        <v>88</v>
      </c>
      <c r="P1364" s="291">
        <v>91</v>
      </c>
      <c r="Q1364" s="291">
        <v>99</v>
      </c>
    </row>
    <row r="1365" spans="2:17" x14ac:dyDescent="0.25">
      <c r="B1365" s="2002"/>
      <c r="C1365" s="2217"/>
      <c r="D1365" s="2220"/>
      <c r="E1365" s="2223"/>
      <c r="F1365" s="2207"/>
      <c r="G1365" s="2207"/>
      <c r="H1365" s="2207"/>
      <c r="I1365" s="2207"/>
      <c r="J1365" s="2207"/>
      <c r="K1365" s="692" t="s">
        <v>1984</v>
      </c>
      <c r="L1365" s="291" t="s">
        <v>40</v>
      </c>
      <c r="M1365" s="291">
        <v>0</v>
      </c>
      <c r="N1365" s="291">
        <v>1</v>
      </c>
      <c r="O1365" s="291">
        <v>1</v>
      </c>
      <c r="P1365" s="291">
        <v>0</v>
      </c>
      <c r="Q1365" s="291">
        <v>0</v>
      </c>
    </row>
    <row r="1366" spans="2:17" ht="60" x14ac:dyDescent="0.25">
      <c r="B1366" s="1196"/>
      <c r="C1366" s="1197">
        <v>6</v>
      </c>
      <c r="D1366" s="1198"/>
      <c r="E1366" s="1199" t="s">
        <v>14</v>
      </c>
      <c r="F1366" s="1200">
        <v>50954.3</v>
      </c>
      <c r="G1366" s="1200">
        <v>52221</v>
      </c>
      <c r="H1366" s="1200">
        <f>55081.1+1962.5</f>
        <v>57043.6</v>
      </c>
      <c r="I1366" s="1200">
        <v>52266.5</v>
      </c>
      <c r="J1366" s="1200">
        <v>52368.4</v>
      </c>
      <c r="K1366" s="692" t="s">
        <v>1985</v>
      </c>
      <c r="L1366" s="291" t="s">
        <v>35</v>
      </c>
      <c r="M1366" s="278">
        <v>0.17</v>
      </c>
      <c r="N1366" s="278">
        <v>0.17</v>
      </c>
      <c r="O1366" s="278">
        <v>0.17</v>
      </c>
      <c r="P1366" s="278">
        <v>0.17</v>
      </c>
      <c r="Q1366" s="278">
        <v>0.17</v>
      </c>
    </row>
    <row r="1367" spans="2:17" ht="135" x14ac:dyDescent="0.25">
      <c r="B1367" s="1196"/>
      <c r="C1367" s="1197">
        <v>7</v>
      </c>
      <c r="D1367" s="1198"/>
      <c r="E1367" s="1199" t="s">
        <v>464</v>
      </c>
      <c r="F1367" s="1201">
        <v>5790.3</v>
      </c>
      <c r="G1367" s="1201">
        <v>5934.2</v>
      </c>
      <c r="H1367" s="1201">
        <f>6546.4+261.3</f>
        <v>6807.7</v>
      </c>
      <c r="I1367" s="1201">
        <v>5939.4</v>
      </c>
      <c r="J1367" s="1201">
        <v>5951</v>
      </c>
      <c r="K1367" s="692" t="s">
        <v>1986</v>
      </c>
      <c r="L1367" s="291" t="s">
        <v>582</v>
      </c>
      <c r="M1367" s="291">
        <v>82.6</v>
      </c>
      <c r="N1367" s="291">
        <v>100</v>
      </c>
      <c r="O1367" s="291">
        <v>100</v>
      </c>
      <c r="P1367" s="291">
        <v>100</v>
      </c>
      <c r="Q1367" s="291">
        <v>100</v>
      </c>
    </row>
    <row r="1368" spans="2:17" ht="55.5" customHeight="1" x14ac:dyDescent="0.25">
      <c r="B1368" s="1202" t="s">
        <v>500</v>
      </c>
      <c r="C1368" s="1203"/>
      <c r="D1368" s="1203"/>
      <c r="E1368" s="1204" t="s">
        <v>1987</v>
      </c>
      <c r="F1368" s="1205">
        <f>F1369+F1377+F1383+F1390</f>
        <v>71027.200000000012</v>
      </c>
      <c r="G1368" s="1205">
        <f t="shared" ref="G1368:J1368" si="145">G1369+G1377+G1383+G1390</f>
        <v>72792.899999999994</v>
      </c>
      <c r="H1368" s="1205">
        <f t="shared" si="145"/>
        <v>71659.700000000012</v>
      </c>
      <c r="I1368" s="1205">
        <f t="shared" si="145"/>
        <v>72856.399999999994</v>
      </c>
      <c r="J1368" s="1205">
        <f t="shared" si="145"/>
        <v>72998.400000000009</v>
      </c>
      <c r="K1368" s="1204" t="s">
        <v>1988</v>
      </c>
      <c r="L1368" s="1206" t="s">
        <v>136</v>
      </c>
      <c r="M1368" s="1206">
        <v>61</v>
      </c>
      <c r="N1368" s="1206">
        <v>51</v>
      </c>
      <c r="O1368" s="1206">
        <v>51</v>
      </c>
      <c r="P1368" s="1206">
        <v>40</v>
      </c>
      <c r="Q1368" s="1206">
        <v>40</v>
      </c>
    </row>
    <row r="1369" spans="2:17" ht="30" x14ac:dyDescent="0.25">
      <c r="B1369" s="2003"/>
      <c r="C1369" s="2199" t="s">
        <v>5</v>
      </c>
      <c r="D1369" s="2199"/>
      <c r="E1369" s="2208" t="s">
        <v>1989</v>
      </c>
      <c r="F1369" s="2205">
        <v>40145.800000000003</v>
      </c>
      <c r="G1369" s="2205">
        <v>41143.800000000003</v>
      </c>
      <c r="H1369" s="2205">
        <v>38581.4</v>
      </c>
      <c r="I1369" s="2205">
        <v>41179.699999999997</v>
      </c>
      <c r="J1369" s="2205">
        <v>41260</v>
      </c>
      <c r="K1369" s="690" t="s">
        <v>1990</v>
      </c>
      <c r="L1369" s="291" t="s">
        <v>40</v>
      </c>
      <c r="M1369" s="291">
        <v>293</v>
      </c>
      <c r="N1369" s="291">
        <v>140</v>
      </c>
      <c r="O1369" s="291">
        <v>150</v>
      </c>
      <c r="P1369" s="291">
        <v>315</v>
      </c>
      <c r="Q1369" s="291">
        <v>320</v>
      </c>
    </row>
    <row r="1370" spans="2:17" x14ac:dyDescent="0.25">
      <c r="B1370" s="2004"/>
      <c r="C1370" s="2200"/>
      <c r="D1370" s="2200"/>
      <c r="E1370" s="2209"/>
      <c r="F1370" s="2206"/>
      <c r="G1370" s="2206"/>
      <c r="H1370" s="2206"/>
      <c r="I1370" s="2206"/>
      <c r="J1370" s="2206"/>
      <c r="K1370" s="692" t="s">
        <v>1991</v>
      </c>
      <c r="L1370" s="291" t="s">
        <v>40</v>
      </c>
      <c r="M1370" s="291">
        <v>3170</v>
      </c>
      <c r="N1370" s="291">
        <v>1800</v>
      </c>
      <c r="O1370" s="291">
        <v>2000</v>
      </c>
      <c r="P1370" s="291">
        <v>3070</v>
      </c>
      <c r="Q1370" s="291">
        <v>3090</v>
      </c>
    </row>
    <row r="1371" spans="2:17" ht="30" x14ac:dyDescent="0.25">
      <c r="B1371" s="2004"/>
      <c r="C1371" s="2200"/>
      <c r="D1371" s="2200"/>
      <c r="E1371" s="2209"/>
      <c r="F1371" s="2206"/>
      <c r="G1371" s="2206"/>
      <c r="H1371" s="2206"/>
      <c r="I1371" s="2206"/>
      <c r="J1371" s="2206"/>
      <c r="K1371" s="692" t="s">
        <v>1992</v>
      </c>
      <c r="L1371" s="291" t="s">
        <v>35</v>
      </c>
      <c r="M1371" s="279">
        <v>0.56999999999999995</v>
      </c>
      <c r="N1371" s="279">
        <v>0.3</v>
      </c>
      <c r="O1371" s="279">
        <v>0.3</v>
      </c>
      <c r="P1371" s="279">
        <v>0.5</v>
      </c>
      <c r="Q1371" s="279">
        <v>0.55000000000000004</v>
      </c>
    </row>
    <row r="1372" spans="2:17" ht="45" x14ac:dyDescent="0.25">
      <c r="B1372" s="2004"/>
      <c r="C1372" s="2200"/>
      <c r="D1372" s="2200"/>
      <c r="E1372" s="2209"/>
      <c r="F1372" s="2206"/>
      <c r="G1372" s="2206"/>
      <c r="H1372" s="2206"/>
      <c r="I1372" s="2206"/>
      <c r="J1372" s="2206"/>
      <c r="K1372" s="692" t="s">
        <v>1993</v>
      </c>
      <c r="L1372" s="291" t="s">
        <v>40</v>
      </c>
      <c r="M1372" s="291">
        <v>2465</v>
      </c>
      <c r="N1372" s="291">
        <v>800</v>
      </c>
      <c r="O1372" s="291">
        <v>900</v>
      </c>
      <c r="P1372" s="291">
        <v>1500</v>
      </c>
      <c r="Q1372" s="291">
        <v>1600</v>
      </c>
    </row>
    <row r="1373" spans="2:17" ht="30" x14ac:dyDescent="0.25">
      <c r="B1373" s="2004"/>
      <c r="C1373" s="2200"/>
      <c r="D1373" s="2200"/>
      <c r="E1373" s="2209"/>
      <c r="F1373" s="2206"/>
      <c r="G1373" s="2206"/>
      <c r="H1373" s="2206"/>
      <c r="I1373" s="2206"/>
      <c r="J1373" s="2206"/>
      <c r="K1373" s="692" t="s">
        <v>1994</v>
      </c>
      <c r="L1373" s="291" t="s">
        <v>35</v>
      </c>
      <c r="M1373" s="278">
        <v>0.72</v>
      </c>
      <c r="N1373" s="278">
        <v>0.71</v>
      </c>
      <c r="O1373" s="278">
        <v>0.7</v>
      </c>
      <c r="P1373" s="278">
        <v>0.68</v>
      </c>
      <c r="Q1373" s="278">
        <v>0.67</v>
      </c>
    </row>
    <row r="1374" spans="2:17" ht="45" x14ac:dyDescent="0.25">
      <c r="B1374" s="2004"/>
      <c r="C1374" s="2200"/>
      <c r="D1374" s="2200"/>
      <c r="E1374" s="2209"/>
      <c r="F1374" s="2206"/>
      <c r="G1374" s="2206"/>
      <c r="H1374" s="2206"/>
      <c r="I1374" s="2206"/>
      <c r="J1374" s="2206"/>
      <c r="K1374" s="692" t="s">
        <v>1995</v>
      </c>
      <c r="L1374" s="291" t="s">
        <v>35</v>
      </c>
      <c r="M1374" s="278">
        <v>0.61</v>
      </c>
      <c r="N1374" s="278">
        <v>0.61</v>
      </c>
      <c r="O1374" s="278">
        <v>0.6</v>
      </c>
      <c r="P1374" s="278">
        <v>0.56999999999999995</v>
      </c>
      <c r="Q1374" s="278">
        <v>0.55000000000000004</v>
      </c>
    </row>
    <row r="1375" spans="2:17" ht="45" x14ac:dyDescent="0.25">
      <c r="B1375" s="2004"/>
      <c r="C1375" s="2200"/>
      <c r="D1375" s="2200"/>
      <c r="E1375" s="2209"/>
      <c r="F1375" s="2206"/>
      <c r="G1375" s="2206"/>
      <c r="H1375" s="2206"/>
      <c r="I1375" s="2206"/>
      <c r="J1375" s="2206"/>
      <c r="K1375" s="692" t="s">
        <v>1996</v>
      </c>
      <c r="L1375" s="291" t="s">
        <v>35</v>
      </c>
      <c r="M1375" s="278">
        <v>0.92</v>
      </c>
      <c r="N1375" s="278">
        <v>0.93</v>
      </c>
      <c r="O1375" s="278">
        <v>0.94</v>
      </c>
      <c r="P1375" s="278">
        <v>0.94</v>
      </c>
      <c r="Q1375" s="278">
        <v>0.94</v>
      </c>
    </row>
    <row r="1376" spans="2:17" ht="45" x14ac:dyDescent="0.25">
      <c r="B1376" s="2005"/>
      <c r="C1376" s="2201"/>
      <c r="D1376" s="2201"/>
      <c r="E1376" s="2210"/>
      <c r="F1376" s="2207"/>
      <c r="G1376" s="2207"/>
      <c r="H1376" s="2207"/>
      <c r="I1376" s="2207"/>
      <c r="J1376" s="2207"/>
      <c r="K1376" s="692" t="s">
        <v>1997</v>
      </c>
      <c r="L1376" s="291" t="s">
        <v>35</v>
      </c>
      <c r="M1376" s="1207">
        <v>0.93</v>
      </c>
      <c r="N1376" s="1207">
        <v>0.93</v>
      </c>
      <c r="O1376" s="1207">
        <v>0.94</v>
      </c>
      <c r="P1376" s="1207">
        <v>0.95</v>
      </c>
      <c r="Q1376" s="1207">
        <v>0.95</v>
      </c>
    </row>
    <row r="1377" spans="2:17" ht="45" x14ac:dyDescent="0.25">
      <c r="B1377" s="2003"/>
      <c r="C1377" s="2199" t="s">
        <v>7</v>
      </c>
      <c r="D1377" s="2199"/>
      <c r="E1377" s="2208" t="s">
        <v>1998</v>
      </c>
      <c r="F1377" s="2205">
        <v>8492.4</v>
      </c>
      <c r="G1377" s="2205">
        <v>8703.5</v>
      </c>
      <c r="H1377" s="2205">
        <v>9604.2000000000007</v>
      </c>
      <c r="I1377" s="2205">
        <v>8711.1</v>
      </c>
      <c r="J1377" s="2205">
        <v>8728.1</v>
      </c>
      <c r="K1377" s="692" t="s">
        <v>1999</v>
      </c>
      <c r="L1377" s="291" t="s">
        <v>40</v>
      </c>
      <c r="M1377" s="291">
        <v>2273</v>
      </c>
      <c r="N1377" s="291">
        <v>870</v>
      </c>
      <c r="O1377" s="291">
        <v>800</v>
      </c>
      <c r="P1377" s="291">
        <v>1500</v>
      </c>
      <c r="Q1377" s="291">
        <v>1700</v>
      </c>
    </row>
    <row r="1378" spans="2:17" x14ac:dyDescent="0.25">
      <c r="B1378" s="2004"/>
      <c r="C1378" s="2200"/>
      <c r="D1378" s="2200"/>
      <c r="E1378" s="2209"/>
      <c r="F1378" s="2206"/>
      <c r="G1378" s="2206"/>
      <c r="H1378" s="2206"/>
      <c r="I1378" s="2206"/>
      <c r="J1378" s="2206"/>
      <c r="K1378" s="692" t="s">
        <v>1991</v>
      </c>
      <c r="L1378" s="291" t="s">
        <v>40</v>
      </c>
      <c r="M1378" s="291">
        <v>638</v>
      </c>
      <c r="N1378" s="291">
        <v>450</v>
      </c>
      <c r="O1378" s="291">
        <v>490</v>
      </c>
      <c r="P1378" s="291">
        <v>680</v>
      </c>
      <c r="Q1378" s="291">
        <v>700</v>
      </c>
    </row>
    <row r="1379" spans="2:17" ht="30" x14ac:dyDescent="0.25">
      <c r="B1379" s="2004"/>
      <c r="C1379" s="2200"/>
      <c r="D1379" s="2200"/>
      <c r="E1379" s="2209"/>
      <c r="F1379" s="2206"/>
      <c r="G1379" s="2206"/>
      <c r="H1379" s="2206"/>
      <c r="I1379" s="2206"/>
      <c r="J1379" s="2206"/>
      <c r="K1379" s="692" t="s">
        <v>1992</v>
      </c>
      <c r="L1379" s="291" t="s">
        <v>35</v>
      </c>
      <c r="M1379" s="278">
        <v>0.3</v>
      </c>
      <c r="N1379" s="278">
        <v>0.1</v>
      </c>
      <c r="O1379" s="278">
        <v>0.15</v>
      </c>
      <c r="P1379" s="278">
        <v>0.35</v>
      </c>
      <c r="Q1379" s="278">
        <v>0.4</v>
      </c>
    </row>
    <row r="1380" spans="2:17" ht="45" x14ac:dyDescent="0.25">
      <c r="B1380" s="2004"/>
      <c r="C1380" s="2200"/>
      <c r="D1380" s="2200"/>
      <c r="E1380" s="2209"/>
      <c r="F1380" s="2206"/>
      <c r="G1380" s="2206"/>
      <c r="H1380" s="2206"/>
      <c r="I1380" s="2206"/>
      <c r="J1380" s="2206"/>
      <c r="K1380" s="692" t="s">
        <v>1993</v>
      </c>
      <c r="L1380" s="291" t="s">
        <v>40</v>
      </c>
      <c r="M1380" s="291">
        <v>1600</v>
      </c>
      <c r="N1380" s="291">
        <v>450</v>
      </c>
      <c r="O1380" s="291">
        <v>400</v>
      </c>
      <c r="P1380" s="291">
        <v>750</v>
      </c>
      <c r="Q1380" s="291">
        <v>850</v>
      </c>
    </row>
    <row r="1381" spans="2:17" ht="45" x14ac:dyDescent="0.25">
      <c r="B1381" s="2004"/>
      <c r="C1381" s="2200"/>
      <c r="D1381" s="2200"/>
      <c r="E1381" s="2209"/>
      <c r="F1381" s="2206"/>
      <c r="G1381" s="2206"/>
      <c r="H1381" s="2206"/>
      <c r="I1381" s="2206"/>
      <c r="J1381" s="2206"/>
      <c r="K1381" s="692" t="s">
        <v>1996</v>
      </c>
      <c r="L1381" s="291" t="s">
        <v>35</v>
      </c>
      <c r="M1381" s="278">
        <v>0.88</v>
      </c>
      <c r="N1381" s="278">
        <v>0.4</v>
      </c>
      <c r="O1381" s="278">
        <v>0.45</v>
      </c>
      <c r="P1381" s="278">
        <v>0.75</v>
      </c>
      <c r="Q1381" s="278">
        <v>0.8</v>
      </c>
    </row>
    <row r="1382" spans="2:17" ht="45" x14ac:dyDescent="0.25">
      <c r="B1382" s="2005"/>
      <c r="C1382" s="2201"/>
      <c r="D1382" s="2201"/>
      <c r="E1382" s="2210"/>
      <c r="F1382" s="2206"/>
      <c r="G1382" s="2206"/>
      <c r="H1382" s="2206"/>
      <c r="I1382" s="2206"/>
      <c r="J1382" s="2206"/>
      <c r="K1382" s="1208" t="s">
        <v>2000</v>
      </c>
      <c r="L1382" s="1209" t="s">
        <v>35</v>
      </c>
      <c r="M1382" s="1207">
        <v>0.9</v>
      </c>
      <c r="N1382" s="1207">
        <v>0.4</v>
      </c>
      <c r="O1382" s="1207">
        <v>0.45</v>
      </c>
      <c r="P1382" s="1207">
        <v>0.75</v>
      </c>
      <c r="Q1382" s="1207">
        <v>0.8</v>
      </c>
    </row>
    <row r="1383" spans="2:17" ht="60" x14ac:dyDescent="0.25">
      <c r="B1383" s="2003"/>
      <c r="C1383" s="2199" t="s">
        <v>9</v>
      </c>
      <c r="D1383" s="2202"/>
      <c r="E1383" s="2016" t="s">
        <v>2001</v>
      </c>
      <c r="F1383" s="2205">
        <v>19300.900000000001</v>
      </c>
      <c r="G1383" s="2205">
        <v>19780.7</v>
      </c>
      <c r="H1383" s="2205">
        <v>19215.599999999999</v>
      </c>
      <c r="I1383" s="2205">
        <v>19797.900000000001</v>
      </c>
      <c r="J1383" s="2205">
        <v>19836.5</v>
      </c>
      <c r="K1383" s="692" t="s">
        <v>2002</v>
      </c>
      <c r="L1383" s="291" t="s">
        <v>1530</v>
      </c>
      <c r="M1383" s="1210">
        <v>292974.95</v>
      </c>
      <c r="N1383" s="1210">
        <v>292974.95</v>
      </c>
      <c r="O1383" s="1210">
        <v>292974.95</v>
      </c>
      <c r="P1383" s="1210">
        <v>292974.95</v>
      </c>
      <c r="Q1383" s="1210">
        <v>292974.95</v>
      </c>
    </row>
    <row r="1384" spans="2:17" x14ac:dyDescent="0.25">
      <c r="B1384" s="2004"/>
      <c r="C1384" s="2200"/>
      <c r="D1384" s="2203"/>
      <c r="E1384" s="2017"/>
      <c r="F1384" s="2206"/>
      <c r="G1384" s="2206"/>
      <c r="H1384" s="2206"/>
      <c r="I1384" s="2206"/>
      <c r="J1384" s="2206"/>
      <c r="K1384" s="692" t="s">
        <v>1991</v>
      </c>
      <c r="L1384" s="1211" t="s">
        <v>40</v>
      </c>
      <c r="M1384" s="1211">
        <v>1515</v>
      </c>
      <c r="N1384" s="1211">
        <v>344</v>
      </c>
      <c r="O1384" s="1211">
        <v>350</v>
      </c>
      <c r="P1384" s="1211">
        <v>350</v>
      </c>
      <c r="Q1384" s="1211">
        <v>350</v>
      </c>
    </row>
    <row r="1385" spans="2:17" ht="30" x14ac:dyDescent="0.25">
      <c r="B1385" s="2004"/>
      <c r="C1385" s="2200"/>
      <c r="D1385" s="2203"/>
      <c r="E1385" s="2017"/>
      <c r="F1385" s="2206"/>
      <c r="G1385" s="2206"/>
      <c r="H1385" s="2206"/>
      <c r="I1385" s="2206"/>
      <c r="J1385" s="2206"/>
      <c r="K1385" s="692" t="s">
        <v>1992</v>
      </c>
      <c r="L1385" s="291" t="s">
        <v>35</v>
      </c>
      <c r="M1385" s="278">
        <v>0.7</v>
      </c>
      <c r="N1385" s="278">
        <v>0.33</v>
      </c>
      <c r="O1385" s="278">
        <v>0.38500000000000001</v>
      </c>
      <c r="P1385" s="278">
        <v>0.38500000000000001</v>
      </c>
      <c r="Q1385" s="278">
        <v>0.38500000000000001</v>
      </c>
    </row>
    <row r="1386" spans="2:17" ht="45" x14ac:dyDescent="0.25">
      <c r="B1386" s="2004"/>
      <c r="C1386" s="2200"/>
      <c r="D1386" s="2203"/>
      <c r="E1386" s="2017"/>
      <c r="F1386" s="2206"/>
      <c r="G1386" s="2206"/>
      <c r="H1386" s="2206"/>
      <c r="I1386" s="2206"/>
      <c r="J1386" s="2206"/>
      <c r="K1386" s="692" t="s">
        <v>2003</v>
      </c>
      <c r="L1386" s="291" t="s">
        <v>35</v>
      </c>
      <c r="M1386" s="278">
        <v>0.33</v>
      </c>
      <c r="N1386" s="278">
        <v>0.39</v>
      </c>
      <c r="O1386" s="278">
        <v>0.42</v>
      </c>
      <c r="P1386" s="278">
        <v>0.45</v>
      </c>
      <c r="Q1386" s="278">
        <v>0.49</v>
      </c>
    </row>
    <row r="1387" spans="2:17" ht="45" x14ac:dyDescent="0.25">
      <c r="B1387" s="2004"/>
      <c r="C1387" s="2200"/>
      <c r="D1387" s="2203"/>
      <c r="E1387" s="2017"/>
      <c r="F1387" s="2206"/>
      <c r="G1387" s="2206"/>
      <c r="H1387" s="2206"/>
      <c r="I1387" s="2206"/>
      <c r="J1387" s="2206"/>
      <c r="K1387" s="692" t="s">
        <v>2004</v>
      </c>
      <c r="L1387" s="291" t="s">
        <v>35</v>
      </c>
      <c r="M1387" s="278">
        <v>0.5</v>
      </c>
      <c r="N1387" s="278">
        <v>0.48</v>
      </c>
      <c r="O1387" s="278">
        <v>0.45</v>
      </c>
      <c r="P1387" s="278">
        <v>0.46</v>
      </c>
      <c r="Q1387" s="278">
        <v>0.45</v>
      </c>
    </row>
    <row r="1388" spans="2:17" ht="45" x14ac:dyDescent="0.25">
      <c r="B1388" s="2004"/>
      <c r="C1388" s="2200"/>
      <c r="D1388" s="2203"/>
      <c r="E1388" s="2017"/>
      <c r="F1388" s="2206"/>
      <c r="G1388" s="2206"/>
      <c r="H1388" s="2206"/>
      <c r="I1388" s="2206"/>
      <c r="J1388" s="2206"/>
      <c r="K1388" s="666" t="s">
        <v>2005</v>
      </c>
      <c r="L1388" s="291" t="s">
        <v>35</v>
      </c>
      <c r="M1388" s="278">
        <v>0.94299999999999995</v>
      </c>
      <c r="N1388" s="278">
        <v>0.94299999999999995</v>
      </c>
      <c r="O1388" s="278">
        <v>0.94699999999999995</v>
      </c>
      <c r="P1388" s="278">
        <v>0.94699999999999995</v>
      </c>
      <c r="Q1388" s="278">
        <v>0.94699999999999995</v>
      </c>
    </row>
    <row r="1389" spans="2:17" ht="45" x14ac:dyDescent="0.25">
      <c r="B1389" s="2005"/>
      <c r="C1389" s="2201"/>
      <c r="D1389" s="2204"/>
      <c r="E1389" s="2018"/>
      <c r="F1389" s="2207"/>
      <c r="G1389" s="2207"/>
      <c r="H1389" s="2207"/>
      <c r="I1389" s="2207"/>
      <c r="J1389" s="2207"/>
      <c r="K1389" s="666" t="s">
        <v>1997</v>
      </c>
      <c r="L1389" s="291" t="s">
        <v>35</v>
      </c>
      <c r="M1389" s="1207">
        <v>0.93300000000000005</v>
      </c>
      <c r="N1389" s="278">
        <v>0.93400000000000005</v>
      </c>
      <c r="O1389" s="1207">
        <v>0.93500000000000005</v>
      </c>
      <c r="P1389" s="1207">
        <v>0.93500000000000005</v>
      </c>
      <c r="Q1389" s="1207">
        <v>0.93700000000000006</v>
      </c>
    </row>
    <row r="1390" spans="2:17" x14ac:dyDescent="0.25">
      <c r="B1390" s="2006"/>
      <c r="C1390" s="2022" t="s">
        <v>11</v>
      </c>
      <c r="D1390" s="2023"/>
      <c r="E1390" s="2024" t="s">
        <v>2006</v>
      </c>
      <c r="F1390" s="2025">
        <v>3088.1</v>
      </c>
      <c r="G1390" s="2025">
        <v>3164.9</v>
      </c>
      <c r="H1390" s="2025">
        <v>4258.5</v>
      </c>
      <c r="I1390" s="2025">
        <v>3167.7</v>
      </c>
      <c r="J1390" s="2025">
        <v>3173.8</v>
      </c>
      <c r="K1390" s="666" t="s">
        <v>1991</v>
      </c>
      <c r="L1390" s="1212" t="s">
        <v>40</v>
      </c>
      <c r="M1390" s="1213">
        <v>57</v>
      </c>
      <c r="N1390" s="1213">
        <v>30</v>
      </c>
      <c r="O1390" s="1213">
        <v>40</v>
      </c>
      <c r="P1390" s="1213">
        <v>60</v>
      </c>
      <c r="Q1390" s="1213">
        <v>64</v>
      </c>
    </row>
    <row r="1391" spans="2:17" ht="30" x14ac:dyDescent="0.25">
      <c r="B1391" s="2006"/>
      <c r="C1391" s="2022"/>
      <c r="D1391" s="2023"/>
      <c r="E1391" s="2024"/>
      <c r="F1391" s="2025"/>
      <c r="G1391" s="2025"/>
      <c r="H1391" s="2025"/>
      <c r="I1391" s="2025"/>
      <c r="J1391" s="2025"/>
      <c r="K1391" s="666" t="s">
        <v>2007</v>
      </c>
      <c r="L1391" s="1213" t="s">
        <v>35</v>
      </c>
      <c r="M1391" s="1214">
        <v>0.64</v>
      </c>
      <c r="N1391" s="1214">
        <v>0.35</v>
      </c>
      <c r="O1391" s="1214">
        <v>0.5</v>
      </c>
      <c r="P1391" s="1214">
        <v>0.66</v>
      </c>
      <c r="Q1391" s="1214">
        <v>0.7</v>
      </c>
    </row>
    <row r="1392" spans="2:17" ht="45" x14ac:dyDescent="0.25">
      <c r="B1392" s="2006"/>
      <c r="C1392" s="2022"/>
      <c r="D1392" s="2023"/>
      <c r="E1392" s="2024"/>
      <c r="F1392" s="2025"/>
      <c r="G1392" s="2025"/>
      <c r="H1392" s="2025"/>
      <c r="I1392" s="2025"/>
      <c r="J1392" s="2025"/>
      <c r="K1392" s="666" t="s">
        <v>1996</v>
      </c>
      <c r="L1392" s="1213" t="s">
        <v>35</v>
      </c>
      <c r="M1392" s="1215">
        <v>1</v>
      </c>
      <c r="N1392" s="1215">
        <v>0.9</v>
      </c>
      <c r="O1392" s="1215">
        <v>0.91</v>
      </c>
      <c r="P1392" s="1215">
        <v>0.93</v>
      </c>
      <c r="Q1392" s="1215">
        <v>0.95</v>
      </c>
    </row>
    <row r="1393" spans="2:17" ht="45" x14ac:dyDescent="0.25">
      <c r="B1393" s="2006"/>
      <c r="C1393" s="2022"/>
      <c r="D1393" s="2023"/>
      <c r="E1393" s="2024"/>
      <c r="F1393" s="2025"/>
      <c r="G1393" s="2025"/>
      <c r="H1393" s="2025"/>
      <c r="I1393" s="2025"/>
      <c r="J1393" s="2025"/>
      <c r="K1393" s="666" t="s">
        <v>1997</v>
      </c>
      <c r="L1393" s="1213" t="s">
        <v>35</v>
      </c>
      <c r="M1393" s="1215">
        <v>1</v>
      </c>
      <c r="N1393" s="1215">
        <v>0.88</v>
      </c>
      <c r="O1393" s="1215">
        <v>0.9</v>
      </c>
      <c r="P1393" s="1215">
        <v>0.92</v>
      </c>
      <c r="Q1393" s="1215">
        <v>0.94</v>
      </c>
    </row>
    <row r="1394" spans="2:17" ht="45" x14ac:dyDescent="0.25">
      <c r="B1394" s="2006"/>
      <c r="C1394" s="2022"/>
      <c r="D1394" s="2023"/>
      <c r="E1394" s="2024"/>
      <c r="F1394" s="2025"/>
      <c r="G1394" s="2025"/>
      <c r="H1394" s="2025"/>
      <c r="I1394" s="2025"/>
      <c r="J1394" s="2025"/>
      <c r="K1394" s="666" t="s">
        <v>2004</v>
      </c>
      <c r="L1394" s="1213" t="s">
        <v>35</v>
      </c>
      <c r="M1394" s="1215">
        <v>0.2</v>
      </c>
      <c r="N1394" s="1215">
        <v>0.15</v>
      </c>
      <c r="O1394" s="1215">
        <v>0.1</v>
      </c>
      <c r="P1394" s="1215">
        <v>0.1</v>
      </c>
      <c r="Q1394" s="1215">
        <v>0.05</v>
      </c>
    </row>
    <row r="1395" spans="2:17" ht="73.5" x14ac:dyDescent="0.25">
      <c r="B1395" s="1216" t="s">
        <v>508</v>
      </c>
      <c r="C1395" s="1217"/>
      <c r="D1395" s="1217"/>
      <c r="E1395" s="1204" t="s">
        <v>2008</v>
      </c>
      <c r="F1395" s="1205">
        <f>F1396+F1405+F1412+F1426+F1437+F1430+F1443+F1449</f>
        <v>131631.99999999997</v>
      </c>
      <c r="G1395" s="1205">
        <f t="shared" ref="G1395:J1395" si="146">G1396+G1405+G1412+G1426+G1437+G1430+G1443+G1449</f>
        <v>134904.19999999998</v>
      </c>
      <c r="H1395" s="1205">
        <f t="shared" si="146"/>
        <v>135032.70000000001</v>
      </c>
      <c r="I1395" s="1205">
        <f t="shared" si="146"/>
        <v>135021.9</v>
      </c>
      <c r="J1395" s="1205">
        <f t="shared" si="146"/>
        <v>135285.1</v>
      </c>
      <c r="K1395" s="692" t="s">
        <v>2009</v>
      </c>
      <c r="L1395" s="1218" t="s">
        <v>274</v>
      </c>
      <c r="M1395" s="1218">
        <v>28</v>
      </c>
      <c r="N1395" s="1218" t="s">
        <v>2010</v>
      </c>
      <c r="O1395" s="1218" t="s">
        <v>2010</v>
      </c>
      <c r="P1395" s="1218" t="s">
        <v>2010</v>
      </c>
      <c r="Q1395" s="1218" t="s">
        <v>2010</v>
      </c>
    </row>
    <row r="1396" spans="2:17" ht="45" x14ac:dyDescent="0.25">
      <c r="B1396" s="1988"/>
      <c r="C1396" s="2007" t="s">
        <v>5</v>
      </c>
      <c r="D1396" s="2013"/>
      <c r="E1396" s="2016" t="s">
        <v>2011</v>
      </c>
      <c r="F1396" s="2019">
        <v>11966.5</v>
      </c>
      <c r="G1396" s="2019">
        <v>12264</v>
      </c>
      <c r="H1396" s="2019">
        <v>11781.4</v>
      </c>
      <c r="I1396" s="2019">
        <v>12274.7</v>
      </c>
      <c r="J1396" s="2019">
        <v>12298.6</v>
      </c>
      <c r="K1396" s="692" t="s">
        <v>2012</v>
      </c>
      <c r="L1396" s="1218" t="s">
        <v>274</v>
      </c>
      <c r="M1396" s="1218">
        <v>77</v>
      </c>
      <c r="N1396" s="1218" t="s">
        <v>2010</v>
      </c>
      <c r="O1396" s="1218" t="s">
        <v>2010</v>
      </c>
      <c r="P1396" s="1218" t="s">
        <v>2010</v>
      </c>
      <c r="Q1396" s="1218" t="s">
        <v>2010</v>
      </c>
    </row>
    <row r="1397" spans="2:17" x14ac:dyDescent="0.25">
      <c r="B1397" s="1989"/>
      <c r="C1397" s="2008"/>
      <c r="D1397" s="2014"/>
      <c r="E1397" s="2017"/>
      <c r="F1397" s="2020"/>
      <c r="G1397" s="2020"/>
      <c r="H1397" s="2020"/>
      <c r="I1397" s="2020"/>
      <c r="J1397" s="2020"/>
      <c r="K1397" s="692" t="s">
        <v>2013</v>
      </c>
      <c r="L1397" s="291" t="s">
        <v>40</v>
      </c>
      <c r="M1397" s="1218">
        <v>1086</v>
      </c>
      <c r="N1397" s="1218">
        <v>880</v>
      </c>
      <c r="O1397" s="1218">
        <v>780</v>
      </c>
      <c r="P1397" s="1218">
        <v>700</v>
      </c>
      <c r="Q1397" s="1218">
        <v>700</v>
      </c>
    </row>
    <row r="1398" spans="2:17" ht="30" x14ac:dyDescent="0.25">
      <c r="B1398" s="1989"/>
      <c r="C1398" s="2008"/>
      <c r="D1398" s="2014"/>
      <c r="E1398" s="2017"/>
      <c r="F1398" s="2020"/>
      <c r="G1398" s="2020"/>
      <c r="H1398" s="2020"/>
      <c r="I1398" s="2020"/>
      <c r="J1398" s="2020"/>
      <c r="K1398" s="692" t="s">
        <v>2014</v>
      </c>
      <c r="L1398" s="291" t="s">
        <v>274</v>
      </c>
      <c r="M1398" s="1218">
        <v>594.4</v>
      </c>
      <c r="N1398" s="1218" t="s">
        <v>2010</v>
      </c>
      <c r="O1398" s="1218" t="s">
        <v>2010</v>
      </c>
      <c r="P1398" s="1218" t="s">
        <v>2010</v>
      </c>
      <c r="Q1398" s="1218" t="s">
        <v>2010</v>
      </c>
    </row>
    <row r="1399" spans="2:17" ht="75" x14ac:dyDescent="0.25">
      <c r="B1399" s="1989"/>
      <c r="C1399" s="2008"/>
      <c r="D1399" s="2014"/>
      <c r="E1399" s="2017"/>
      <c r="F1399" s="2020"/>
      <c r="G1399" s="2020"/>
      <c r="H1399" s="2020"/>
      <c r="I1399" s="2020"/>
      <c r="J1399" s="2020"/>
      <c r="K1399" s="692" t="s">
        <v>2015</v>
      </c>
      <c r="L1399" s="291" t="s">
        <v>274</v>
      </c>
      <c r="M1399" s="1218">
        <v>169.9</v>
      </c>
      <c r="N1399" s="1218" t="s">
        <v>2010</v>
      </c>
      <c r="O1399" s="1218" t="s">
        <v>2010</v>
      </c>
      <c r="P1399" s="1218" t="s">
        <v>2010</v>
      </c>
      <c r="Q1399" s="1218" t="s">
        <v>2010</v>
      </c>
    </row>
    <row r="1400" spans="2:17" ht="75" x14ac:dyDescent="0.25">
      <c r="B1400" s="1989"/>
      <c r="C1400" s="2008"/>
      <c r="D1400" s="2014"/>
      <c r="E1400" s="2017"/>
      <c r="F1400" s="2020"/>
      <c r="G1400" s="2020"/>
      <c r="H1400" s="2020"/>
      <c r="I1400" s="2020"/>
      <c r="J1400" s="2020"/>
      <c r="K1400" s="692" t="s">
        <v>2016</v>
      </c>
      <c r="L1400" s="291" t="s">
        <v>274</v>
      </c>
      <c r="M1400" s="1218">
        <v>82.4</v>
      </c>
      <c r="N1400" s="1218" t="s">
        <v>2010</v>
      </c>
      <c r="O1400" s="1218" t="s">
        <v>2010</v>
      </c>
      <c r="P1400" s="1218" t="s">
        <v>2010</v>
      </c>
      <c r="Q1400" s="1218" t="s">
        <v>2010</v>
      </c>
    </row>
    <row r="1401" spans="2:17" ht="45" x14ac:dyDescent="0.25">
      <c r="B1401" s="1989"/>
      <c r="C1401" s="2008"/>
      <c r="D1401" s="2014"/>
      <c r="E1401" s="2017"/>
      <c r="F1401" s="2020"/>
      <c r="G1401" s="2020"/>
      <c r="H1401" s="2020"/>
      <c r="I1401" s="2020"/>
      <c r="J1401" s="2020"/>
      <c r="K1401" s="692" t="s">
        <v>2017</v>
      </c>
      <c r="L1401" s="291" t="s">
        <v>35</v>
      </c>
      <c r="M1401" s="1219">
        <v>0.7</v>
      </c>
      <c r="N1401" s="1219" t="s">
        <v>2018</v>
      </c>
      <c r="O1401" s="1219" t="s">
        <v>2018</v>
      </c>
      <c r="P1401" s="1219" t="s">
        <v>2018</v>
      </c>
      <c r="Q1401" s="1219" t="s">
        <v>2018</v>
      </c>
    </row>
    <row r="1402" spans="2:17" ht="45" x14ac:dyDescent="0.25">
      <c r="B1402" s="1989"/>
      <c r="C1402" s="2008"/>
      <c r="D1402" s="2014"/>
      <c r="E1402" s="2017"/>
      <c r="F1402" s="2020"/>
      <c r="G1402" s="2020"/>
      <c r="H1402" s="2020"/>
      <c r="I1402" s="2020"/>
      <c r="J1402" s="2020"/>
      <c r="K1402" s="692" t="s">
        <v>2019</v>
      </c>
      <c r="L1402" s="291" t="s">
        <v>35</v>
      </c>
      <c r="M1402" s="1219">
        <v>0.7</v>
      </c>
      <c r="N1402" s="1219" t="s">
        <v>2018</v>
      </c>
      <c r="O1402" s="1219" t="s">
        <v>2018</v>
      </c>
      <c r="P1402" s="1219" t="s">
        <v>2018</v>
      </c>
      <c r="Q1402" s="1219" t="s">
        <v>2018</v>
      </c>
    </row>
    <row r="1403" spans="2:17" ht="45" x14ac:dyDescent="0.25">
      <c r="B1403" s="1989"/>
      <c r="C1403" s="2008"/>
      <c r="D1403" s="2014"/>
      <c r="E1403" s="2017"/>
      <c r="F1403" s="2020"/>
      <c r="G1403" s="2020"/>
      <c r="H1403" s="2020"/>
      <c r="I1403" s="2020"/>
      <c r="J1403" s="2020"/>
      <c r="K1403" s="666" t="s">
        <v>2020</v>
      </c>
      <c r="L1403" s="291" t="s">
        <v>35</v>
      </c>
      <c r="M1403" s="1220">
        <v>0.872</v>
      </c>
      <c r="N1403" s="1220">
        <v>0.81</v>
      </c>
      <c r="O1403" s="1220">
        <v>0.81</v>
      </c>
      <c r="P1403" s="1220">
        <v>0.8</v>
      </c>
      <c r="Q1403" s="1220">
        <v>0.8</v>
      </c>
    </row>
    <row r="1404" spans="2:17" ht="45" x14ac:dyDescent="0.25">
      <c r="B1404" s="1990"/>
      <c r="C1404" s="2009"/>
      <c r="D1404" s="2015"/>
      <c r="E1404" s="2018"/>
      <c r="F1404" s="2021"/>
      <c r="G1404" s="2021"/>
      <c r="H1404" s="2021"/>
      <c r="I1404" s="2021"/>
      <c r="J1404" s="2021"/>
      <c r="K1404" s="666" t="s">
        <v>1997</v>
      </c>
      <c r="L1404" s="291" t="s">
        <v>35</v>
      </c>
      <c r="M1404" s="1220">
        <v>0.92900000000000005</v>
      </c>
      <c r="N1404" s="1220">
        <v>0.9</v>
      </c>
      <c r="O1404" s="1220">
        <v>0.89</v>
      </c>
      <c r="P1404" s="1220">
        <v>0.88</v>
      </c>
      <c r="Q1404" s="1220">
        <v>0.87</v>
      </c>
    </row>
    <row r="1405" spans="2:17" ht="30" x14ac:dyDescent="0.25">
      <c r="B1405" s="1987"/>
      <c r="C1405" s="2007" t="s">
        <v>7</v>
      </c>
      <c r="D1405" s="2196"/>
      <c r="E1405" s="1986" t="s">
        <v>2021</v>
      </c>
      <c r="F1405" s="2197">
        <v>5790.3</v>
      </c>
      <c r="G1405" s="2197">
        <v>5934.2</v>
      </c>
      <c r="H1405" s="2019">
        <v>18721.900000000001</v>
      </c>
      <c r="I1405" s="2197">
        <v>5939.4</v>
      </c>
      <c r="J1405" s="2197">
        <v>5951</v>
      </c>
      <c r="K1405" s="692" t="s">
        <v>2022</v>
      </c>
      <c r="L1405" s="291" t="s">
        <v>40</v>
      </c>
      <c r="M1405" s="1218">
        <v>2</v>
      </c>
      <c r="N1405" s="1218">
        <v>0</v>
      </c>
      <c r="O1405" s="1218">
        <v>0</v>
      </c>
      <c r="P1405" s="1218">
        <v>0</v>
      </c>
      <c r="Q1405" s="1218">
        <v>0</v>
      </c>
    </row>
    <row r="1406" spans="2:17" ht="30" x14ac:dyDescent="0.25">
      <c r="B1406" s="1987"/>
      <c r="C1406" s="2008"/>
      <c r="D1406" s="2196"/>
      <c r="E1406" s="1986"/>
      <c r="F1406" s="2197"/>
      <c r="G1406" s="2197"/>
      <c r="H1406" s="2020"/>
      <c r="I1406" s="2197"/>
      <c r="J1406" s="2197"/>
      <c r="K1406" s="692" t="s">
        <v>2023</v>
      </c>
      <c r="L1406" s="291" t="s">
        <v>40</v>
      </c>
      <c r="M1406" s="1218">
        <v>2158</v>
      </c>
      <c r="N1406" s="1218">
        <v>2100</v>
      </c>
      <c r="O1406" s="1218">
        <v>2050</v>
      </c>
      <c r="P1406" s="1218">
        <v>2000</v>
      </c>
      <c r="Q1406" s="1218">
        <v>1950</v>
      </c>
    </row>
    <row r="1407" spans="2:17" x14ac:dyDescent="0.25">
      <c r="B1407" s="1987"/>
      <c r="C1407" s="2008"/>
      <c r="D1407" s="2196"/>
      <c r="E1407" s="1986"/>
      <c r="F1407" s="2197"/>
      <c r="G1407" s="2197"/>
      <c r="H1407" s="2020"/>
      <c r="I1407" s="2197"/>
      <c r="J1407" s="2197"/>
      <c r="K1407" s="692" t="s">
        <v>1991</v>
      </c>
      <c r="L1407" s="291" t="s">
        <v>40</v>
      </c>
      <c r="M1407" s="1218">
        <v>612</v>
      </c>
      <c r="N1407" s="1218">
        <v>620</v>
      </c>
      <c r="O1407" s="1218">
        <v>650</v>
      </c>
      <c r="P1407" s="1218">
        <v>700</v>
      </c>
      <c r="Q1407" s="1218">
        <v>750</v>
      </c>
    </row>
    <row r="1408" spans="2:17" ht="30" x14ac:dyDescent="0.25">
      <c r="B1408" s="1987"/>
      <c r="C1408" s="2008"/>
      <c r="D1408" s="2196"/>
      <c r="E1408" s="1986"/>
      <c r="F1408" s="2197"/>
      <c r="G1408" s="2197"/>
      <c r="H1408" s="2020"/>
      <c r="I1408" s="2197"/>
      <c r="J1408" s="2197"/>
      <c r="K1408" s="692" t="s">
        <v>2024</v>
      </c>
      <c r="L1408" s="291" t="s">
        <v>40</v>
      </c>
      <c r="M1408" s="1218">
        <v>13525</v>
      </c>
      <c r="N1408" s="1218">
        <v>1350</v>
      </c>
      <c r="O1408" s="1218">
        <v>1365</v>
      </c>
      <c r="P1408" s="1218">
        <v>1378</v>
      </c>
      <c r="Q1408" s="1218">
        <v>13586</v>
      </c>
    </row>
    <row r="1409" spans="2:17" ht="45" x14ac:dyDescent="0.25">
      <c r="B1409" s="1987"/>
      <c r="C1409" s="2008"/>
      <c r="D1409" s="2196"/>
      <c r="E1409" s="1986"/>
      <c r="F1409" s="2197"/>
      <c r="G1409" s="2197"/>
      <c r="H1409" s="2020"/>
      <c r="I1409" s="2197"/>
      <c r="J1409" s="2197"/>
      <c r="K1409" s="692" t="s">
        <v>2004</v>
      </c>
      <c r="L1409" s="1218" t="s">
        <v>35</v>
      </c>
      <c r="M1409" s="1219">
        <v>0.2</v>
      </c>
      <c r="N1409" s="1219">
        <v>0.15</v>
      </c>
      <c r="O1409" s="1219">
        <v>0.13</v>
      </c>
      <c r="P1409" s="1219">
        <v>0.1</v>
      </c>
      <c r="Q1409" s="1219">
        <v>0.08</v>
      </c>
    </row>
    <row r="1410" spans="2:17" ht="45" x14ac:dyDescent="0.25">
      <c r="B1410" s="1987"/>
      <c r="C1410" s="2008"/>
      <c r="D1410" s="2196"/>
      <c r="E1410" s="1986"/>
      <c r="F1410" s="2197"/>
      <c r="G1410" s="2197"/>
      <c r="H1410" s="2020"/>
      <c r="I1410" s="2197"/>
      <c r="J1410" s="2197"/>
      <c r="K1410" s="666" t="s">
        <v>2005</v>
      </c>
      <c r="L1410" s="291" t="s">
        <v>35</v>
      </c>
      <c r="M1410" s="1220">
        <v>0.92600000000000005</v>
      </c>
      <c r="N1410" s="1220">
        <v>0.93</v>
      </c>
      <c r="O1410" s="1220">
        <v>0.94</v>
      </c>
      <c r="P1410" s="1220">
        <v>0.95</v>
      </c>
      <c r="Q1410" s="1220">
        <v>0.96</v>
      </c>
    </row>
    <row r="1411" spans="2:17" ht="45" x14ac:dyDescent="0.25">
      <c r="B1411" s="1987"/>
      <c r="C1411" s="2008"/>
      <c r="D1411" s="2196"/>
      <c r="E1411" s="1986"/>
      <c r="F1411" s="2197"/>
      <c r="G1411" s="2197"/>
      <c r="H1411" s="2020"/>
      <c r="I1411" s="2197"/>
      <c r="J1411" s="2197"/>
      <c r="K1411" s="666" t="s">
        <v>2000</v>
      </c>
      <c r="L1411" s="291" t="s">
        <v>35</v>
      </c>
      <c r="M1411" s="1220">
        <v>0.93200000000000005</v>
      </c>
      <c r="N1411" s="1220">
        <v>0.94</v>
      </c>
      <c r="O1411" s="1220">
        <v>0.95</v>
      </c>
      <c r="P1411" s="1220">
        <v>0.96</v>
      </c>
      <c r="Q1411" s="1220">
        <v>0.97</v>
      </c>
    </row>
    <row r="1412" spans="2:17" x14ac:dyDescent="0.25">
      <c r="B1412" s="2010"/>
      <c r="C1412" s="2008"/>
      <c r="D1412" s="2198"/>
      <c r="E1412" s="1986" t="s">
        <v>2025</v>
      </c>
      <c r="F1412" s="2197">
        <v>11580.5</v>
      </c>
      <c r="G1412" s="2197">
        <v>11868.4</v>
      </c>
      <c r="H1412" s="2020"/>
      <c r="I1412" s="2197">
        <v>11878.8</v>
      </c>
      <c r="J1412" s="2197">
        <v>11901.9</v>
      </c>
      <c r="K1412" s="692" t="s">
        <v>1991</v>
      </c>
      <c r="L1412" s="291" t="s">
        <v>40</v>
      </c>
      <c r="M1412" s="1218">
        <v>470</v>
      </c>
      <c r="N1412" s="1218">
        <v>500</v>
      </c>
      <c r="O1412" s="1218">
        <v>530</v>
      </c>
      <c r="P1412" s="1218">
        <v>550</v>
      </c>
      <c r="Q1412" s="1218">
        <v>650</v>
      </c>
    </row>
    <row r="1413" spans="2:17" ht="30" x14ac:dyDescent="0.25">
      <c r="B1413" s="2010"/>
      <c r="C1413" s="2008"/>
      <c r="D1413" s="2198"/>
      <c r="E1413" s="1986"/>
      <c r="F1413" s="2197"/>
      <c r="G1413" s="2197"/>
      <c r="H1413" s="2020"/>
      <c r="I1413" s="2197"/>
      <c r="J1413" s="2197"/>
      <c r="K1413" s="692" t="s">
        <v>2026</v>
      </c>
      <c r="L1413" s="291" t="s">
        <v>40</v>
      </c>
      <c r="M1413" s="1218">
        <v>1150</v>
      </c>
      <c r="N1413" s="1218">
        <v>1200</v>
      </c>
      <c r="O1413" s="1218">
        <v>1220</v>
      </c>
      <c r="P1413" s="1218">
        <v>1240</v>
      </c>
      <c r="Q1413" s="1218">
        <v>1260</v>
      </c>
    </row>
    <row r="1414" spans="2:17" ht="45" x14ac:dyDescent="0.25">
      <c r="B1414" s="2010"/>
      <c r="C1414" s="2008"/>
      <c r="D1414" s="2198"/>
      <c r="E1414" s="1986"/>
      <c r="F1414" s="2197"/>
      <c r="G1414" s="2197"/>
      <c r="H1414" s="2020"/>
      <c r="I1414" s="2197"/>
      <c r="J1414" s="2197"/>
      <c r="K1414" s="692" t="s">
        <v>2004</v>
      </c>
      <c r="L1414" s="1218" t="s">
        <v>35</v>
      </c>
      <c r="M1414" s="1220">
        <v>0.35</v>
      </c>
      <c r="N1414" s="1220">
        <v>0.3</v>
      </c>
      <c r="O1414" s="1220">
        <v>0.28000000000000003</v>
      </c>
      <c r="P1414" s="1220">
        <v>0.25</v>
      </c>
      <c r="Q1414" s="1220">
        <v>0.22</v>
      </c>
    </row>
    <row r="1415" spans="2:17" ht="30" x14ac:dyDescent="0.25">
      <c r="B1415" s="2010"/>
      <c r="C1415" s="2008"/>
      <c r="D1415" s="2198"/>
      <c r="E1415" s="1986"/>
      <c r="F1415" s="2197"/>
      <c r="G1415" s="2197"/>
      <c r="H1415" s="2020"/>
      <c r="I1415" s="2197"/>
      <c r="J1415" s="2197"/>
      <c r="K1415" s="692" t="s">
        <v>2027</v>
      </c>
      <c r="L1415" s="291" t="s">
        <v>40</v>
      </c>
      <c r="M1415" s="1218">
        <v>22</v>
      </c>
      <c r="N1415" s="1218">
        <v>0</v>
      </c>
      <c r="O1415" s="1218">
        <v>0</v>
      </c>
      <c r="P1415" s="1218">
        <v>0</v>
      </c>
      <c r="Q1415" s="1218">
        <v>0</v>
      </c>
    </row>
    <row r="1416" spans="2:17" ht="45" x14ac:dyDescent="0.25">
      <c r="B1416" s="2010"/>
      <c r="C1416" s="2008"/>
      <c r="D1416" s="2198"/>
      <c r="E1416" s="1986"/>
      <c r="F1416" s="2197"/>
      <c r="G1416" s="2197"/>
      <c r="H1416" s="2020"/>
      <c r="I1416" s="2197"/>
      <c r="J1416" s="2197"/>
      <c r="K1416" s="692" t="s">
        <v>2028</v>
      </c>
      <c r="L1416" s="291" t="s">
        <v>40</v>
      </c>
      <c r="M1416" s="1218">
        <v>2659</v>
      </c>
      <c r="N1416" s="1218">
        <v>2400</v>
      </c>
      <c r="O1416" s="1218">
        <v>2200</v>
      </c>
      <c r="P1416" s="1218">
        <v>2000</v>
      </c>
      <c r="Q1416" s="1218">
        <v>1800</v>
      </c>
    </row>
    <row r="1417" spans="2:17" ht="45" x14ac:dyDescent="0.25">
      <c r="B1417" s="2010"/>
      <c r="C1417" s="2008"/>
      <c r="D1417" s="2198"/>
      <c r="E1417" s="1986"/>
      <c r="F1417" s="2197"/>
      <c r="G1417" s="2197"/>
      <c r="H1417" s="2020"/>
      <c r="I1417" s="2197"/>
      <c r="J1417" s="2197"/>
      <c r="K1417" s="666" t="s">
        <v>2005</v>
      </c>
      <c r="L1417" s="291" t="s">
        <v>35</v>
      </c>
      <c r="M1417" s="1220">
        <v>0.92600000000000005</v>
      </c>
      <c r="N1417" s="1220">
        <v>0.93</v>
      </c>
      <c r="O1417" s="1220">
        <v>0.94</v>
      </c>
      <c r="P1417" s="1220">
        <v>0.95</v>
      </c>
      <c r="Q1417" s="1220">
        <v>0.96</v>
      </c>
    </row>
    <row r="1418" spans="2:17" ht="45" x14ac:dyDescent="0.25">
      <c r="B1418" s="2010"/>
      <c r="C1418" s="2008"/>
      <c r="D1418" s="2198"/>
      <c r="E1418" s="1986"/>
      <c r="F1418" s="2197"/>
      <c r="G1418" s="2197"/>
      <c r="H1418" s="2020"/>
      <c r="I1418" s="2197"/>
      <c r="J1418" s="2197"/>
      <c r="K1418" s="666" t="s">
        <v>2000</v>
      </c>
      <c r="L1418" s="291" t="s">
        <v>35</v>
      </c>
      <c r="M1418" s="1220">
        <v>0.93200000000000005</v>
      </c>
      <c r="N1418" s="1220">
        <v>0.94</v>
      </c>
      <c r="O1418" s="1220">
        <v>0.95</v>
      </c>
      <c r="P1418" s="1220">
        <v>0.96</v>
      </c>
      <c r="Q1418" s="1220">
        <v>0.97</v>
      </c>
    </row>
    <row r="1419" spans="2:17" x14ac:dyDescent="0.25">
      <c r="B1419" s="2010"/>
      <c r="C1419" s="2008"/>
      <c r="D1419" s="2198"/>
      <c r="E1419" s="1986" t="s">
        <v>2029</v>
      </c>
      <c r="F1419" s="2197"/>
      <c r="G1419" s="2197"/>
      <c r="H1419" s="2020"/>
      <c r="I1419" s="2197"/>
      <c r="J1419" s="2197"/>
      <c r="K1419" s="692" t="s">
        <v>1991</v>
      </c>
      <c r="L1419" s="1218" t="s">
        <v>40</v>
      </c>
      <c r="M1419" s="1218">
        <v>78</v>
      </c>
      <c r="N1419" s="1218">
        <v>95</v>
      </c>
      <c r="O1419" s="1218">
        <v>100</v>
      </c>
      <c r="P1419" s="1218">
        <v>100</v>
      </c>
      <c r="Q1419" s="1218">
        <v>110</v>
      </c>
    </row>
    <row r="1420" spans="2:17" ht="30" x14ac:dyDescent="0.25">
      <c r="B1420" s="2010"/>
      <c r="C1420" s="2008"/>
      <c r="D1420" s="2198"/>
      <c r="E1420" s="1986"/>
      <c r="F1420" s="2197"/>
      <c r="G1420" s="2197"/>
      <c r="H1420" s="2020"/>
      <c r="I1420" s="2197"/>
      <c r="J1420" s="2197"/>
      <c r="K1420" s="692" t="s">
        <v>2030</v>
      </c>
      <c r="L1420" s="1218" t="s">
        <v>35</v>
      </c>
      <c r="M1420" s="1220">
        <v>0.05</v>
      </c>
      <c r="N1420" s="1220">
        <v>7.0000000000000007E-2</v>
      </c>
      <c r="O1420" s="1220">
        <v>0.09</v>
      </c>
      <c r="P1420" s="1220">
        <v>0.12</v>
      </c>
      <c r="Q1420" s="1220">
        <v>0.15</v>
      </c>
    </row>
    <row r="1421" spans="2:17" ht="45" x14ac:dyDescent="0.25">
      <c r="B1421" s="2010"/>
      <c r="C1421" s="2008"/>
      <c r="D1421" s="2198"/>
      <c r="E1421" s="1986"/>
      <c r="F1421" s="2197"/>
      <c r="G1421" s="2197"/>
      <c r="H1421" s="2020"/>
      <c r="I1421" s="2197"/>
      <c r="J1421" s="2197"/>
      <c r="K1421" s="692" t="s">
        <v>2004</v>
      </c>
      <c r="L1421" s="1218" t="s">
        <v>35</v>
      </c>
      <c r="M1421" s="1220">
        <v>0.3</v>
      </c>
      <c r="N1421" s="1220">
        <v>0.3</v>
      </c>
      <c r="O1421" s="1220">
        <v>0.3</v>
      </c>
      <c r="P1421" s="1220">
        <v>0.3</v>
      </c>
      <c r="Q1421" s="1220">
        <v>0.3</v>
      </c>
    </row>
    <row r="1422" spans="2:17" ht="30" x14ac:dyDescent="0.25">
      <c r="B1422" s="2010"/>
      <c r="C1422" s="2008"/>
      <c r="D1422" s="2198"/>
      <c r="E1422" s="1986"/>
      <c r="F1422" s="2197"/>
      <c r="G1422" s="2197"/>
      <c r="H1422" s="2020"/>
      <c r="I1422" s="2197"/>
      <c r="J1422" s="2197"/>
      <c r="K1422" s="692" t="s">
        <v>2031</v>
      </c>
      <c r="L1422" s="1218" t="s">
        <v>40</v>
      </c>
      <c r="M1422" s="1218">
        <v>75</v>
      </c>
      <c r="N1422" s="1218">
        <v>70</v>
      </c>
      <c r="O1422" s="1218">
        <v>65</v>
      </c>
      <c r="P1422" s="1218">
        <v>60</v>
      </c>
      <c r="Q1422" s="1218">
        <v>55</v>
      </c>
    </row>
    <row r="1423" spans="2:17" ht="30" x14ac:dyDescent="0.25">
      <c r="B1423" s="2010"/>
      <c r="C1423" s="2008"/>
      <c r="D1423" s="2198"/>
      <c r="E1423" s="1986"/>
      <c r="F1423" s="2197"/>
      <c r="G1423" s="2197"/>
      <c r="H1423" s="2020"/>
      <c r="I1423" s="2197"/>
      <c r="J1423" s="2197"/>
      <c r="K1423" s="692" t="s">
        <v>2032</v>
      </c>
      <c r="L1423" s="1218" t="s">
        <v>40</v>
      </c>
      <c r="M1423" s="1218">
        <v>61</v>
      </c>
      <c r="N1423" s="1218">
        <v>60</v>
      </c>
      <c r="O1423" s="1218">
        <v>58</v>
      </c>
      <c r="P1423" s="1218">
        <v>55</v>
      </c>
      <c r="Q1423" s="1218">
        <v>53</v>
      </c>
    </row>
    <row r="1424" spans="2:17" ht="45" x14ac:dyDescent="0.25">
      <c r="B1424" s="2010"/>
      <c r="C1424" s="2008"/>
      <c r="D1424" s="2198"/>
      <c r="E1424" s="1986"/>
      <c r="F1424" s="2197"/>
      <c r="G1424" s="2197"/>
      <c r="H1424" s="2020"/>
      <c r="I1424" s="2197"/>
      <c r="J1424" s="2197"/>
      <c r="K1424" s="666" t="s">
        <v>2005</v>
      </c>
      <c r="L1424" s="1218" t="s">
        <v>35</v>
      </c>
      <c r="M1424" s="1220">
        <v>0.92600000000000005</v>
      </c>
      <c r="N1424" s="1220">
        <v>0.93</v>
      </c>
      <c r="O1424" s="1220">
        <v>0.94</v>
      </c>
      <c r="P1424" s="1220">
        <v>0.95</v>
      </c>
      <c r="Q1424" s="1220">
        <v>0.96</v>
      </c>
    </row>
    <row r="1425" spans="2:17" ht="45" x14ac:dyDescent="0.25">
      <c r="B1425" s="2010"/>
      <c r="C1425" s="2009"/>
      <c r="D1425" s="2198"/>
      <c r="E1425" s="1986"/>
      <c r="F1425" s="2197"/>
      <c r="G1425" s="2197"/>
      <c r="H1425" s="2021"/>
      <c r="I1425" s="2197"/>
      <c r="J1425" s="2197"/>
      <c r="K1425" s="666" t="s">
        <v>2000</v>
      </c>
      <c r="L1425" s="1218" t="s">
        <v>35</v>
      </c>
      <c r="M1425" s="1220">
        <v>0.93200000000000005</v>
      </c>
      <c r="N1425" s="1220">
        <v>0.94</v>
      </c>
      <c r="O1425" s="1220">
        <v>0.95</v>
      </c>
      <c r="P1425" s="1220">
        <v>0.96</v>
      </c>
      <c r="Q1425" s="1220">
        <v>0.97</v>
      </c>
    </row>
    <row r="1426" spans="2:17" ht="30" x14ac:dyDescent="0.25">
      <c r="B1426" s="1987"/>
      <c r="C1426" s="2195" t="s">
        <v>9</v>
      </c>
      <c r="D1426" s="2013"/>
      <c r="E1426" s="1986" t="s">
        <v>2033</v>
      </c>
      <c r="F1426" s="2197">
        <v>36285.699999999997</v>
      </c>
      <c r="G1426" s="2197">
        <v>37187.699999999997</v>
      </c>
      <c r="H1426" s="2197">
        <v>35858.5</v>
      </c>
      <c r="I1426" s="2197">
        <v>37220.1</v>
      </c>
      <c r="J1426" s="2197">
        <v>37292.699999999997</v>
      </c>
      <c r="K1426" s="692" t="s">
        <v>2034</v>
      </c>
      <c r="L1426" s="1218" t="s">
        <v>40</v>
      </c>
      <c r="M1426" s="1218">
        <v>7.4</v>
      </c>
      <c r="N1426" s="1218">
        <v>7.3</v>
      </c>
      <c r="O1426" s="1218">
        <v>7.2</v>
      </c>
      <c r="P1426" s="1218">
        <v>7.1</v>
      </c>
      <c r="Q1426" s="1218">
        <v>7</v>
      </c>
    </row>
    <row r="1427" spans="2:17" ht="45" x14ac:dyDescent="0.25">
      <c r="B1427" s="1987"/>
      <c r="C1427" s="2195"/>
      <c r="D1427" s="2014"/>
      <c r="E1427" s="1986"/>
      <c r="F1427" s="2197"/>
      <c r="G1427" s="2197"/>
      <c r="H1427" s="2197"/>
      <c r="I1427" s="2197"/>
      <c r="J1427" s="2197"/>
      <c r="K1427" s="692" t="s">
        <v>1996</v>
      </c>
      <c r="L1427" s="1218" t="s">
        <v>35</v>
      </c>
      <c r="M1427" s="1220">
        <v>0.87</v>
      </c>
      <c r="N1427" s="1220">
        <v>0.9</v>
      </c>
      <c r="O1427" s="1220">
        <v>0.92</v>
      </c>
      <c r="P1427" s="1220">
        <v>0.94</v>
      </c>
      <c r="Q1427" s="1220">
        <v>0.96</v>
      </c>
    </row>
    <row r="1428" spans="2:17" ht="45" x14ac:dyDescent="0.25">
      <c r="B1428" s="1987"/>
      <c r="C1428" s="2195"/>
      <c r="D1428" s="2014"/>
      <c r="E1428" s="1986"/>
      <c r="F1428" s="2197"/>
      <c r="G1428" s="2197"/>
      <c r="H1428" s="2197"/>
      <c r="I1428" s="2197"/>
      <c r="J1428" s="2197"/>
      <c r="K1428" s="1199" t="s">
        <v>2000</v>
      </c>
      <c r="L1428" s="1209" t="s">
        <v>35</v>
      </c>
      <c r="M1428" s="1207">
        <v>0.63</v>
      </c>
      <c r="N1428" s="1207">
        <v>0.3</v>
      </c>
      <c r="O1428" s="1207">
        <v>0.28000000000000003</v>
      </c>
      <c r="P1428" s="1207">
        <v>0.45</v>
      </c>
      <c r="Q1428" s="1207">
        <v>0.48</v>
      </c>
    </row>
    <row r="1429" spans="2:17" ht="75" x14ac:dyDescent="0.25">
      <c r="B1429" s="1987"/>
      <c r="C1429" s="2195"/>
      <c r="D1429" s="2015"/>
      <c r="E1429" s="1986"/>
      <c r="F1429" s="2197"/>
      <c r="G1429" s="2197"/>
      <c r="H1429" s="2197"/>
      <c r="I1429" s="2197"/>
      <c r="J1429" s="2197"/>
      <c r="K1429" s="692" t="s">
        <v>2035</v>
      </c>
      <c r="L1429" s="1218" t="s">
        <v>173</v>
      </c>
      <c r="M1429" s="1218">
        <v>58</v>
      </c>
      <c r="N1429" s="1218">
        <v>59</v>
      </c>
      <c r="O1429" s="1218">
        <v>60</v>
      </c>
      <c r="P1429" s="1218">
        <v>61</v>
      </c>
      <c r="Q1429" s="1218">
        <v>62</v>
      </c>
    </row>
    <row r="1430" spans="2:17" x14ac:dyDescent="0.25">
      <c r="B1430" s="1987"/>
      <c r="C1430" s="2195" t="s">
        <v>11</v>
      </c>
      <c r="D1430" s="2196"/>
      <c r="E1430" s="1986" t="s">
        <v>2036</v>
      </c>
      <c r="F1430" s="2197">
        <v>31267.4</v>
      </c>
      <c r="G1430" s="2197">
        <v>32044.7</v>
      </c>
      <c r="H1430" s="2197">
        <v>30997.1</v>
      </c>
      <c r="I1430" s="2197">
        <v>32072.6</v>
      </c>
      <c r="J1430" s="2197">
        <v>32135.200000000001</v>
      </c>
      <c r="K1430" s="692" t="s">
        <v>1991</v>
      </c>
      <c r="L1430" s="1218" t="s">
        <v>40</v>
      </c>
      <c r="M1430" s="1218">
        <v>2271</v>
      </c>
      <c r="N1430" s="1218">
        <v>850</v>
      </c>
      <c r="O1430" s="1218">
        <v>855</v>
      </c>
      <c r="P1430" s="1218">
        <v>1535</v>
      </c>
      <c r="Q1430" s="1218">
        <v>1625</v>
      </c>
    </row>
    <row r="1431" spans="2:17" ht="30" x14ac:dyDescent="0.25">
      <c r="B1431" s="1987"/>
      <c r="C1431" s="2195"/>
      <c r="D1431" s="2196"/>
      <c r="E1431" s="1986"/>
      <c r="F1431" s="2197"/>
      <c r="G1431" s="2197"/>
      <c r="H1431" s="2197"/>
      <c r="I1431" s="2197"/>
      <c r="J1431" s="2197"/>
      <c r="K1431" s="692" t="s">
        <v>2026</v>
      </c>
      <c r="L1431" s="1218" t="s">
        <v>35</v>
      </c>
      <c r="M1431" s="1219">
        <v>0.63</v>
      </c>
      <c r="N1431" s="1219">
        <v>0.57999999999999996</v>
      </c>
      <c r="O1431" s="1219">
        <v>0.6</v>
      </c>
      <c r="P1431" s="1219">
        <v>0.61</v>
      </c>
      <c r="Q1431" s="1219">
        <v>0.62</v>
      </c>
    </row>
    <row r="1432" spans="2:17" ht="45" x14ac:dyDescent="0.25">
      <c r="B1432" s="1987"/>
      <c r="C1432" s="2195"/>
      <c r="D1432" s="2196"/>
      <c r="E1432" s="1986"/>
      <c r="F1432" s="2197"/>
      <c r="G1432" s="2197"/>
      <c r="H1432" s="2197"/>
      <c r="I1432" s="2197"/>
      <c r="J1432" s="2197"/>
      <c r="K1432" s="692" t="s">
        <v>2037</v>
      </c>
      <c r="L1432" s="1218" t="s">
        <v>40</v>
      </c>
      <c r="M1432" s="1218">
        <v>14733</v>
      </c>
      <c r="N1432" s="1218">
        <v>5265</v>
      </c>
      <c r="O1432" s="1218">
        <v>5687</v>
      </c>
      <c r="P1432" s="1218">
        <v>9846</v>
      </c>
      <c r="Q1432" s="1218">
        <v>10168</v>
      </c>
    </row>
    <row r="1433" spans="2:17" ht="30" x14ac:dyDescent="0.25">
      <c r="B1433" s="1987"/>
      <c r="C1433" s="2195"/>
      <c r="D1433" s="2196"/>
      <c r="E1433" s="1986"/>
      <c r="F1433" s="2197"/>
      <c r="G1433" s="2197"/>
      <c r="H1433" s="2197"/>
      <c r="I1433" s="2197"/>
      <c r="J1433" s="2197"/>
      <c r="K1433" s="692" t="s">
        <v>2038</v>
      </c>
      <c r="L1433" s="1218" t="s">
        <v>40</v>
      </c>
      <c r="M1433" s="1218">
        <v>9953</v>
      </c>
      <c r="N1433" s="1218">
        <v>4368</v>
      </c>
      <c r="O1433" s="1218">
        <v>4854</v>
      </c>
      <c r="P1433" s="1218">
        <v>6753</v>
      </c>
      <c r="Q1433" s="1218">
        <v>7861</v>
      </c>
    </row>
    <row r="1434" spans="2:17" ht="45" x14ac:dyDescent="0.25">
      <c r="B1434" s="1987"/>
      <c r="C1434" s="2195"/>
      <c r="D1434" s="2196"/>
      <c r="E1434" s="1986"/>
      <c r="F1434" s="2197"/>
      <c r="G1434" s="2197"/>
      <c r="H1434" s="2197"/>
      <c r="I1434" s="2197"/>
      <c r="J1434" s="2197"/>
      <c r="K1434" s="692" t="s">
        <v>1996</v>
      </c>
      <c r="L1434" s="1218" t="s">
        <v>35</v>
      </c>
      <c r="M1434" s="1220">
        <v>0.95299999999999996</v>
      </c>
      <c r="N1434" s="1220">
        <v>0.95399999999999996</v>
      </c>
      <c r="O1434" s="1220">
        <v>0.95499999999999996</v>
      </c>
      <c r="P1434" s="1220">
        <v>0.95599999999999996</v>
      </c>
      <c r="Q1434" s="1220">
        <v>0.95699999999999996</v>
      </c>
    </row>
    <row r="1435" spans="2:17" ht="45" x14ac:dyDescent="0.25">
      <c r="B1435" s="1987"/>
      <c r="C1435" s="2195"/>
      <c r="D1435" s="2196"/>
      <c r="E1435" s="1986"/>
      <c r="F1435" s="2197"/>
      <c r="G1435" s="2197"/>
      <c r="H1435" s="2197"/>
      <c r="I1435" s="2197"/>
      <c r="J1435" s="2197"/>
      <c r="K1435" s="1199" t="s">
        <v>2000</v>
      </c>
      <c r="L1435" s="1218" t="s">
        <v>35</v>
      </c>
      <c r="M1435" s="1207">
        <v>0.93300000000000005</v>
      </c>
      <c r="N1435" s="1207">
        <v>0.93400000000000005</v>
      </c>
      <c r="O1435" s="1207">
        <v>0.93500000000000005</v>
      </c>
      <c r="P1435" s="1207">
        <v>0.93600000000000005</v>
      </c>
      <c r="Q1435" s="1207">
        <v>0.93700000000000006</v>
      </c>
    </row>
    <row r="1436" spans="2:17" ht="45" x14ac:dyDescent="0.25">
      <c r="B1436" s="1987"/>
      <c r="C1436" s="2195"/>
      <c r="D1436" s="2196"/>
      <c r="E1436" s="1986"/>
      <c r="F1436" s="2197"/>
      <c r="G1436" s="2197"/>
      <c r="H1436" s="2197"/>
      <c r="I1436" s="2197"/>
      <c r="J1436" s="2197"/>
      <c r="K1436" s="692" t="s">
        <v>2039</v>
      </c>
      <c r="L1436" s="1218" t="s">
        <v>40</v>
      </c>
      <c r="M1436" s="1218">
        <v>4352</v>
      </c>
      <c r="N1436" s="1218">
        <v>4348</v>
      </c>
      <c r="O1436" s="1218">
        <v>4345</v>
      </c>
      <c r="P1436" s="1218">
        <v>4343</v>
      </c>
      <c r="Q1436" s="1218">
        <v>4340</v>
      </c>
    </row>
    <row r="1437" spans="2:17" x14ac:dyDescent="0.25">
      <c r="B1437" s="1987"/>
      <c r="C1437" s="2195" t="s">
        <v>127</v>
      </c>
      <c r="D1437" s="2196"/>
      <c r="E1437" s="1986" t="s">
        <v>2040</v>
      </c>
      <c r="F1437" s="2197">
        <v>19300.900000000001</v>
      </c>
      <c r="G1437" s="2197">
        <v>19780.7</v>
      </c>
      <c r="H1437" s="2197">
        <v>19686.599999999999</v>
      </c>
      <c r="I1437" s="2197">
        <v>19797.900000000001</v>
      </c>
      <c r="J1437" s="2197">
        <v>19836.5</v>
      </c>
      <c r="K1437" s="692" t="s">
        <v>1991</v>
      </c>
      <c r="L1437" s="1218" t="s">
        <v>279</v>
      </c>
      <c r="M1437" s="1218">
        <v>2828</v>
      </c>
      <c r="N1437" s="1218">
        <v>2800</v>
      </c>
      <c r="O1437" s="1218">
        <v>2700</v>
      </c>
      <c r="P1437" s="1218">
        <v>2600</v>
      </c>
      <c r="Q1437" s="1218">
        <v>2500</v>
      </c>
    </row>
    <row r="1438" spans="2:17" ht="30" x14ac:dyDescent="0.25">
      <c r="B1438" s="1987"/>
      <c r="C1438" s="2195"/>
      <c r="D1438" s="2196"/>
      <c r="E1438" s="1986"/>
      <c r="F1438" s="2197"/>
      <c r="G1438" s="2197"/>
      <c r="H1438" s="2197"/>
      <c r="I1438" s="2197"/>
      <c r="J1438" s="2197"/>
      <c r="K1438" s="692" t="s">
        <v>2007</v>
      </c>
      <c r="L1438" s="1218" t="s">
        <v>35</v>
      </c>
      <c r="M1438" s="1220">
        <v>0.02</v>
      </c>
      <c r="N1438" s="1220">
        <v>2.5000000000000001E-2</v>
      </c>
      <c r="O1438" s="1220">
        <v>2.5999999999999999E-2</v>
      </c>
      <c r="P1438" s="1220">
        <v>2.8000000000000001E-2</v>
      </c>
      <c r="Q1438" s="1220">
        <v>0.3</v>
      </c>
    </row>
    <row r="1439" spans="2:17" ht="45" x14ac:dyDescent="0.25">
      <c r="B1439" s="1987"/>
      <c r="C1439" s="2195"/>
      <c r="D1439" s="2196"/>
      <c r="E1439" s="1986"/>
      <c r="F1439" s="2197"/>
      <c r="G1439" s="2197"/>
      <c r="H1439" s="2197"/>
      <c r="I1439" s="2197"/>
      <c r="J1439" s="2197"/>
      <c r="K1439" s="692" t="s">
        <v>2004</v>
      </c>
      <c r="L1439" s="1218" t="s">
        <v>35</v>
      </c>
      <c r="M1439" s="1220">
        <v>0.62</v>
      </c>
      <c r="N1439" s="1220">
        <v>0.6</v>
      </c>
      <c r="O1439" s="1220">
        <v>0.55000000000000004</v>
      </c>
      <c r="P1439" s="1220">
        <v>0.5</v>
      </c>
      <c r="Q1439" s="1220">
        <v>0.45</v>
      </c>
    </row>
    <row r="1440" spans="2:17" ht="30" x14ac:dyDescent="0.25">
      <c r="B1440" s="1987"/>
      <c r="C1440" s="2195"/>
      <c r="D1440" s="2196"/>
      <c r="E1440" s="1986"/>
      <c r="F1440" s="2197"/>
      <c r="G1440" s="2197"/>
      <c r="H1440" s="2197"/>
      <c r="I1440" s="2197"/>
      <c r="J1440" s="2197"/>
      <c r="K1440" s="692" t="s">
        <v>2041</v>
      </c>
      <c r="L1440" s="1218" t="s">
        <v>35</v>
      </c>
      <c r="M1440" s="1220">
        <v>0.04</v>
      </c>
      <c r="N1440" s="1220">
        <v>0.05</v>
      </c>
      <c r="O1440" s="1220">
        <v>0.03</v>
      </c>
      <c r="P1440" s="1220">
        <v>0.03</v>
      </c>
      <c r="Q1440" s="1220">
        <v>0.02</v>
      </c>
    </row>
    <row r="1441" spans="2:17" ht="45" x14ac:dyDescent="0.25">
      <c r="B1441" s="1987"/>
      <c r="C1441" s="2195"/>
      <c r="D1441" s="2196"/>
      <c r="E1441" s="1986"/>
      <c r="F1441" s="2197"/>
      <c r="G1441" s="2197"/>
      <c r="H1441" s="2197"/>
      <c r="I1441" s="2197"/>
      <c r="J1441" s="2197"/>
      <c r="K1441" s="692" t="s">
        <v>1996</v>
      </c>
      <c r="L1441" s="1218" t="s">
        <v>35</v>
      </c>
      <c r="M1441" s="1220">
        <v>0.93</v>
      </c>
      <c r="N1441" s="1220">
        <v>0.93500000000000005</v>
      </c>
      <c r="O1441" s="1220">
        <v>0.94</v>
      </c>
      <c r="P1441" s="1220">
        <v>0.94499999999999995</v>
      </c>
      <c r="Q1441" s="1220">
        <v>0.95</v>
      </c>
    </row>
    <row r="1442" spans="2:17" ht="45" x14ac:dyDescent="0.25">
      <c r="B1442" s="1987"/>
      <c r="C1442" s="2195"/>
      <c r="D1442" s="2196"/>
      <c r="E1442" s="1986"/>
      <c r="F1442" s="2197"/>
      <c r="G1442" s="2197"/>
      <c r="H1442" s="2197"/>
      <c r="I1442" s="2197"/>
      <c r="J1442" s="2197"/>
      <c r="K1442" s="1199" t="s">
        <v>2000</v>
      </c>
      <c r="L1442" s="1218" t="s">
        <v>35</v>
      </c>
      <c r="M1442" s="1220">
        <v>0.85</v>
      </c>
      <c r="N1442" s="1220">
        <v>0.86</v>
      </c>
      <c r="O1442" s="1220">
        <v>0.87</v>
      </c>
      <c r="P1442" s="1220">
        <v>0.88</v>
      </c>
      <c r="Q1442" s="1220">
        <v>0.89</v>
      </c>
    </row>
    <row r="1443" spans="2:17" x14ac:dyDescent="0.25">
      <c r="B1443" s="1988"/>
      <c r="C1443" s="2007" t="s">
        <v>129</v>
      </c>
      <c r="D1443" s="2013"/>
      <c r="E1443" s="2016" t="s">
        <v>2042</v>
      </c>
      <c r="F1443" s="2019">
        <v>8878.4</v>
      </c>
      <c r="G1443" s="2019">
        <v>9099.1</v>
      </c>
      <c r="H1443" s="2019">
        <v>9117.1</v>
      </c>
      <c r="I1443" s="2019">
        <v>9107</v>
      </c>
      <c r="J1443" s="2019">
        <v>9124.7999999999993</v>
      </c>
      <c r="K1443" s="692" t="s">
        <v>1991</v>
      </c>
      <c r="L1443" s="1218" t="s">
        <v>40</v>
      </c>
      <c r="M1443" s="1218">
        <v>850</v>
      </c>
      <c r="N1443" s="1218">
        <v>50</v>
      </c>
      <c r="O1443" s="1218">
        <v>100</v>
      </c>
      <c r="P1443" s="1218">
        <v>200</v>
      </c>
      <c r="Q1443" s="1218">
        <v>300</v>
      </c>
    </row>
    <row r="1444" spans="2:17" ht="30" x14ac:dyDescent="0.25">
      <c r="B1444" s="1989"/>
      <c r="C1444" s="2008"/>
      <c r="D1444" s="2014"/>
      <c r="E1444" s="2017"/>
      <c r="F1444" s="2020"/>
      <c r="G1444" s="2020"/>
      <c r="H1444" s="2020"/>
      <c r="I1444" s="2020"/>
      <c r="J1444" s="2020"/>
      <c r="K1444" s="692" t="s">
        <v>2007</v>
      </c>
      <c r="L1444" s="1218" t="s">
        <v>35</v>
      </c>
      <c r="M1444" s="1220">
        <v>0.5</v>
      </c>
      <c r="N1444" s="1220">
        <v>0.1</v>
      </c>
      <c r="O1444" s="1220">
        <v>0.15</v>
      </c>
      <c r="P1444" s="1220">
        <v>0.35</v>
      </c>
      <c r="Q1444" s="1220">
        <v>0.4</v>
      </c>
    </row>
    <row r="1445" spans="2:17" ht="30" x14ac:dyDescent="0.25">
      <c r="B1445" s="1989"/>
      <c r="C1445" s="2008"/>
      <c r="D1445" s="2014"/>
      <c r="E1445" s="2017"/>
      <c r="F1445" s="2020"/>
      <c r="G1445" s="2020"/>
      <c r="H1445" s="2020"/>
      <c r="I1445" s="2020"/>
      <c r="J1445" s="2020"/>
      <c r="K1445" s="692" t="s">
        <v>2043</v>
      </c>
      <c r="L1445" s="1218" t="s">
        <v>35</v>
      </c>
      <c r="M1445" s="1220">
        <v>1</v>
      </c>
      <c r="N1445" s="1220">
        <v>0.15</v>
      </c>
      <c r="O1445" s="1220">
        <v>0.25</v>
      </c>
      <c r="P1445" s="1220">
        <v>0.3</v>
      </c>
      <c r="Q1445" s="1220">
        <v>0.35</v>
      </c>
    </row>
    <row r="1446" spans="2:17" ht="45" x14ac:dyDescent="0.25">
      <c r="B1446" s="1989"/>
      <c r="C1446" s="2008"/>
      <c r="D1446" s="2014"/>
      <c r="E1446" s="2017"/>
      <c r="F1446" s="2020"/>
      <c r="G1446" s="2020"/>
      <c r="H1446" s="2020"/>
      <c r="I1446" s="2020"/>
      <c r="J1446" s="2020"/>
      <c r="K1446" s="692" t="s">
        <v>2004</v>
      </c>
      <c r="L1446" s="1218" t="s">
        <v>35</v>
      </c>
      <c r="M1446" s="1220">
        <v>0.86899999999999999</v>
      </c>
      <c r="N1446" s="1220">
        <v>0.15</v>
      </c>
      <c r="O1446" s="1220">
        <v>0.2</v>
      </c>
      <c r="P1446" s="1220">
        <v>0.4</v>
      </c>
      <c r="Q1446" s="1220">
        <v>0.5</v>
      </c>
    </row>
    <row r="1447" spans="2:17" ht="45" x14ac:dyDescent="0.25">
      <c r="B1447" s="1989"/>
      <c r="C1447" s="2008"/>
      <c r="D1447" s="2014"/>
      <c r="E1447" s="2017"/>
      <c r="F1447" s="2020"/>
      <c r="G1447" s="2020"/>
      <c r="H1447" s="2020"/>
      <c r="I1447" s="2020"/>
      <c r="J1447" s="2020"/>
      <c r="K1447" s="692" t="s">
        <v>1996</v>
      </c>
      <c r="L1447" s="1218" t="s">
        <v>35</v>
      </c>
      <c r="M1447" s="1220">
        <v>1</v>
      </c>
      <c r="N1447" s="1220">
        <v>0.97</v>
      </c>
      <c r="O1447" s="1220">
        <v>0.94</v>
      </c>
      <c r="P1447" s="1220">
        <v>0.91</v>
      </c>
      <c r="Q1447" s="1220">
        <v>0.97</v>
      </c>
    </row>
    <row r="1448" spans="2:17" ht="45" x14ac:dyDescent="0.25">
      <c r="B1448" s="1990"/>
      <c r="C1448" s="2009"/>
      <c r="D1448" s="2015"/>
      <c r="E1448" s="2018"/>
      <c r="F1448" s="2021"/>
      <c r="G1448" s="2021"/>
      <c r="H1448" s="2021"/>
      <c r="I1448" s="2021"/>
      <c r="J1448" s="2021"/>
      <c r="K1448" s="1199" t="s">
        <v>2000</v>
      </c>
      <c r="L1448" s="1218" t="s">
        <v>35</v>
      </c>
      <c r="M1448" s="1220">
        <v>1</v>
      </c>
      <c r="N1448" s="1207">
        <v>0.98</v>
      </c>
      <c r="O1448" s="1207">
        <v>0.96</v>
      </c>
      <c r="P1448" s="1220">
        <v>0.94</v>
      </c>
      <c r="Q1448" s="1207">
        <v>0.98</v>
      </c>
    </row>
    <row r="1449" spans="2:17" x14ac:dyDescent="0.25">
      <c r="B1449" s="1988"/>
      <c r="C1449" s="2007" t="s">
        <v>131</v>
      </c>
      <c r="D1449" s="2013"/>
      <c r="E1449" s="2016" t="s">
        <v>2044</v>
      </c>
      <c r="F1449" s="2019">
        <v>6562.3</v>
      </c>
      <c r="G1449" s="2019">
        <v>6725.4</v>
      </c>
      <c r="H1449" s="2019">
        <v>8870.1</v>
      </c>
      <c r="I1449" s="2019">
        <f>6731.3+0.1</f>
        <v>6731.4000000000005</v>
      </c>
      <c r="J1449" s="2019">
        <v>6744.4</v>
      </c>
      <c r="K1449" s="692" t="s">
        <v>1991</v>
      </c>
      <c r="L1449" s="291" t="s">
        <v>40</v>
      </c>
      <c r="M1449" s="1218">
        <v>850</v>
      </c>
      <c r="N1449" s="1218">
        <v>250</v>
      </c>
      <c r="O1449" s="1218">
        <v>270</v>
      </c>
      <c r="P1449" s="1218">
        <v>750</v>
      </c>
      <c r="Q1449" s="1218">
        <v>780</v>
      </c>
    </row>
    <row r="1450" spans="2:17" ht="30" x14ac:dyDescent="0.25">
      <c r="B1450" s="1989"/>
      <c r="C1450" s="2008"/>
      <c r="D1450" s="2014"/>
      <c r="E1450" s="2017"/>
      <c r="F1450" s="2020"/>
      <c r="G1450" s="2020"/>
      <c r="H1450" s="2020"/>
      <c r="I1450" s="2020"/>
      <c r="J1450" s="2020"/>
      <c r="K1450" s="692" t="s">
        <v>2007</v>
      </c>
      <c r="L1450" s="1218" t="s">
        <v>35</v>
      </c>
      <c r="M1450" s="1220">
        <v>0.4</v>
      </c>
      <c r="N1450" s="1220">
        <v>0.1</v>
      </c>
      <c r="O1450" s="1220">
        <v>0.15</v>
      </c>
      <c r="P1450" s="1220">
        <v>0.3</v>
      </c>
      <c r="Q1450" s="1220">
        <v>0.32</v>
      </c>
    </row>
    <row r="1451" spans="2:17" ht="45" x14ac:dyDescent="0.25">
      <c r="B1451" s="1989"/>
      <c r="C1451" s="2008"/>
      <c r="D1451" s="2014"/>
      <c r="E1451" s="2017"/>
      <c r="F1451" s="2020"/>
      <c r="G1451" s="2020"/>
      <c r="H1451" s="2020"/>
      <c r="I1451" s="2020"/>
      <c r="J1451" s="2020"/>
      <c r="K1451" s="692" t="s">
        <v>2004</v>
      </c>
      <c r="L1451" s="1218" t="s">
        <v>35</v>
      </c>
      <c r="M1451" s="1220">
        <v>0.52</v>
      </c>
      <c r="N1451" s="1220">
        <v>0.15</v>
      </c>
      <c r="O1451" s="1220">
        <v>0.16</v>
      </c>
      <c r="P1451" s="1220">
        <v>0.44</v>
      </c>
      <c r="Q1451" s="1220">
        <v>0.46</v>
      </c>
    </row>
    <row r="1452" spans="2:17" ht="60" x14ac:dyDescent="0.25">
      <c r="B1452" s="1989"/>
      <c r="C1452" s="2008"/>
      <c r="D1452" s="2014"/>
      <c r="E1452" s="2017"/>
      <c r="F1452" s="2020"/>
      <c r="G1452" s="2020"/>
      <c r="H1452" s="2020"/>
      <c r="I1452" s="2020"/>
      <c r="J1452" s="2020"/>
      <c r="K1452" s="692" t="s">
        <v>2045</v>
      </c>
      <c r="L1452" s="291" t="s">
        <v>40</v>
      </c>
      <c r="M1452" s="1218">
        <v>428</v>
      </c>
      <c r="N1452" s="1218">
        <v>120</v>
      </c>
      <c r="O1452" s="1218">
        <v>135</v>
      </c>
      <c r="P1452" s="1218">
        <v>300</v>
      </c>
      <c r="Q1452" s="1218">
        <v>310</v>
      </c>
    </row>
    <row r="1453" spans="2:17" ht="45" x14ac:dyDescent="0.25">
      <c r="B1453" s="1989"/>
      <c r="C1453" s="2008"/>
      <c r="D1453" s="2014"/>
      <c r="E1453" s="2017"/>
      <c r="F1453" s="2020"/>
      <c r="G1453" s="2020"/>
      <c r="H1453" s="2020"/>
      <c r="I1453" s="2020"/>
      <c r="J1453" s="2020"/>
      <c r="K1453" s="692" t="s">
        <v>2005</v>
      </c>
      <c r="L1453" s="291" t="s">
        <v>35</v>
      </c>
      <c r="M1453" s="1220">
        <v>0.92500000000000004</v>
      </c>
      <c r="N1453" s="1219">
        <v>0.93</v>
      </c>
      <c r="O1453" s="1220">
        <v>0.93500000000000005</v>
      </c>
      <c r="P1453" s="1219">
        <v>0.94</v>
      </c>
      <c r="Q1453" s="1220">
        <v>0.94499999999999995</v>
      </c>
    </row>
    <row r="1454" spans="2:17" ht="45" x14ac:dyDescent="0.25">
      <c r="B1454" s="1990"/>
      <c r="C1454" s="2009"/>
      <c r="D1454" s="2015"/>
      <c r="E1454" s="2018"/>
      <c r="F1454" s="2021"/>
      <c r="G1454" s="2020"/>
      <c r="H1454" s="2020"/>
      <c r="I1454" s="2020"/>
      <c r="J1454" s="2020"/>
      <c r="K1454" s="1199" t="s">
        <v>2000</v>
      </c>
      <c r="L1454" s="291" t="s">
        <v>35</v>
      </c>
      <c r="M1454" s="1207">
        <v>0.94</v>
      </c>
      <c r="N1454" s="1207">
        <v>0.94499999999999995</v>
      </c>
      <c r="O1454" s="1207">
        <v>0.95</v>
      </c>
      <c r="P1454" s="1207">
        <v>0.95499999999999996</v>
      </c>
      <c r="Q1454" s="1207">
        <v>0.96</v>
      </c>
    </row>
    <row r="1455" spans="2:17" x14ac:dyDescent="0.25">
      <c r="B1455" s="1991" t="s">
        <v>85</v>
      </c>
      <c r="C1455" s="1992"/>
      <c r="D1455" s="1992"/>
      <c r="E1455" s="1993"/>
      <c r="F1455" s="1221">
        <f>F1354+F1368+F1395</f>
        <v>296461.5</v>
      </c>
      <c r="G1455" s="1221">
        <f t="shared" ref="G1455:J1455" si="147">G1354+G1368+G1395</f>
        <v>303831.19999999995</v>
      </c>
      <c r="H1455" s="1221">
        <f t="shared" si="147"/>
        <v>312831.2</v>
      </c>
      <c r="I1455" s="1221">
        <f t="shared" si="147"/>
        <v>304096.19999999995</v>
      </c>
      <c r="J1455" s="1221">
        <f t="shared" si="147"/>
        <v>304688.90000000002</v>
      </c>
      <c r="K1455" s="1222"/>
      <c r="L1455" s="1223"/>
      <c r="M1455" s="1223"/>
      <c r="N1455" s="1223"/>
      <c r="O1455" s="1223"/>
      <c r="P1455" s="1223"/>
      <c r="Q1455" s="1223"/>
    </row>
    <row r="1456" spans="2:17" x14ac:dyDescent="0.25">
      <c r="B1456" s="1969" t="s">
        <v>2046</v>
      </c>
      <c r="C1456" s="1969"/>
      <c r="D1456" s="1969"/>
      <c r="E1456" s="1969"/>
      <c r="F1456" s="1969"/>
      <c r="G1456" s="1969"/>
      <c r="H1456" s="1969"/>
      <c r="I1456" s="1969"/>
      <c r="J1456" s="1969"/>
      <c r="K1456" s="1969"/>
      <c r="L1456" s="1969"/>
      <c r="M1456" s="1969"/>
      <c r="N1456" s="1969"/>
      <c r="O1456" s="1969"/>
      <c r="P1456" s="1969"/>
      <c r="Q1456" s="1969"/>
    </row>
    <row r="1457" spans="2:17" ht="90" x14ac:dyDescent="0.25">
      <c r="B1457" s="680" t="s">
        <v>516</v>
      </c>
      <c r="C1457" s="661"/>
      <c r="D1457" s="661"/>
      <c r="E1457" s="693" t="s">
        <v>2047</v>
      </c>
      <c r="F1457" s="1224">
        <f>SUM(F1458:F1461)</f>
        <v>89787.4</v>
      </c>
      <c r="G1457" s="1224">
        <f t="shared" ref="G1457:J1457" si="148">SUM(G1458:G1461)</f>
        <v>74180.399999999994</v>
      </c>
      <c r="H1457" s="1224">
        <f t="shared" si="148"/>
        <v>35712.300000000003</v>
      </c>
      <c r="I1457" s="1224">
        <f t="shared" si="148"/>
        <v>92163.3</v>
      </c>
      <c r="J1457" s="1224">
        <f t="shared" si="148"/>
        <v>92416.6</v>
      </c>
      <c r="K1457" s="1225" t="s">
        <v>2048</v>
      </c>
      <c r="L1457" s="1226" t="s">
        <v>2049</v>
      </c>
      <c r="M1457" s="1226">
        <v>79.3</v>
      </c>
      <c r="N1457" s="1226">
        <v>80</v>
      </c>
      <c r="O1457" s="1226">
        <v>81</v>
      </c>
      <c r="P1457" s="1226">
        <v>82</v>
      </c>
      <c r="Q1457" s="1226">
        <v>83</v>
      </c>
    </row>
    <row r="1458" spans="2:17" ht="15.75" x14ac:dyDescent="0.25">
      <c r="B1458" s="661"/>
      <c r="C1458" s="661" t="s">
        <v>5</v>
      </c>
      <c r="D1458" s="661"/>
      <c r="E1458" s="424" t="s">
        <v>909</v>
      </c>
      <c r="F1458" s="1227">
        <v>10363.4</v>
      </c>
      <c r="G1458" s="1227">
        <v>6097.31</v>
      </c>
      <c r="H1458" s="1228">
        <f>8694+428.6</f>
        <v>9122.6</v>
      </c>
      <c r="I1458" s="1228">
        <v>9132.5</v>
      </c>
      <c r="J1458" s="1228">
        <v>9182.6</v>
      </c>
      <c r="K1458" s="693" t="s">
        <v>2050</v>
      </c>
      <c r="L1458" s="660" t="s">
        <v>2051</v>
      </c>
      <c r="M1458" s="1086">
        <v>25</v>
      </c>
      <c r="N1458" s="1086">
        <v>25.5</v>
      </c>
      <c r="O1458" s="660">
        <v>26</v>
      </c>
      <c r="P1458" s="660">
        <v>26.5</v>
      </c>
      <c r="Q1458" s="660">
        <v>27</v>
      </c>
    </row>
    <row r="1459" spans="2:17" ht="25.5" x14ac:dyDescent="0.25">
      <c r="B1459" s="1805"/>
      <c r="C1459" s="1805" t="s">
        <v>7</v>
      </c>
      <c r="D1459" s="1805"/>
      <c r="E1459" s="2024" t="s">
        <v>2052</v>
      </c>
      <c r="F1459" s="1837">
        <v>30766.400000000001</v>
      </c>
      <c r="G1459" s="1823">
        <v>42161.74</v>
      </c>
      <c r="H1459" s="2193"/>
      <c r="I1459" s="2193">
        <v>56244.9</v>
      </c>
      <c r="J1459" s="2193">
        <v>56348.1</v>
      </c>
      <c r="K1459" s="1229" t="s">
        <v>2053</v>
      </c>
      <c r="L1459" s="1230" t="s">
        <v>40</v>
      </c>
      <c r="M1459" s="1231"/>
      <c r="N1459" s="1230">
        <v>1</v>
      </c>
      <c r="O1459" s="1230"/>
      <c r="P1459" s="1230"/>
      <c r="Q1459" s="1230"/>
    </row>
    <row r="1460" spans="2:17" ht="25.5" x14ac:dyDescent="0.25">
      <c r="B1460" s="1806"/>
      <c r="C1460" s="1806"/>
      <c r="D1460" s="1806"/>
      <c r="E1460" s="2024"/>
      <c r="F1460" s="1837"/>
      <c r="G1460" s="1824"/>
      <c r="H1460" s="2194"/>
      <c r="I1460" s="2194"/>
      <c r="J1460" s="2194"/>
      <c r="K1460" s="1229" t="s">
        <v>2054</v>
      </c>
      <c r="L1460" s="1230" t="s">
        <v>116</v>
      </c>
      <c r="M1460" s="1231">
        <v>37</v>
      </c>
      <c r="N1460" s="1230">
        <v>9</v>
      </c>
      <c r="O1460" s="1230">
        <v>8</v>
      </c>
      <c r="P1460" s="1230">
        <v>8</v>
      </c>
      <c r="Q1460" s="1230">
        <v>8</v>
      </c>
    </row>
    <row r="1461" spans="2:17" x14ac:dyDescent="0.25">
      <c r="B1461" s="661"/>
      <c r="C1461" s="661" t="s">
        <v>129</v>
      </c>
      <c r="D1461" s="1232"/>
      <c r="E1461" s="424" t="s">
        <v>2055</v>
      </c>
      <c r="F1461" s="1228">
        <v>48657.599999999999</v>
      </c>
      <c r="G1461" s="1233">
        <v>25921.35</v>
      </c>
      <c r="H1461" s="1233">
        <f>24959.3+1630.4</f>
        <v>26589.7</v>
      </c>
      <c r="I1461" s="1233">
        <v>26785.9</v>
      </c>
      <c r="J1461" s="1233">
        <v>26885.9</v>
      </c>
      <c r="K1461" s="1229" t="s">
        <v>2056</v>
      </c>
      <c r="L1461" s="1230" t="s">
        <v>35</v>
      </c>
      <c r="M1461" s="1234"/>
      <c r="N1461" s="1230"/>
      <c r="O1461" s="1230">
        <v>20</v>
      </c>
      <c r="P1461" s="1230">
        <v>20</v>
      </c>
      <c r="Q1461" s="1230">
        <v>20</v>
      </c>
    </row>
    <row r="1462" spans="2:17" ht="103.5" x14ac:dyDescent="0.25">
      <c r="B1462" s="680" t="s">
        <v>467</v>
      </c>
      <c r="C1462" s="661"/>
      <c r="D1462" s="661"/>
      <c r="E1462" s="424" t="s">
        <v>2057</v>
      </c>
      <c r="F1462" s="1224">
        <f>F1463+F1465+F1467</f>
        <v>49702.60815</v>
      </c>
      <c r="G1462" s="1224">
        <f t="shared" ref="G1462:J1462" si="149">G1463+G1465+G1467</f>
        <v>13100</v>
      </c>
      <c r="H1462" s="1224">
        <f t="shared" si="149"/>
        <v>56181.9</v>
      </c>
      <c r="I1462" s="1224">
        <f t="shared" si="149"/>
        <v>2100</v>
      </c>
      <c r="J1462" s="1224">
        <f t="shared" si="149"/>
        <v>2100</v>
      </c>
      <c r="K1462" s="659" t="s">
        <v>2058</v>
      </c>
      <c r="L1462" s="660" t="s">
        <v>35</v>
      </c>
      <c r="M1462" s="1235"/>
      <c r="N1462" s="660">
        <v>44.4</v>
      </c>
      <c r="O1462" s="660"/>
      <c r="P1462" s="660">
        <v>22.2</v>
      </c>
      <c r="Q1462" s="511">
        <v>33.299999999999997</v>
      </c>
    </row>
    <row r="1463" spans="2:17" ht="30" x14ac:dyDescent="0.25">
      <c r="B1463" s="1984"/>
      <c r="C1463" s="1984" t="s">
        <v>5</v>
      </c>
      <c r="D1463" s="1984"/>
      <c r="E1463" s="2024" t="s">
        <v>2059</v>
      </c>
      <c r="F1463" s="1996">
        <v>21551.1</v>
      </c>
      <c r="G1463" s="1996">
        <v>3100</v>
      </c>
      <c r="H1463" s="1996">
        <f>43240.9+12941</f>
        <v>56181.9</v>
      </c>
      <c r="I1463" s="2192"/>
      <c r="J1463" s="2192"/>
      <c r="K1463" s="693" t="s">
        <v>2060</v>
      </c>
      <c r="L1463" s="660" t="s">
        <v>2061</v>
      </c>
      <c r="M1463" s="660">
        <f>5+6.1+70</f>
        <v>81.099999999999994</v>
      </c>
      <c r="N1463" s="665">
        <v>9.1999999999999993</v>
      </c>
      <c r="O1463" s="665">
        <f>300+5+4</f>
        <v>309</v>
      </c>
      <c r="P1463" s="665">
        <f>400+5+4</f>
        <v>409</v>
      </c>
      <c r="Q1463" s="665">
        <v>202</v>
      </c>
    </row>
    <row r="1464" spans="2:17" ht="30" x14ac:dyDescent="0.25">
      <c r="B1464" s="1984"/>
      <c r="C1464" s="1984"/>
      <c r="D1464" s="1984"/>
      <c r="E1464" s="2024"/>
      <c r="F1464" s="1996"/>
      <c r="G1464" s="1996"/>
      <c r="H1464" s="1996"/>
      <c r="I1464" s="2192"/>
      <c r="J1464" s="2192"/>
      <c r="K1464" s="693" t="s">
        <v>2062</v>
      </c>
      <c r="L1464" s="660" t="s">
        <v>173</v>
      </c>
      <c r="M1464" s="660">
        <f>1+1+2</f>
        <v>4</v>
      </c>
      <c r="N1464" s="665">
        <f>1+1+2</f>
        <v>4</v>
      </c>
      <c r="O1464" s="665"/>
      <c r="P1464" s="665">
        <v>2</v>
      </c>
      <c r="Q1464" s="665">
        <v>3</v>
      </c>
    </row>
    <row r="1465" spans="2:17" ht="45" x14ac:dyDescent="0.25">
      <c r="B1465" s="1984"/>
      <c r="C1465" s="1984" t="s">
        <v>7</v>
      </c>
      <c r="D1465" s="1984"/>
      <c r="E1465" s="1997" t="s">
        <v>2063</v>
      </c>
      <c r="F1465" s="1996">
        <v>18151.508150000001</v>
      </c>
      <c r="G1465" s="1996">
        <v>5000</v>
      </c>
      <c r="H1465" s="1996"/>
      <c r="I1465" s="2192"/>
      <c r="J1465" s="2192"/>
      <c r="K1465" s="693" t="s">
        <v>2064</v>
      </c>
      <c r="L1465" s="660" t="s">
        <v>173</v>
      </c>
      <c r="M1465" s="660">
        <v>1200</v>
      </c>
      <c r="N1465" s="665">
        <v>400</v>
      </c>
      <c r="O1465" s="665">
        <v>400</v>
      </c>
      <c r="P1465" s="665">
        <v>400</v>
      </c>
      <c r="Q1465" s="665">
        <v>400</v>
      </c>
    </row>
    <row r="1466" spans="2:17" ht="45" x14ac:dyDescent="0.25">
      <c r="B1466" s="1984"/>
      <c r="C1466" s="1984"/>
      <c r="D1466" s="1984"/>
      <c r="E1466" s="1997"/>
      <c r="F1466" s="1996"/>
      <c r="G1466" s="1996"/>
      <c r="H1466" s="1996"/>
      <c r="I1466" s="2192"/>
      <c r="J1466" s="2192"/>
      <c r="K1466" s="659" t="s">
        <v>2065</v>
      </c>
      <c r="L1466" s="660" t="s">
        <v>173</v>
      </c>
      <c r="M1466" s="660">
        <v>256</v>
      </c>
      <c r="N1466" s="665">
        <v>10</v>
      </c>
      <c r="O1466" s="665">
        <v>10</v>
      </c>
      <c r="P1466" s="665">
        <v>10</v>
      </c>
      <c r="Q1466" s="665">
        <v>10</v>
      </c>
    </row>
    <row r="1467" spans="2:17" ht="30" x14ac:dyDescent="0.25">
      <c r="B1467" s="1985"/>
      <c r="C1467" s="1985" t="s">
        <v>9</v>
      </c>
      <c r="D1467" s="1994"/>
      <c r="E1467" s="1995" t="s">
        <v>2066</v>
      </c>
      <c r="F1467" s="1996">
        <v>10000</v>
      </c>
      <c r="G1467" s="1996">
        <v>5000</v>
      </c>
      <c r="H1467" s="1996"/>
      <c r="I1467" s="1996">
        <v>2100</v>
      </c>
      <c r="J1467" s="1996">
        <v>2100</v>
      </c>
      <c r="K1467" s="659" t="s">
        <v>2067</v>
      </c>
      <c r="L1467" s="660" t="s">
        <v>2068</v>
      </c>
      <c r="M1467" s="660">
        <v>45200</v>
      </c>
      <c r="N1467" s="665">
        <v>45250</v>
      </c>
      <c r="O1467" s="665">
        <v>45255</v>
      </c>
      <c r="P1467" s="665">
        <v>45260</v>
      </c>
      <c r="Q1467" s="665">
        <v>45265</v>
      </c>
    </row>
    <row r="1468" spans="2:17" ht="30" x14ac:dyDescent="0.25">
      <c r="B1468" s="1985"/>
      <c r="C1468" s="1985"/>
      <c r="D1468" s="1994"/>
      <c r="E1468" s="1995"/>
      <c r="F1468" s="1996"/>
      <c r="G1468" s="1996"/>
      <c r="H1468" s="1996"/>
      <c r="I1468" s="1996"/>
      <c r="J1468" s="1996"/>
      <c r="K1468" s="659" t="s">
        <v>2069</v>
      </c>
      <c r="L1468" s="660" t="s">
        <v>2070</v>
      </c>
      <c r="M1468" s="660">
        <v>53.5</v>
      </c>
      <c r="N1468" s="665">
        <v>53.5</v>
      </c>
      <c r="O1468" s="660">
        <v>53.5</v>
      </c>
      <c r="P1468" s="660">
        <v>53.5</v>
      </c>
      <c r="Q1468" s="660">
        <v>53.5</v>
      </c>
    </row>
    <row r="1469" spans="2:17" ht="57" x14ac:dyDescent="0.25">
      <c r="B1469" s="512" t="s">
        <v>500</v>
      </c>
      <c r="C1469" s="658"/>
      <c r="D1469" s="1236"/>
      <c r="E1469" s="1237" t="s">
        <v>2071</v>
      </c>
      <c r="F1469" s="1228"/>
      <c r="G1469" s="1228"/>
      <c r="H1469" s="1238">
        <f>H1470+H1471+H1472</f>
        <v>42100</v>
      </c>
      <c r="I1469" s="1228"/>
      <c r="J1469" s="1228"/>
      <c r="K1469" s="659"/>
      <c r="L1469" s="660"/>
      <c r="M1469" s="660"/>
      <c r="N1469" s="665"/>
      <c r="O1469" s="660"/>
      <c r="P1469" s="660"/>
      <c r="Q1469" s="660"/>
    </row>
    <row r="1470" spans="2:17" ht="30" x14ac:dyDescent="0.25">
      <c r="B1470" s="658"/>
      <c r="C1470" s="658" t="s">
        <v>5</v>
      </c>
      <c r="D1470" s="1236"/>
      <c r="E1470" s="1239" t="s">
        <v>2072</v>
      </c>
      <c r="F1470" s="1228"/>
      <c r="G1470" s="1228"/>
      <c r="H1470" s="1228">
        <v>15000</v>
      </c>
      <c r="I1470" s="1228"/>
      <c r="J1470" s="1228"/>
      <c r="K1470" s="659"/>
      <c r="L1470" s="660"/>
      <c r="M1470" s="660"/>
      <c r="N1470" s="665"/>
      <c r="O1470" s="660"/>
      <c r="P1470" s="660"/>
      <c r="Q1470" s="660"/>
    </row>
    <row r="1471" spans="2:17" ht="60" x14ac:dyDescent="0.25">
      <c r="B1471" s="658"/>
      <c r="C1471" s="658" t="s">
        <v>7</v>
      </c>
      <c r="D1471" s="1236"/>
      <c r="E1471" s="1239" t="s">
        <v>2066</v>
      </c>
      <c r="F1471" s="1228"/>
      <c r="G1471" s="1228"/>
      <c r="H1471" s="1228">
        <v>7100</v>
      </c>
      <c r="I1471" s="1228"/>
      <c r="J1471" s="1228"/>
      <c r="K1471" s="659"/>
      <c r="L1471" s="660"/>
      <c r="M1471" s="660"/>
      <c r="N1471" s="665"/>
      <c r="O1471" s="660"/>
      <c r="P1471" s="660"/>
      <c r="Q1471" s="660"/>
    </row>
    <row r="1472" spans="2:17" ht="60" x14ac:dyDescent="0.25">
      <c r="B1472" s="658"/>
      <c r="C1472" s="658" t="s">
        <v>9</v>
      </c>
      <c r="D1472" s="1236"/>
      <c r="E1472" s="1239" t="s">
        <v>2073</v>
      </c>
      <c r="F1472" s="1228"/>
      <c r="G1472" s="1228"/>
      <c r="H1472" s="1228">
        <v>20000</v>
      </c>
      <c r="I1472" s="1228"/>
      <c r="J1472" s="1228"/>
      <c r="K1472" s="659"/>
      <c r="L1472" s="660"/>
      <c r="M1472" s="660"/>
      <c r="N1472" s="665"/>
      <c r="O1472" s="660"/>
      <c r="P1472" s="660"/>
      <c r="Q1472" s="660"/>
    </row>
    <row r="1473" spans="2:17" ht="74.25" x14ac:dyDescent="0.25">
      <c r="B1473" s="512" t="s">
        <v>1606</v>
      </c>
      <c r="C1473" s="658"/>
      <c r="D1473" s="1236"/>
      <c r="E1473" s="1240" t="s">
        <v>2074</v>
      </c>
      <c r="F1473" s="1241">
        <f>F1474+F1475+F1476+F1477+F1478+F1479+F1480+F1482+F1484+F1485+F1486+F1487+F1488+F1489+F1490</f>
        <v>3358191.8</v>
      </c>
      <c r="G1473" s="1241">
        <f>G1474+G1475+G1476+G1477+G1478+G1479+G1480+G1482+G1484+G1485+G1486+G1487+G1488+G1489+G1490</f>
        <v>9320519.6400000006</v>
      </c>
      <c r="H1473" s="1241">
        <f>H1474+H1475+H1476+H1477+H1478+H1479+H1480+H1482+H1484+H1485+H1486+H1487+H1488+H1489+H1490</f>
        <v>5794772.5300000003</v>
      </c>
      <c r="I1473" s="1241">
        <f t="shared" ref="I1473:J1473" si="150">I1474+I1475+I1476+I1477+I1478+I1479+I1480+I1482+I1484+I1485+I1486+I1487+I1488+I1489+I1490</f>
        <v>8117030.7200000007</v>
      </c>
      <c r="J1473" s="1241">
        <f t="shared" si="150"/>
        <v>8912401.0700000003</v>
      </c>
      <c r="K1473" s="659"/>
      <c r="L1473" s="660"/>
      <c r="M1473" s="660"/>
      <c r="N1473" s="665"/>
      <c r="O1473" s="665"/>
      <c r="P1473" s="665"/>
      <c r="Q1473" s="665"/>
    </row>
    <row r="1474" spans="2:17" ht="30" x14ac:dyDescent="0.25">
      <c r="B1474" s="658"/>
      <c r="C1474" s="658" t="s">
        <v>11</v>
      </c>
      <c r="D1474" s="1236"/>
      <c r="E1474" s="1240" t="s">
        <v>2075</v>
      </c>
      <c r="F1474" s="1228">
        <v>181668.3</v>
      </c>
      <c r="G1474" s="1242" t="s">
        <v>2076</v>
      </c>
      <c r="H1474" s="1228">
        <v>199162.5</v>
      </c>
      <c r="I1474" s="1228">
        <v>281278.5</v>
      </c>
      <c r="J1474" s="1228">
        <v>105931.84</v>
      </c>
      <c r="K1474" s="659" t="s">
        <v>2077</v>
      </c>
      <c r="L1474" s="660" t="s">
        <v>320</v>
      </c>
      <c r="M1474" s="660"/>
      <c r="N1474" s="665"/>
      <c r="O1474" s="665"/>
      <c r="P1474" s="660" t="s">
        <v>2078</v>
      </c>
      <c r="Q1474" s="665"/>
    </row>
    <row r="1475" spans="2:17" x14ac:dyDescent="0.25">
      <c r="B1475" s="658"/>
      <c r="C1475" s="658" t="s">
        <v>129</v>
      </c>
      <c r="D1475" s="1236"/>
      <c r="E1475" s="1240" t="s">
        <v>2079</v>
      </c>
      <c r="F1475" s="1228">
        <v>0</v>
      </c>
      <c r="G1475" s="1242" t="s">
        <v>2080</v>
      </c>
      <c r="H1475" s="1228">
        <v>2735400</v>
      </c>
      <c r="I1475" s="1228">
        <v>3101550</v>
      </c>
      <c r="J1475" s="1228">
        <v>1191300</v>
      </c>
      <c r="K1475" s="659" t="s">
        <v>2081</v>
      </c>
      <c r="L1475" s="660" t="s">
        <v>320</v>
      </c>
      <c r="M1475" s="660"/>
      <c r="N1475" s="665" t="s">
        <v>2082</v>
      </c>
      <c r="O1475" s="1243"/>
      <c r="P1475" s="665"/>
      <c r="Q1475" s="665"/>
    </row>
    <row r="1476" spans="2:17" ht="30" x14ac:dyDescent="0.25">
      <c r="B1476" s="658"/>
      <c r="C1476" s="658" t="s">
        <v>131</v>
      </c>
      <c r="D1476" s="1236"/>
      <c r="E1476" s="1240" t="s">
        <v>2083</v>
      </c>
      <c r="F1476" s="1228">
        <v>304180.8</v>
      </c>
      <c r="G1476" s="1242" t="s">
        <v>2084</v>
      </c>
      <c r="H1476" s="1228">
        <v>98700</v>
      </c>
      <c r="I1476" s="1241">
        <v>0</v>
      </c>
      <c r="J1476" s="1241">
        <v>0</v>
      </c>
      <c r="K1476" s="659" t="s">
        <v>2085</v>
      </c>
      <c r="L1476" s="660" t="s">
        <v>320</v>
      </c>
      <c r="M1476" s="660" t="s">
        <v>2086</v>
      </c>
      <c r="N1476" s="665"/>
      <c r="O1476" s="665"/>
      <c r="P1476" s="665"/>
      <c r="Q1476" s="665"/>
    </row>
    <row r="1477" spans="2:17" ht="30" x14ac:dyDescent="0.25">
      <c r="B1477" s="658"/>
      <c r="C1477" s="658" t="s">
        <v>134</v>
      </c>
      <c r="D1477" s="1236"/>
      <c r="E1477" s="1240" t="s">
        <v>2087</v>
      </c>
      <c r="F1477" s="1228">
        <v>142894.1</v>
      </c>
      <c r="G1477" s="1242" t="s">
        <v>2088</v>
      </c>
      <c r="H1477" s="1228">
        <v>141000</v>
      </c>
      <c r="I1477" s="1233">
        <v>64170</v>
      </c>
      <c r="J1477" s="1241"/>
      <c r="K1477" s="659" t="s">
        <v>2089</v>
      </c>
      <c r="L1477" s="660" t="s">
        <v>320</v>
      </c>
      <c r="M1477" s="660"/>
      <c r="N1477" s="660" t="s">
        <v>2090</v>
      </c>
      <c r="O1477" s="665"/>
      <c r="P1477" s="665"/>
      <c r="Q1477" s="665"/>
    </row>
    <row r="1478" spans="2:17" ht="30" x14ac:dyDescent="0.25">
      <c r="B1478" s="658"/>
      <c r="C1478" s="658" t="s">
        <v>137</v>
      </c>
      <c r="D1478" s="1236"/>
      <c r="E1478" s="1240" t="s">
        <v>2091</v>
      </c>
      <c r="F1478" s="1228">
        <v>0</v>
      </c>
      <c r="G1478" s="1242" t="s">
        <v>2092</v>
      </c>
      <c r="H1478" s="1228">
        <v>67680</v>
      </c>
      <c r="I1478" s="1228">
        <v>1073968.3700000001</v>
      </c>
      <c r="J1478" s="1228">
        <v>3819006.73</v>
      </c>
      <c r="K1478" s="659" t="s">
        <v>2093</v>
      </c>
      <c r="L1478" s="660" t="s">
        <v>320</v>
      </c>
      <c r="M1478" s="660"/>
      <c r="N1478" s="1243"/>
      <c r="O1478" s="665"/>
      <c r="P1478" s="660" t="s">
        <v>2094</v>
      </c>
      <c r="Q1478" s="665"/>
    </row>
    <row r="1479" spans="2:17" ht="30" x14ac:dyDescent="0.25">
      <c r="B1479" s="658"/>
      <c r="C1479" s="658" t="s">
        <v>405</v>
      </c>
      <c r="D1479" s="1236"/>
      <c r="E1479" s="1240" t="s">
        <v>2095</v>
      </c>
      <c r="F1479" s="1228">
        <v>762285.1</v>
      </c>
      <c r="G1479" s="1242" t="s">
        <v>2096</v>
      </c>
      <c r="H1479" s="1228">
        <v>1708240.03</v>
      </c>
      <c r="I1479" s="1228">
        <v>2096639.11</v>
      </c>
      <c r="J1479" s="1228">
        <v>3630384.08</v>
      </c>
      <c r="K1479" s="659" t="s">
        <v>2097</v>
      </c>
      <c r="L1479" s="660" t="s">
        <v>320</v>
      </c>
      <c r="M1479" s="660"/>
      <c r="N1479" s="665"/>
      <c r="O1479" s="660" t="s">
        <v>2098</v>
      </c>
      <c r="P1479" s="660" t="s">
        <v>2098</v>
      </c>
      <c r="Q1479" s="660"/>
    </row>
    <row r="1480" spans="2:17" x14ac:dyDescent="0.25">
      <c r="B1480" s="1960"/>
      <c r="C1480" s="1960" t="s">
        <v>413</v>
      </c>
      <c r="D1480" s="2190"/>
      <c r="E1480" s="1995" t="s">
        <v>2099</v>
      </c>
      <c r="F1480" s="1996">
        <v>0</v>
      </c>
      <c r="G1480" s="2189" t="s">
        <v>2100</v>
      </c>
      <c r="H1480" s="1996">
        <v>634500</v>
      </c>
      <c r="I1480" s="1996">
        <v>713000</v>
      </c>
      <c r="J1480" s="1996">
        <v>47146.6</v>
      </c>
      <c r="K1480" s="1914" t="s">
        <v>2101</v>
      </c>
      <c r="L1480" s="660" t="s">
        <v>2102</v>
      </c>
      <c r="M1480" s="660"/>
      <c r="N1480" s="1694" t="s">
        <v>2103</v>
      </c>
      <c r="O1480" s="1694"/>
      <c r="P1480" s="1694"/>
      <c r="Q1480" s="665"/>
    </row>
    <row r="1481" spans="2:17" ht="45" x14ac:dyDescent="0.25">
      <c r="B1481" s="1961"/>
      <c r="C1481" s="1961"/>
      <c r="D1481" s="2191"/>
      <c r="E1481" s="1995"/>
      <c r="F1481" s="1996"/>
      <c r="G1481" s="2189"/>
      <c r="H1481" s="1996"/>
      <c r="I1481" s="1996"/>
      <c r="J1481" s="1996"/>
      <c r="K1481" s="1914"/>
      <c r="L1481" s="660" t="s">
        <v>2104</v>
      </c>
      <c r="M1481" s="660"/>
      <c r="N1481" s="1694" t="s">
        <v>2105</v>
      </c>
      <c r="O1481" s="1694"/>
      <c r="P1481" s="1694"/>
      <c r="Q1481" s="665"/>
    </row>
    <row r="1482" spans="2:17" x14ac:dyDescent="0.25">
      <c r="B1482" s="1985"/>
      <c r="C1482" s="1985" t="s">
        <v>273</v>
      </c>
      <c r="D1482" s="1994"/>
      <c r="E1482" s="1995" t="s">
        <v>2106</v>
      </c>
      <c r="F1482" s="2188" t="s">
        <v>2107</v>
      </c>
      <c r="G1482" s="2189" t="s">
        <v>2108</v>
      </c>
      <c r="H1482" s="1996"/>
      <c r="I1482" s="1996">
        <v>558279</v>
      </c>
      <c r="J1482" s="1996">
        <v>18071.66</v>
      </c>
      <c r="K1482" s="1914" t="s">
        <v>2109</v>
      </c>
      <c r="L1482" s="660" t="s">
        <v>2110</v>
      </c>
      <c r="M1482" s="660"/>
      <c r="N1482" s="1914" t="s">
        <v>2111</v>
      </c>
      <c r="O1482" s="1914"/>
      <c r="P1482" s="1914"/>
      <c r="Q1482" s="665"/>
    </row>
    <row r="1483" spans="2:17" ht="45" x14ac:dyDescent="0.25">
      <c r="B1483" s="1985"/>
      <c r="C1483" s="1985"/>
      <c r="D1483" s="1994"/>
      <c r="E1483" s="1995"/>
      <c r="F1483" s="2188"/>
      <c r="G1483" s="2189"/>
      <c r="H1483" s="1996"/>
      <c r="I1483" s="1996"/>
      <c r="J1483" s="1996"/>
      <c r="K1483" s="1914"/>
      <c r="L1483" s="660" t="s">
        <v>2112</v>
      </c>
      <c r="M1483" s="660"/>
      <c r="N1483" s="1914" t="s">
        <v>2113</v>
      </c>
      <c r="O1483" s="1914"/>
      <c r="P1483" s="1914"/>
      <c r="Q1483" s="665"/>
    </row>
    <row r="1484" spans="2:17" ht="45" x14ac:dyDescent="0.25">
      <c r="B1484" s="658"/>
      <c r="C1484" s="658" t="s">
        <v>337</v>
      </c>
      <c r="D1484" s="1236"/>
      <c r="E1484" s="1240" t="s">
        <v>2114</v>
      </c>
      <c r="F1484" s="1244" t="s">
        <v>2107</v>
      </c>
      <c r="G1484" s="1242" t="s">
        <v>2115</v>
      </c>
      <c r="H1484" s="1228">
        <v>84600</v>
      </c>
      <c r="I1484" s="1228">
        <v>167790.29</v>
      </c>
      <c r="J1484" s="1228">
        <v>100560.16</v>
      </c>
      <c r="K1484" s="693" t="s">
        <v>2116</v>
      </c>
      <c r="L1484" s="693" t="s">
        <v>2117</v>
      </c>
      <c r="M1484" s="660"/>
      <c r="N1484" s="1695" t="s">
        <v>2118</v>
      </c>
      <c r="O1484" s="1695"/>
      <c r="P1484" s="1695"/>
      <c r="Q1484" s="665"/>
    </row>
    <row r="1485" spans="2:17" ht="45" x14ac:dyDescent="0.25">
      <c r="B1485" s="658"/>
      <c r="C1485" s="658" t="s">
        <v>340</v>
      </c>
      <c r="D1485" s="1236"/>
      <c r="E1485" s="1240" t="s">
        <v>2119</v>
      </c>
      <c r="F1485" s="1244" t="s">
        <v>2107</v>
      </c>
      <c r="G1485" s="1242" t="s">
        <v>2120</v>
      </c>
      <c r="H1485" s="1228">
        <v>94047</v>
      </c>
      <c r="I1485" s="1233">
        <v>60355.45</v>
      </c>
      <c r="J1485" s="1241"/>
      <c r="K1485" s="693" t="s">
        <v>2121</v>
      </c>
      <c r="L1485" s="693" t="s">
        <v>2122</v>
      </c>
      <c r="M1485" s="660"/>
      <c r="N1485" s="1694" t="s">
        <v>2123</v>
      </c>
      <c r="O1485" s="1694"/>
      <c r="P1485" s="1694"/>
      <c r="Q1485" s="665"/>
    </row>
    <row r="1486" spans="2:17" ht="30" x14ac:dyDescent="0.25">
      <c r="B1486" s="658"/>
      <c r="C1486" s="658" t="s">
        <v>9</v>
      </c>
      <c r="D1486" s="1236"/>
      <c r="E1486" s="1240" t="s">
        <v>2124</v>
      </c>
      <c r="F1486" s="1242" t="s">
        <v>2125</v>
      </c>
      <c r="G1486" s="1242" t="s">
        <v>2126</v>
      </c>
      <c r="H1486" s="1228">
        <v>31443</v>
      </c>
      <c r="I1486" s="1241">
        <v>0</v>
      </c>
      <c r="J1486" s="1241">
        <v>0</v>
      </c>
      <c r="K1486" s="693" t="s">
        <v>2127</v>
      </c>
      <c r="L1486" s="693" t="s">
        <v>35</v>
      </c>
      <c r="M1486" s="660">
        <v>12.4</v>
      </c>
      <c r="N1486" s="660"/>
      <c r="O1486" s="660"/>
      <c r="P1486" s="660"/>
      <c r="Q1486" s="665"/>
    </row>
    <row r="1487" spans="2:17" x14ac:dyDescent="0.25">
      <c r="B1487" s="658"/>
      <c r="C1487" s="658" t="s">
        <v>7</v>
      </c>
      <c r="D1487" s="1236"/>
      <c r="E1487" s="1240" t="s">
        <v>2128</v>
      </c>
      <c r="F1487" s="1242" t="s">
        <v>2129</v>
      </c>
      <c r="G1487" s="1242" t="s">
        <v>2130</v>
      </c>
      <c r="H1487" s="1228">
        <v>0</v>
      </c>
      <c r="I1487" s="1241">
        <v>0</v>
      </c>
      <c r="J1487" s="1241">
        <v>0</v>
      </c>
      <c r="K1487" s="693"/>
      <c r="L1487" s="693"/>
      <c r="M1487" s="660"/>
      <c r="N1487" s="660"/>
      <c r="O1487" s="660"/>
      <c r="P1487" s="660"/>
      <c r="Q1487" s="665"/>
    </row>
    <row r="1488" spans="2:17" x14ac:dyDescent="0.25">
      <c r="B1488" s="658"/>
      <c r="C1488" s="658" t="s">
        <v>127</v>
      </c>
      <c r="D1488" s="1236"/>
      <c r="E1488" s="1240" t="s">
        <v>2131</v>
      </c>
      <c r="F1488" s="1242" t="s">
        <v>2132</v>
      </c>
      <c r="G1488" s="1242" t="s">
        <v>2133</v>
      </c>
      <c r="H1488" s="1228">
        <v>0</v>
      </c>
      <c r="I1488" s="1241">
        <v>0</v>
      </c>
      <c r="J1488" s="1241">
        <v>0</v>
      </c>
      <c r="K1488" s="693"/>
      <c r="L1488" s="693"/>
      <c r="M1488" s="660"/>
      <c r="N1488" s="660"/>
      <c r="O1488" s="660"/>
      <c r="P1488" s="660"/>
      <c r="Q1488" s="665"/>
    </row>
    <row r="1489" spans="2:17" x14ac:dyDescent="0.25">
      <c r="B1489" s="658"/>
      <c r="C1489" s="658" t="s">
        <v>411</v>
      </c>
      <c r="D1489" s="1236"/>
      <c r="E1489" s="1240" t="s">
        <v>2134</v>
      </c>
      <c r="F1489" s="1242" t="s">
        <v>2135</v>
      </c>
      <c r="G1489" s="1242" t="s">
        <v>2107</v>
      </c>
      <c r="H1489" s="1228">
        <v>0</v>
      </c>
      <c r="I1489" s="1241">
        <v>0</v>
      </c>
      <c r="J1489" s="1241">
        <v>0</v>
      </c>
      <c r="K1489" s="693"/>
      <c r="L1489" s="693"/>
      <c r="M1489" s="660"/>
      <c r="N1489" s="660"/>
      <c r="O1489" s="660"/>
      <c r="P1489" s="660"/>
      <c r="Q1489" s="665"/>
    </row>
    <row r="1490" spans="2:17" x14ac:dyDescent="0.25">
      <c r="B1490" s="658"/>
      <c r="C1490" s="658" t="s">
        <v>409</v>
      </c>
      <c r="D1490" s="1236"/>
      <c r="E1490" s="1240" t="s">
        <v>2136</v>
      </c>
      <c r="F1490" s="1242" t="s">
        <v>2137</v>
      </c>
      <c r="G1490" s="1242" t="s">
        <v>2107</v>
      </c>
      <c r="H1490" s="1228">
        <v>0</v>
      </c>
      <c r="I1490" s="1241">
        <v>0</v>
      </c>
      <c r="J1490" s="1241">
        <v>0</v>
      </c>
      <c r="K1490" s="693"/>
      <c r="L1490" s="693"/>
      <c r="M1490" s="660"/>
      <c r="N1490" s="660"/>
      <c r="O1490" s="660"/>
      <c r="P1490" s="660"/>
      <c r="Q1490" s="665"/>
    </row>
    <row r="1491" spans="2:17" ht="103.5" customHeight="1" x14ac:dyDescent="0.25">
      <c r="B1491" s="1236" t="s">
        <v>508</v>
      </c>
      <c r="C1491" s="1236"/>
      <c r="D1491" s="1236"/>
      <c r="E1491" s="693" t="s">
        <v>2138</v>
      </c>
      <c r="F1491" s="1241">
        <f>F1492+F1494</f>
        <v>30288</v>
      </c>
      <c r="G1491" s="1241">
        <f t="shared" ref="G1491" si="151">G1492+G1494</f>
        <v>35032.5</v>
      </c>
      <c r="H1491" s="1241">
        <f>H1492+H1494</f>
        <v>0</v>
      </c>
      <c r="I1491" s="1241">
        <f>I1492+I1494</f>
        <v>35032.5</v>
      </c>
      <c r="J1491" s="1241">
        <f>J1492+J1494</f>
        <v>35032.5</v>
      </c>
      <c r="K1491" s="1245"/>
      <c r="L1491" s="1245"/>
      <c r="M1491" s="1226"/>
      <c r="N1491" s="1226"/>
      <c r="O1491" s="1226"/>
      <c r="P1491" s="1226"/>
      <c r="Q1491" s="1246"/>
    </row>
    <row r="1492" spans="2:17" ht="38.25" x14ac:dyDescent="0.25">
      <c r="B1492" s="1960"/>
      <c r="C1492" s="1960" t="s">
        <v>5</v>
      </c>
      <c r="D1492" s="1960"/>
      <c r="E1492" s="1914" t="s">
        <v>2139</v>
      </c>
      <c r="F1492" s="1996">
        <v>14144.5</v>
      </c>
      <c r="G1492" s="1996">
        <v>18676.400000000001</v>
      </c>
      <c r="H1492" s="1996"/>
      <c r="I1492" s="1996">
        <v>18676.8</v>
      </c>
      <c r="J1492" s="1996">
        <v>18676.8</v>
      </c>
      <c r="K1492" s="1229" t="s">
        <v>2140</v>
      </c>
      <c r="L1492" s="1247" t="s">
        <v>2141</v>
      </c>
      <c r="M1492" s="1230">
        <v>69</v>
      </c>
      <c r="N1492" s="1231">
        <v>71</v>
      </c>
      <c r="O1492" s="1231">
        <v>71</v>
      </c>
      <c r="P1492" s="1231">
        <v>71</v>
      </c>
      <c r="Q1492" s="1231">
        <v>71</v>
      </c>
    </row>
    <row r="1493" spans="2:17" ht="38.25" x14ac:dyDescent="0.25">
      <c r="B1493" s="1961"/>
      <c r="C1493" s="1961"/>
      <c r="D1493" s="1961"/>
      <c r="E1493" s="1997"/>
      <c r="F1493" s="1996"/>
      <c r="G1493" s="1996"/>
      <c r="H1493" s="1996"/>
      <c r="I1493" s="1996"/>
      <c r="J1493" s="1996"/>
      <c r="K1493" s="1229" t="s">
        <v>2142</v>
      </c>
      <c r="L1493" s="1247" t="s">
        <v>2143</v>
      </c>
      <c r="M1493" s="1230">
        <v>8</v>
      </c>
      <c r="N1493" s="1231">
        <v>8</v>
      </c>
      <c r="O1493" s="1231">
        <v>8</v>
      </c>
      <c r="P1493" s="1231">
        <v>8</v>
      </c>
      <c r="Q1493" s="1231">
        <v>8</v>
      </c>
    </row>
    <row r="1494" spans="2:17" ht="25.5" x14ac:dyDescent="0.25">
      <c r="B1494" s="1960"/>
      <c r="C1494" s="1960" t="s">
        <v>7</v>
      </c>
      <c r="D1494" s="1960"/>
      <c r="E1494" s="1914" t="s">
        <v>2144</v>
      </c>
      <c r="F1494" s="1996">
        <v>16143.5</v>
      </c>
      <c r="G1494" s="1996">
        <v>16356.1</v>
      </c>
      <c r="H1494" s="1996"/>
      <c r="I1494" s="1996">
        <v>16355.7</v>
      </c>
      <c r="J1494" s="1996">
        <v>16355.7</v>
      </c>
      <c r="K1494" s="1229" t="s">
        <v>2145</v>
      </c>
      <c r="L1494" s="1247" t="s">
        <v>2068</v>
      </c>
      <c r="M1494" s="1230">
        <v>122</v>
      </c>
      <c r="N1494" s="1248">
        <v>126</v>
      </c>
      <c r="O1494" s="1248">
        <v>126</v>
      </c>
      <c r="P1494" s="1248">
        <v>126</v>
      </c>
      <c r="Q1494" s="1248">
        <v>126</v>
      </c>
    </row>
    <row r="1495" spans="2:17" ht="25.5" x14ac:dyDescent="0.25">
      <c r="B1495" s="1961"/>
      <c r="C1495" s="1961"/>
      <c r="D1495" s="1961"/>
      <c r="E1495" s="1997"/>
      <c r="F1495" s="1996"/>
      <c r="G1495" s="1996"/>
      <c r="H1495" s="1996"/>
      <c r="I1495" s="1996"/>
      <c r="J1495" s="1996"/>
      <c r="K1495" s="1229" t="s">
        <v>2146</v>
      </c>
      <c r="L1495" s="1247" t="s">
        <v>2068</v>
      </c>
      <c r="M1495" s="1230">
        <v>119</v>
      </c>
      <c r="N1495" s="1248">
        <v>122</v>
      </c>
      <c r="O1495" s="1248">
        <v>122</v>
      </c>
      <c r="P1495" s="1248">
        <v>122</v>
      </c>
      <c r="Q1495" s="1248">
        <v>122</v>
      </c>
    </row>
    <row r="1496" spans="2:17" ht="90.75" customHeight="1" x14ac:dyDescent="0.25">
      <c r="B1496" s="512" t="s">
        <v>601</v>
      </c>
      <c r="C1496" s="658"/>
      <c r="D1496" s="1236"/>
      <c r="E1496" s="693" t="s">
        <v>2147</v>
      </c>
      <c r="F1496" s="1241">
        <f>F1497+F1499</f>
        <v>38382.6</v>
      </c>
      <c r="G1496" s="1241">
        <f t="shared" ref="G1496:J1496" si="152">G1497+G1499</f>
        <v>39917.9</v>
      </c>
      <c r="H1496" s="1241">
        <f>H1497+H1499</f>
        <v>0</v>
      </c>
      <c r="I1496" s="1241">
        <f t="shared" si="152"/>
        <v>39980.399999999994</v>
      </c>
      <c r="J1496" s="1241">
        <f t="shared" si="152"/>
        <v>40112.6</v>
      </c>
      <c r="K1496" s="693"/>
      <c r="L1496" s="660"/>
      <c r="M1496" s="987"/>
      <c r="N1496" s="987"/>
      <c r="O1496" s="987"/>
      <c r="P1496" s="987"/>
      <c r="Q1496" s="665"/>
    </row>
    <row r="1497" spans="2:17" ht="45" x14ac:dyDescent="0.25">
      <c r="B1497" s="1960"/>
      <c r="C1497" s="1960" t="s">
        <v>5</v>
      </c>
      <c r="D1497" s="1960"/>
      <c r="E1497" s="1914" t="s">
        <v>2148</v>
      </c>
      <c r="F1497" s="1996">
        <v>22031.599999999999</v>
      </c>
      <c r="G1497" s="1996">
        <v>22904.9</v>
      </c>
      <c r="H1497" s="1996"/>
      <c r="I1497" s="1996">
        <v>22899.599999999999</v>
      </c>
      <c r="J1497" s="1996">
        <v>22899.599999999999</v>
      </c>
      <c r="K1497" s="513" t="s">
        <v>2149</v>
      </c>
      <c r="L1497" s="693" t="s">
        <v>2150</v>
      </c>
      <c r="M1497" s="660">
        <v>0</v>
      </c>
      <c r="N1497" s="435">
        <v>31</v>
      </c>
      <c r="O1497" s="435">
        <v>31</v>
      </c>
      <c r="P1497" s="435">
        <v>31</v>
      </c>
      <c r="Q1497" s="435">
        <v>31</v>
      </c>
    </row>
    <row r="1498" spans="2:17" ht="30" x14ac:dyDescent="0.25">
      <c r="B1498" s="1961"/>
      <c r="C1498" s="1961"/>
      <c r="D1498" s="1961"/>
      <c r="E1498" s="1914"/>
      <c r="F1498" s="1996"/>
      <c r="G1498" s="1996"/>
      <c r="H1498" s="1996"/>
      <c r="I1498" s="1996"/>
      <c r="J1498" s="1996"/>
      <c r="K1498" s="693" t="s">
        <v>2151</v>
      </c>
      <c r="L1498" s="693" t="s">
        <v>2061</v>
      </c>
      <c r="M1498" s="660">
        <v>1895.2</v>
      </c>
      <c r="N1498" s="987">
        <v>970</v>
      </c>
      <c r="O1498" s="987">
        <v>970</v>
      </c>
      <c r="P1498" s="987">
        <v>970</v>
      </c>
      <c r="Q1498" s="987">
        <v>970</v>
      </c>
    </row>
    <row r="1499" spans="2:17" ht="45" x14ac:dyDescent="0.25">
      <c r="B1499" s="1960"/>
      <c r="C1499" s="1960" t="s">
        <v>7</v>
      </c>
      <c r="D1499" s="1960"/>
      <c r="E1499" s="1914" t="s">
        <v>2152</v>
      </c>
      <c r="F1499" s="1996">
        <v>16351</v>
      </c>
      <c r="G1499" s="1996">
        <v>17013</v>
      </c>
      <c r="H1499" s="1996"/>
      <c r="I1499" s="1996">
        <v>17080.8</v>
      </c>
      <c r="J1499" s="1996">
        <v>17213</v>
      </c>
      <c r="K1499" s="659" t="s">
        <v>2153</v>
      </c>
      <c r="L1499" s="693" t="s">
        <v>2068</v>
      </c>
      <c r="M1499" s="660">
        <v>61</v>
      </c>
      <c r="N1499" s="987">
        <v>62</v>
      </c>
      <c r="O1499" s="987">
        <v>62</v>
      </c>
      <c r="P1499" s="987">
        <v>62</v>
      </c>
      <c r="Q1499" s="987">
        <v>62</v>
      </c>
    </row>
    <row r="1500" spans="2:17" ht="45" x14ac:dyDescent="0.25">
      <c r="B1500" s="1961"/>
      <c r="C1500" s="1961"/>
      <c r="D1500" s="1961"/>
      <c r="E1500" s="1914"/>
      <c r="F1500" s="1996"/>
      <c r="G1500" s="1996"/>
      <c r="H1500" s="1996"/>
      <c r="I1500" s="1996"/>
      <c r="J1500" s="1996"/>
      <c r="K1500" s="659" t="s">
        <v>2154</v>
      </c>
      <c r="L1500" s="693" t="s">
        <v>2068</v>
      </c>
      <c r="M1500" s="660">
        <v>46</v>
      </c>
      <c r="N1500" s="987">
        <v>47</v>
      </c>
      <c r="O1500" s="987">
        <v>47</v>
      </c>
      <c r="P1500" s="987">
        <v>47</v>
      </c>
      <c r="Q1500" s="987">
        <v>47</v>
      </c>
    </row>
    <row r="1501" spans="2:17" ht="87.75" x14ac:dyDescent="0.25">
      <c r="B1501" s="512" t="s">
        <v>1297</v>
      </c>
      <c r="C1501" s="658"/>
      <c r="D1501" s="1236"/>
      <c r="E1501" s="1225" t="s">
        <v>2155</v>
      </c>
      <c r="F1501" s="1224">
        <f t="shared" ref="F1501:G1501" si="153">F1502+F1503+F1504+F1505</f>
        <v>5797.8</v>
      </c>
      <c r="G1501" s="1224">
        <f t="shared" si="153"/>
        <v>5759.6</v>
      </c>
      <c r="H1501" s="1224">
        <f>H1502+H1503</f>
        <v>5810.2</v>
      </c>
      <c r="I1501" s="1224">
        <f t="shared" ref="I1501:J1501" si="154">I1502+I1503</f>
        <v>5764.7999999999993</v>
      </c>
      <c r="J1501" s="1224">
        <f t="shared" si="154"/>
        <v>5742.4</v>
      </c>
      <c r="K1501" s="1245"/>
      <c r="L1501" s="660"/>
      <c r="M1501" s="660"/>
      <c r="N1501" s="660"/>
      <c r="O1501" s="660"/>
      <c r="P1501" s="660"/>
      <c r="Q1501" s="665"/>
    </row>
    <row r="1502" spans="2:17" ht="60" x14ac:dyDescent="0.25">
      <c r="B1502" s="658"/>
      <c r="C1502" s="658"/>
      <c r="D1502" s="1236"/>
      <c r="E1502" s="659" t="s">
        <v>2156</v>
      </c>
      <c r="F1502" s="1227">
        <v>3797.8</v>
      </c>
      <c r="G1502" s="1227">
        <v>3759.6</v>
      </c>
      <c r="H1502" s="1227">
        <v>3810.2</v>
      </c>
      <c r="I1502" s="1227">
        <f>3764.7+0.1</f>
        <v>3764.7999999999997</v>
      </c>
      <c r="J1502" s="1227">
        <f>3775.6-33.4+0.2</f>
        <v>3742.3999999999996</v>
      </c>
      <c r="K1502" s="513" t="s">
        <v>2157</v>
      </c>
      <c r="L1502" s="693" t="s">
        <v>2158</v>
      </c>
      <c r="M1502" s="660" t="s">
        <v>2159</v>
      </c>
      <c r="N1502" s="660" t="s">
        <v>2160</v>
      </c>
      <c r="O1502" s="665">
        <v>1</v>
      </c>
      <c r="P1502" s="665">
        <v>1</v>
      </c>
      <c r="Q1502" s="665">
        <v>1</v>
      </c>
    </row>
    <row r="1503" spans="2:17" ht="75" x14ac:dyDescent="0.25">
      <c r="B1503" s="658"/>
      <c r="C1503" s="658"/>
      <c r="D1503" s="1236"/>
      <c r="E1503" s="659" t="s">
        <v>2161</v>
      </c>
      <c r="F1503" s="1227">
        <v>2000</v>
      </c>
      <c r="G1503" s="1227">
        <v>2000</v>
      </c>
      <c r="H1503" s="1227">
        <v>2000</v>
      </c>
      <c r="I1503" s="1227">
        <v>2000</v>
      </c>
      <c r="J1503" s="1227">
        <v>2000</v>
      </c>
      <c r="K1503" s="513" t="s">
        <v>2162</v>
      </c>
      <c r="L1503" s="693" t="s">
        <v>2163</v>
      </c>
      <c r="M1503" s="660" t="s">
        <v>2164</v>
      </c>
      <c r="N1503" s="660" t="s">
        <v>2165</v>
      </c>
      <c r="O1503" s="660" t="s">
        <v>2165</v>
      </c>
      <c r="P1503" s="660" t="s">
        <v>2166</v>
      </c>
      <c r="Q1503" s="660" t="s">
        <v>2165</v>
      </c>
    </row>
    <row r="1504" spans="2:17" ht="60" x14ac:dyDescent="0.25">
      <c r="B1504" s="658"/>
      <c r="C1504" s="658"/>
      <c r="D1504" s="1236"/>
      <c r="E1504" s="659" t="s">
        <v>2167</v>
      </c>
      <c r="F1504" s="1227"/>
      <c r="G1504" s="1227"/>
      <c r="H1504" s="1227">
        <f ca="1">H1504</f>
        <v>0</v>
      </c>
      <c r="I1504" s="1227"/>
      <c r="J1504" s="1227"/>
      <c r="K1504" s="513" t="s">
        <v>2168</v>
      </c>
      <c r="L1504" s="693" t="s">
        <v>2169</v>
      </c>
      <c r="M1504" s="660"/>
      <c r="N1504" s="660" t="s">
        <v>2170</v>
      </c>
      <c r="O1504" s="665">
        <v>1</v>
      </c>
      <c r="P1504" s="665">
        <v>1</v>
      </c>
      <c r="Q1504" s="665">
        <v>1</v>
      </c>
    </row>
    <row r="1505" spans="2:17" ht="45" x14ac:dyDescent="0.25">
      <c r="B1505" s="658"/>
      <c r="C1505" s="658"/>
      <c r="D1505" s="1236"/>
      <c r="E1505" s="659" t="s">
        <v>2171</v>
      </c>
      <c r="F1505" s="1227"/>
      <c r="G1505" s="1227"/>
      <c r="H1505" s="1227"/>
      <c r="I1505" s="1227"/>
      <c r="J1505" s="1227"/>
      <c r="K1505" s="513" t="s">
        <v>2172</v>
      </c>
      <c r="L1505" s="693" t="s">
        <v>2169</v>
      </c>
      <c r="M1505" s="660"/>
      <c r="N1505" s="660" t="s">
        <v>2170</v>
      </c>
      <c r="O1505" s="665">
        <v>1</v>
      </c>
      <c r="P1505" s="660">
        <v>1</v>
      </c>
      <c r="Q1505" s="660">
        <v>1</v>
      </c>
    </row>
    <row r="1506" spans="2:17" x14ac:dyDescent="0.25">
      <c r="B1506" s="1962" t="s">
        <v>85</v>
      </c>
      <c r="C1506" s="1963"/>
      <c r="D1506" s="1963"/>
      <c r="E1506" s="1964"/>
      <c r="F1506" s="1249">
        <f>F1457+F1462+F1473+F1491+F1496+F1501</f>
        <v>3572150.2081499998</v>
      </c>
      <c r="G1506" s="1249">
        <f>G1457+G1462+G1473+G1491+G1496+G1501</f>
        <v>9488510.040000001</v>
      </c>
      <c r="H1506" s="1249">
        <f>H1457+H1462+H1469+H1473+H1491+H1496+H1501</f>
        <v>5934576.9300000006</v>
      </c>
      <c r="I1506" s="1249">
        <f>I1457+I1462+I1473+I1491+I1496+I1501</f>
        <v>8292071.7200000007</v>
      </c>
      <c r="J1506" s="1249">
        <f>J1457+J1462+J1473+J1491+J1496+J1501</f>
        <v>9087805.1699999999</v>
      </c>
      <c r="K1506" s="228"/>
      <c r="L1506" s="1965"/>
      <c r="M1506" s="1965"/>
      <c r="N1506" s="1965"/>
      <c r="O1506" s="1965"/>
      <c r="P1506" s="1965"/>
      <c r="Q1506" s="1965"/>
    </row>
    <row r="1507" spans="2:17" x14ac:dyDescent="0.25">
      <c r="B1507" s="1966" t="s">
        <v>2173</v>
      </c>
      <c r="C1507" s="1967"/>
      <c r="D1507" s="1967"/>
      <c r="E1507" s="1967"/>
      <c r="F1507" s="1967"/>
      <c r="G1507" s="1967"/>
      <c r="H1507" s="1967"/>
      <c r="I1507" s="1967"/>
      <c r="J1507" s="1967"/>
      <c r="K1507" s="1967"/>
      <c r="L1507" s="1967"/>
      <c r="M1507" s="1967"/>
      <c r="N1507" s="1967"/>
      <c r="O1507" s="1967"/>
      <c r="P1507" s="1967"/>
      <c r="Q1507" s="1968"/>
    </row>
    <row r="1508" spans="2:17" x14ac:dyDescent="0.25">
      <c r="B1508" s="1969" t="s">
        <v>2174</v>
      </c>
      <c r="C1508" s="1969"/>
      <c r="D1508" s="1969"/>
      <c r="E1508" s="1969"/>
      <c r="F1508" s="1969"/>
      <c r="G1508" s="1969"/>
      <c r="H1508" s="1969"/>
      <c r="I1508" s="1969"/>
      <c r="J1508" s="1969"/>
      <c r="K1508" s="1969"/>
      <c r="L1508" s="1969"/>
      <c r="M1508" s="1969"/>
      <c r="N1508" s="1969"/>
      <c r="O1508" s="1969"/>
      <c r="P1508" s="1969"/>
      <c r="Q1508" s="1969"/>
    </row>
    <row r="1509" spans="2:17" ht="15.75" x14ac:dyDescent="0.25">
      <c r="B1509" s="1250">
        <v>982</v>
      </c>
      <c r="C1509" s="1086"/>
      <c r="D1509" s="1086"/>
      <c r="E1509" s="682" t="s">
        <v>2175</v>
      </c>
      <c r="F1509" s="314">
        <f>F1510</f>
        <v>1276228.7</v>
      </c>
      <c r="G1509" s="314">
        <f t="shared" ref="G1509:J1509" si="155">G1510</f>
        <v>1221748.7</v>
      </c>
      <c r="H1509" s="314">
        <f>H1510</f>
        <v>1221748.7</v>
      </c>
      <c r="I1509" s="314">
        <f t="shared" si="155"/>
        <v>1222859.3</v>
      </c>
      <c r="J1509" s="314">
        <f t="shared" si="155"/>
        <v>1225207.8</v>
      </c>
      <c r="K1509" s="659" t="s">
        <v>2176</v>
      </c>
      <c r="L1509" s="1086" t="s">
        <v>40</v>
      </c>
      <c r="M1509" s="1086">
        <v>45311</v>
      </c>
      <c r="N1509" s="1086">
        <v>45389</v>
      </c>
      <c r="O1509" s="1251">
        <v>45739</v>
      </c>
      <c r="P1509" s="1251">
        <v>45739</v>
      </c>
      <c r="Q1509" s="1251">
        <v>45739</v>
      </c>
    </row>
    <row r="1510" spans="2:17" ht="15.75" x14ac:dyDescent="0.25">
      <c r="B1510" s="1970"/>
      <c r="C1510" s="2179">
        <v>1</v>
      </c>
      <c r="D1510" s="2182"/>
      <c r="E1510" s="1835" t="s">
        <v>2177</v>
      </c>
      <c r="F1510" s="2173">
        <v>1276228.7</v>
      </c>
      <c r="G1510" s="2185">
        <f>1216748.7+5000</f>
        <v>1221748.7</v>
      </c>
      <c r="H1510" s="2187">
        <v>1221748.7</v>
      </c>
      <c r="I1510" s="2187">
        <v>1222859.3</v>
      </c>
      <c r="J1510" s="2187">
        <v>1225207.8</v>
      </c>
      <c r="K1510" s="1914" t="s">
        <v>2178</v>
      </c>
      <c r="L1510" s="1086" t="s">
        <v>2179</v>
      </c>
      <c r="M1510" s="1086">
        <v>429</v>
      </c>
      <c r="N1510" s="1086">
        <v>418</v>
      </c>
      <c r="O1510" s="1086">
        <v>417</v>
      </c>
      <c r="P1510" s="1252">
        <v>417</v>
      </c>
      <c r="Q1510" s="1086">
        <v>417</v>
      </c>
    </row>
    <row r="1511" spans="2:17" ht="15.75" x14ac:dyDescent="0.25">
      <c r="B1511" s="1971"/>
      <c r="C1511" s="2180"/>
      <c r="D1511" s="2183"/>
      <c r="E1511" s="2139"/>
      <c r="F1511" s="2173"/>
      <c r="G1511" s="2185"/>
      <c r="H1511" s="2185"/>
      <c r="I1511" s="2185"/>
      <c r="J1511" s="2185"/>
      <c r="K1511" s="1914"/>
      <c r="L1511" s="1086" t="s">
        <v>2180</v>
      </c>
      <c r="M1511" s="1086">
        <v>164</v>
      </c>
      <c r="N1511" s="1086">
        <v>162</v>
      </c>
      <c r="O1511" s="1086">
        <v>160</v>
      </c>
      <c r="P1511" s="1252">
        <v>160</v>
      </c>
      <c r="Q1511" s="1086">
        <v>160</v>
      </c>
    </row>
    <row r="1512" spans="2:17" ht="15.75" x14ac:dyDescent="0.25">
      <c r="B1512" s="1971"/>
      <c r="C1512" s="2180"/>
      <c r="D1512" s="2183"/>
      <c r="E1512" s="2139"/>
      <c r="F1512" s="2173"/>
      <c r="G1512" s="2185"/>
      <c r="H1512" s="2185"/>
      <c r="I1512" s="2185"/>
      <c r="J1512" s="2185"/>
      <c r="K1512" s="1914"/>
      <c r="L1512" s="1086" t="s">
        <v>2181</v>
      </c>
      <c r="M1512" s="1086">
        <v>144</v>
      </c>
      <c r="N1512" s="1086">
        <v>143</v>
      </c>
      <c r="O1512" s="1086">
        <v>142</v>
      </c>
      <c r="P1512" s="1252">
        <v>142</v>
      </c>
      <c r="Q1512" s="1086">
        <v>142</v>
      </c>
    </row>
    <row r="1513" spans="2:17" ht="15.75" x14ac:dyDescent="0.25">
      <c r="B1513" s="1971"/>
      <c r="C1513" s="2180"/>
      <c r="D1513" s="2183"/>
      <c r="E1513" s="2139"/>
      <c r="F1513" s="2173"/>
      <c r="G1513" s="2185"/>
      <c r="H1513" s="2185"/>
      <c r="I1513" s="2185"/>
      <c r="J1513" s="2185"/>
      <c r="K1513" s="1914"/>
      <c r="L1513" s="1086" t="s">
        <v>2182</v>
      </c>
      <c r="M1513" s="1086">
        <v>1181</v>
      </c>
      <c r="N1513" s="1086">
        <v>1195</v>
      </c>
      <c r="O1513" s="1086">
        <v>1195</v>
      </c>
      <c r="P1513" s="1252">
        <v>1195</v>
      </c>
      <c r="Q1513" s="1086">
        <v>1195</v>
      </c>
    </row>
    <row r="1514" spans="2:17" ht="30" x14ac:dyDescent="0.25">
      <c r="B1514" s="1971"/>
      <c r="C1514" s="2180"/>
      <c r="D1514" s="2183"/>
      <c r="E1514" s="2139"/>
      <c r="F1514" s="2173"/>
      <c r="G1514" s="2185"/>
      <c r="H1514" s="2185"/>
      <c r="I1514" s="2185"/>
      <c r="J1514" s="2185"/>
      <c r="K1514" s="659" t="s">
        <v>2183</v>
      </c>
      <c r="L1514" s="1086" t="s">
        <v>2184</v>
      </c>
      <c r="M1514" s="1086">
        <v>354.6</v>
      </c>
      <c r="N1514" s="1086">
        <v>353.7</v>
      </c>
      <c r="O1514" s="1086">
        <v>353.7</v>
      </c>
      <c r="P1514" s="1252">
        <v>353.7</v>
      </c>
      <c r="Q1514" s="1253">
        <v>353.7</v>
      </c>
    </row>
    <row r="1515" spans="2:17" ht="15.75" x14ac:dyDescent="0.25">
      <c r="B1515" s="1971"/>
      <c r="C1515" s="2180"/>
      <c r="D1515" s="2183"/>
      <c r="E1515" s="2139"/>
      <c r="F1515" s="2173"/>
      <c r="G1515" s="2185"/>
      <c r="H1515" s="2185"/>
      <c r="I1515" s="2185"/>
      <c r="J1515" s="2185"/>
      <c r="K1515" s="659" t="s">
        <v>2185</v>
      </c>
      <c r="L1515" s="1086" t="s">
        <v>282</v>
      </c>
      <c r="M1515" s="1086">
        <v>131</v>
      </c>
      <c r="N1515" s="1086">
        <v>132</v>
      </c>
      <c r="O1515" s="1086">
        <v>132</v>
      </c>
      <c r="P1515" s="1252">
        <v>132</v>
      </c>
      <c r="Q1515" s="1253">
        <v>132</v>
      </c>
    </row>
    <row r="1516" spans="2:17" ht="15.75" x14ac:dyDescent="0.25">
      <c r="B1516" s="1971"/>
      <c r="C1516" s="2180"/>
      <c r="D1516" s="2183"/>
      <c r="E1516" s="2139"/>
      <c r="F1516" s="2173"/>
      <c r="G1516" s="2185"/>
      <c r="H1516" s="2185"/>
      <c r="I1516" s="2185"/>
      <c r="J1516" s="2185"/>
      <c r="K1516" s="659" t="s">
        <v>2186</v>
      </c>
      <c r="L1516" s="1086" t="s">
        <v>35</v>
      </c>
      <c r="M1516" s="1086">
        <v>70</v>
      </c>
      <c r="N1516" s="1086">
        <v>70</v>
      </c>
      <c r="O1516" s="1086">
        <v>70</v>
      </c>
      <c r="P1516" s="1252">
        <v>70</v>
      </c>
      <c r="Q1516" s="1253">
        <v>70</v>
      </c>
    </row>
    <row r="1517" spans="2:17" ht="15.75" x14ac:dyDescent="0.25">
      <c r="B1517" s="1972"/>
      <c r="C1517" s="2181"/>
      <c r="D1517" s="2184"/>
      <c r="E1517" s="1836"/>
      <c r="F1517" s="2174"/>
      <c r="G1517" s="2186"/>
      <c r="H1517" s="2186"/>
      <c r="I1517" s="2186"/>
      <c r="J1517" s="2186"/>
      <c r="K1517" s="1254" t="s">
        <v>2187</v>
      </c>
      <c r="L1517" s="1086" t="s">
        <v>35</v>
      </c>
      <c r="M1517" s="1086">
        <v>31.3</v>
      </c>
      <c r="N1517" s="1255">
        <v>31.3</v>
      </c>
      <c r="O1517" s="1255">
        <v>31.5</v>
      </c>
      <c r="P1517" s="1256">
        <v>31.7</v>
      </c>
      <c r="Q1517" s="1253">
        <v>32</v>
      </c>
    </row>
    <row r="1518" spans="2:17" ht="30" x14ac:dyDescent="0.25">
      <c r="B1518" s="1257" t="s">
        <v>2188</v>
      </c>
      <c r="C1518" s="1258"/>
      <c r="D1518" s="1258"/>
      <c r="E1518" s="682" t="s">
        <v>2189</v>
      </c>
      <c r="F1518" s="314">
        <f>F1519</f>
        <v>9458.1</v>
      </c>
      <c r="G1518" s="314">
        <f t="shared" ref="G1518:J1518" si="156">G1519</f>
        <v>13938.1</v>
      </c>
      <c r="H1518" s="314">
        <f t="shared" si="156"/>
        <v>13938.1</v>
      </c>
      <c r="I1518" s="314">
        <f t="shared" si="156"/>
        <v>13938.1</v>
      </c>
      <c r="J1518" s="314">
        <f t="shared" si="156"/>
        <v>13938.1</v>
      </c>
      <c r="K1518" s="1254" t="s">
        <v>2190</v>
      </c>
      <c r="L1518" s="1086" t="s">
        <v>2191</v>
      </c>
      <c r="M1518" s="1086">
        <v>187.6</v>
      </c>
      <c r="N1518" s="1086">
        <v>180</v>
      </c>
      <c r="O1518" s="1086">
        <v>180</v>
      </c>
      <c r="P1518" s="1252">
        <v>180</v>
      </c>
      <c r="Q1518" s="1253">
        <v>180</v>
      </c>
    </row>
    <row r="1519" spans="2:17" ht="60" x14ac:dyDescent="0.25">
      <c r="B1519" s="1258"/>
      <c r="C1519" s="1258" t="s">
        <v>5</v>
      </c>
      <c r="D1519" s="1258"/>
      <c r="E1519" s="693" t="s">
        <v>2192</v>
      </c>
      <c r="F1519" s="1259">
        <v>9458.1</v>
      </c>
      <c r="G1519" s="1259">
        <v>13938.1</v>
      </c>
      <c r="H1519" s="1259">
        <v>13938.1</v>
      </c>
      <c r="I1519" s="1259">
        <v>13938.1</v>
      </c>
      <c r="J1519" s="1259">
        <v>13938.1</v>
      </c>
      <c r="K1519" s="659" t="s">
        <v>2193</v>
      </c>
      <c r="L1519" s="1086" t="s">
        <v>1388</v>
      </c>
      <c r="M1519" s="1086">
        <v>30</v>
      </c>
      <c r="N1519" s="1086">
        <v>40</v>
      </c>
      <c r="O1519" s="1086">
        <v>40</v>
      </c>
      <c r="P1519" s="1252">
        <v>40</v>
      </c>
      <c r="Q1519" s="1253">
        <v>40</v>
      </c>
    </row>
    <row r="1520" spans="2:17" ht="28.5" x14ac:dyDescent="0.25">
      <c r="B1520" s="1257" t="s">
        <v>2194</v>
      </c>
      <c r="C1520" s="1258"/>
      <c r="D1520" s="1258"/>
      <c r="E1520" s="684" t="s">
        <v>2195</v>
      </c>
      <c r="F1520" s="1260">
        <f>F1521</f>
        <v>14173.6</v>
      </c>
      <c r="G1520" s="1260">
        <f t="shared" ref="G1520:J1520" si="157">G1521</f>
        <v>14173.6</v>
      </c>
      <c r="H1520" s="1260">
        <f t="shared" si="157"/>
        <v>14173.6</v>
      </c>
      <c r="I1520" s="1260">
        <f t="shared" si="157"/>
        <v>14187.8</v>
      </c>
      <c r="J1520" s="1260">
        <f t="shared" si="157"/>
        <v>14216.2</v>
      </c>
      <c r="K1520" s="1254"/>
      <c r="L1520" s="1086"/>
      <c r="M1520" s="1086"/>
      <c r="N1520" s="1086"/>
      <c r="O1520" s="1086"/>
      <c r="P1520" s="1252"/>
      <c r="Q1520" s="1253"/>
    </row>
    <row r="1521" spans="2:17" ht="15.75" x14ac:dyDescent="0.25">
      <c r="B1521" s="1258"/>
      <c r="C1521" s="1258" t="s">
        <v>5</v>
      </c>
      <c r="D1521" s="1258"/>
      <c r="E1521" s="659" t="s">
        <v>2196</v>
      </c>
      <c r="F1521" s="2172">
        <v>14173.6</v>
      </c>
      <c r="G1521" s="2175">
        <v>14173.6</v>
      </c>
      <c r="H1521" s="2175">
        <v>14173.6</v>
      </c>
      <c r="I1521" s="2175">
        <v>14187.8</v>
      </c>
      <c r="J1521" s="2172">
        <v>14216.2</v>
      </c>
      <c r="K1521" s="1254" t="s">
        <v>2196</v>
      </c>
      <c r="L1521" s="1086" t="s">
        <v>282</v>
      </c>
      <c r="M1521" s="1086">
        <v>19</v>
      </c>
      <c r="N1521" s="1086">
        <v>100</v>
      </c>
      <c r="O1521" s="1086">
        <v>100</v>
      </c>
      <c r="P1521" s="1252">
        <v>100</v>
      </c>
      <c r="Q1521" s="1253">
        <v>100</v>
      </c>
    </row>
    <row r="1522" spans="2:17" ht="30" x14ac:dyDescent="0.25">
      <c r="B1522" s="1258"/>
      <c r="C1522" s="1258" t="s">
        <v>9</v>
      </c>
      <c r="D1522" s="1258"/>
      <c r="E1522" s="693" t="s">
        <v>2197</v>
      </c>
      <c r="F1522" s="2173"/>
      <c r="G1522" s="2175"/>
      <c r="H1522" s="2175"/>
      <c r="I1522" s="2175"/>
      <c r="J1522" s="2173"/>
      <c r="K1522" s="1914" t="s">
        <v>2198</v>
      </c>
      <c r="L1522" s="2176" t="s">
        <v>2199</v>
      </c>
      <c r="M1522" s="2177">
        <v>26682</v>
      </c>
      <c r="N1522" s="2175">
        <v>45000</v>
      </c>
      <c r="O1522" s="2175">
        <v>45000</v>
      </c>
      <c r="P1522" s="2165">
        <v>45000</v>
      </c>
      <c r="Q1522" s="2166">
        <v>45000</v>
      </c>
    </row>
    <row r="1523" spans="2:17" ht="15.75" x14ac:dyDescent="0.25">
      <c r="B1523" s="1258"/>
      <c r="C1523" s="1258" t="s">
        <v>11</v>
      </c>
      <c r="D1523" s="1258"/>
      <c r="E1523" s="659" t="s">
        <v>2200</v>
      </c>
      <c r="F1523" s="2174"/>
      <c r="G1523" s="2175"/>
      <c r="H1523" s="2175"/>
      <c r="I1523" s="2175"/>
      <c r="J1523" s="2174"/>
      <c r="K1523" s="1914"/>
      <c r="L1523" s="2176"/>
      <c r="M1523" s="2178"/>
      <c r="N1523" s="2175"/>
      <c r="O1523" s="2175"/>
      <c r="P1523" s="2165"/>
      <c r="Q1523" s="2167"/>
    </row>
    <row r="1524" spans="2:17" ht="15.75" x14ac:dyDescent="0.25">
      <c r="B1524" s="1962" t="s">
        <v>85</v>
      </c>
      <c r="C1524" s="1963"/>
      <c r="D1524" s="1963"/>
      <c r="E1524" s="1964"/>
      <c r="F1524" s="1008">
        <f>F1510+F1519+F1521</f>
        <v>1299860.4000000001</v>
      </c>
      <c r="G1524" s="1008">
        <f>G1510+G1519+G1521</f>
        <v>1249860.4000000001</v>
      </c>
      <c r="H1524" s="1008">
        <f>H1509+H1518+H1520</f>
        <v>1249860.4000000001</v>
      </c>
      <c r="I1524" s="1008">
        <f>I1510+I1519+I1521</f>
        <v>1250985.2000000002</v>
      </c>
      <c r="J1524" s="1008">
        <f>J1510+J1519+J1521</f>
        <v>1253362.1000000001</v>
      </c>
      <c r="K1524" s="1261"/>
      <c r="L1524" s="1262"/>
      <c r="M1524" s="1262"/>
      <c r="N1524" s="1262"/>
      <c r="O1524" s="1262"/>
      <c r="P1524" s="1263"/>
      <c r="Q1524" s="1264"/>
    </row>
    <row r="1525" spans="2:17" ht="15.75" thickBot="1" x14ac:dyDescent="0.3">
      <c r="B1525" s="1969" t="s">
        <v>2201</v>
      </c>
      <c r="C1525" s="1969"/>
      <c r="D1525" s="1969"/>
      <c r="E1525" s="1969"/>
      <c r="F1525" s="1969"/>
      <c r="G1525" s="1969"/>
      <c r="H1525" s="1969"/>
      <c r="I1525" s="1969"/>
      <c r="J1525" s="1969"/>
      <c r="K1525" s="1969"/>
      <c r="L1525" s="1969"/>
      <c r="M1525" s="1969"/>
      <c r="N1525" s="1969"/>
      <c r="O1525" s="1969"/>
      <c r="P1525" s="1969"/>
      <c r="Q1525" s="1969"/>
    </row>
    <row r="1526" spans="2:17" ht="73.5" x14ac:dyDescent="0.25">
      <c r="B1526" s="1265">
        <v>1</v>
      </c>
      <c r="C1526" s="1266"/>
      <c r="D1526" s="1266"/>
      <c r="E1526" s="1046" t="s">
        <v>902</v>
      </c>
      <c r="F1526" s="873">
        <f>SUM(F1527:F1537)</f>
        <v>16975.3</v>
      </c>
      <c r="G1526" s="873">
        <f>SUM(G1527:G1537)</f>
        <v>21260.6</v>
      </c>
      <c r="H1526" s="873">
        <f>SUM(H1527:H1537)</f>
        <v>28868</v>
      </c>
      <c r="I1526" s="873">
        <f t="shared" ref="I1526:J1526" si="158">SUM(I1527:I1537)</f>
        <v>29041.208000000006</v>
      </c>
      <c r="J1526" s="873">
        <f t="shared" si="158"/>
        <v>29215.455247999998</v>
      </c>
      <c r="K1526" s="422" t="s">
        <v>34</v>
      </c>
      <c r="L1526" s="682" t="s">
        <v>35</v>
      </c>
      <c r="M1526" s="1267">
        <v>5.4</v>
      </c>
      <c r="N1526" s="1267">
        <v>3.4</v>
      </c>
      <c r="O1526" s="1267">
        <v>3.4</v>
      </c>
      <c r="P1526" s="1267">
        <v>3.4</v>
      </c>
      <c r="Q1526" s="1267">
        <v>3.4</v>
      </c>
    </row>
    <row r="1527" spans="2:17" ht="30" x14ac:dyDescent="0.25">
      <c r="B1527" s="1268"/>
      <c r="C1527" s="795">
        <v>1</v>
      </c>
      <c r="D1527" s="1269"/>
      <c r="E1527" s="1049" t="s">
        <v>6</v>
      </c>
      <c r="F1527" s="1270">
        <v>4108.1000000000004</v>
      </c>
      <c r="G1527" s="754">
        <f>2598.6+434.6</f>
        <v>3033.2</v>
      </c>
      <c r="H1527" s="790">
        <v>4551.1000000000004</v>
      </c>
      <c r="I1527" s="754">
        <f t="shared" ref="I1527:J1534" si="159">H1527*0.6%+H1527</f>
        <v>4578.4066000000003</v>
      </c>
      <c r="J1527" s="754">
        <f t="shared" si="159"/>
        <v>4605.8770396</v>
      </c>
      <c r="K1527" s="1271" t="s">
        <v>2202</v>
      </c>
      <c r="L1527" s="693" t="s">
        <v>35</v>
      </c>
      <c r="M1527" s="1272">
        <v>1</v>
      </c>
      <c r="N1527" s="1272">
        <v>1</v>
      </c>
      <c r="O1527" s="1272">
        <v>1</v>
      </c>
      <c r="P1527" s="1272">
        <v>1</v>
      </c>
      <c r="Q1527" s="1272">
        <v>1</v>
      </c>
    </row>
    <row r="1528" spans="2:17" ht="30" x14ac:dyDescent="0.25">
      <c r="B1528" s="1268"/>
      <c r="C1528" s="563">
        <v>41</v>
      </c>
      <c r="D1528" s="1269"/>
      <c r="E1528" s="1273" t="s">
        <v>2203</v>
      </c>
      <c r="F1528" s="1270">
        <v>332.9</v>
      </c>
      <c r="G1528" s="754">
        <f>427.1+60</f>
        <v>487.1</v>
      </c>
      <c r="H1528" s="790">
        <v>487.1</v>
      </c>
      <c r="I1528" s="754">
        <f t="shared" si="159"/>
        <v>490.02260000000001</v>
      </c>
      <c r="J1528" s="754">
        <f t="shared" si="159"/>
        <v>492.96273560000003</v>
      </c>
      <c r="K1528" s="1271" t="s">
        <v>2204</v>
      </c>
      <c r="L1528" s="693" t="s">
        <v>35</v>
      </c>
      <c r="M1528" s="1272">
        <v>1</v>
      </c>
      <c r="N1528" s="1272">
        <v>1</v>
      </c>
      <c r="O1528" s="1272">
        <v>1</v>
      </c>
      <c r="P1528" s="1272">
        <v>1</v>
      </c>
      <c r="Q1528" s="1272">
        <v>1</v>
      </c>
    </row>
    <row r="1529" spans="2:17" ht="30" x14ac:dyDescent="0.25">
      <c r="B1529" s="1268"/>
      <c r="C1529" s="795">
        <v>3</v>
      </c>
      <c r="D1529" s="1269"/>
      <c r="E1529" s="1273" t="s">
        <v>10</v>
      </c>
      <c r="F1529" s="1270">
        <v>2000</v>
      </c>
      <c r="G1529" s="754">
        <f>1924.1+290</f>
        <v>2214.1</v>
      </c>
      <c r="H1529" s="790">
        <v>3432</v>
      </c>
      <c r="I1529" s="754">
        <f t="shared" si="159"/>
        <v>3452.5920000000001</v>
      </c>
      <c r="J1529" s="754">
        <f t="shared" si="159"/>
        <v>3473.3075520000002</v>
      </c>
      <c r="K1529" s="514" t="s">
        <v>2205</v>
      </c>
      <c r="L1529" s="693" t="s">
        <v>35</v>
      </c>
      <c r="M1529" s="1272">
        <v>0.7</v>
      </c>
      <c r="N1529" s="1272">
        <v>0.8</v>
      </c>
      <c r="O1529" s="1272">
        <v>0.8</v>
      </c>
      <c r="P1529" s="1272">
        <v>0.8</v>
      </c>
      <c r="Q1529" s="1272">
        <v>0.8</v>
      </c>
    </row>
    <row r="1530" spans="2:17" ht="30" x14ac:dyDescent="0.25">
      <c r="B1530" s="1268"/>
      <c r="C1530" s="563">
        <v>2</v>
      </c>
      <c r="D1530" s="1269"/>
      <c r="E1530" s="1273" t="s">
        <v>2206</v>
      </c>
      <c r="F1530" s="1270">
        <v>1433.4</v>
      </c>
      <c r="G1530" s="754">
        <f>1334.8+190.1</f>
        <v>1524.8999999999999</v>
      </c>
      <c r="H1530" s="790">
        <v>2742.8</v>
      </c>
      <c r="I1530" s="754">
        <f t="shared" si="159"/>
        <v>2759.2568000000001</v>
      </c>
      <c r="J1530" s="754">
        <f t="shared" si="159"/>
        <v>2775.8123408000001</v>
      </c>
      <c r="K1530" s="514" t="s">
        <v>2207</v>
      </c>
      <c r="L1530" s="693" t="s">
        <v>35</v>
      </c>
      <c r="M1530" s="1272">
        <v>1</v>
      </c>
      <c r="N1530" s="1272">
        <v>1</v>
      </c>
      <c r="O1530" s="1272">
        <v>1</v>
      </c>
      <c r="P1530" s="1272">
        <v>1</v>
      </c>
      <c r="Q1530" s="1272">
        <v>1</v>
      </c>
    </row>
    <row r="1531" spans="2:17" ht="30" x14ac:dyDescent="0.25">
      <c r="B1531" s="1268"/>
      <c r="C1531" s="795">
        <v>5</v>
      </c>
      <c r="D1531" s="1269"/>
      <c r="E1531" s="1273" t="s">
        <v>2208</v>
      </c>
      <c r="F1531" s="1270">
        <v>1314.3</v>
      </c>
      <c r="G1531" s="754">
        <f>1055.9+175</f>
        <v>1230.9000000000001</v>
      </c>
      <c r="H1531" s="790">
        <v>2448.8000000000002</v>
      </c>
      <c r="I1531" s="754">
        <f t="shared" si="159"/>
        <v>2463.4928</v>
      </c>
      <c r="J1531" s="754">
        <f t="shared" si="159"/>
        <v>2478.2737567999998</v>
      </c>
      <c r="K1531" s="514" t="s">
        <v>2209</v>
      </c>
      <c r="L1531" s="693" t="s">
        <v>173</v>
      </c>
      <c r="M1531" s="693">
        <v>75</v>
      </c>
      <c r="N1531" s="693">
        <v>80</v>
      </c>
      <c r="O1531" s="693">
        <v>80</v>
      </c>
      <c r="P1531" s="693">
        <v>80</v>
      </c>
      <c r="Q1531" s="693">
        <v>80</v>
      </c>
    </row>
    <row r="1532" spans="2:17" ht="30" x14ac:dyDescent="0.25">
      <c r="B1532" s="1268"/>
      <c r="C1532" s="563">
        <v>26</v>
      </c>
      <c r="D1532" s="1269"/>
      <c r="E1532" s="1274" t="s">
        <v>2210</v>
      </c>
      <c r="F1532" s="1270">
        <v>2500</v>
      </c>
      <c r="G1532" s="754">
        <f>1700.9+300</f>
        <v>2000.9</v>
      </c>
      <c r="H1532" s="790">
        <v>3218.8</v>
      </c>
      <c r="I1532" s="754">
        <f t="shared" si="159"/>
        <v>3238.1128000000003</v>
      </c>
      <c r="J1532" s="754">
        <f t="shared" si="159"/>
        <v>3257.5414768000005</v>
      </c>
      <c r="K1532" s="514" t="s">
        <v>2211</v>
      </c>
      <c r="L1532" s="693" t="s">
        <v>35</v>
      </c>
      <c r="M1532" s="1272">
        <v>1</v>
      </c>
      <c r="N1532" s="1272">
        <v>1</v>
      </c>
      <c r="O1532" s="1272">
        <v>1</v>
      </c>
      <c r="P1532" s="1272">
        <v>1</v>
      </c>
      <c r="Q1532" s="1272">
        <v>1</v>
      </c>
    </row>
    <row r="1533" spans="2:17" ht="30" x14ac:dyDescent="0.25">
      <c r="B1533" s="1268"/>
      <c r="C1533" s="795">
        <v>42</v>
      </c>
      <c r="D1533" s="1269"/>
      <c r="E1533" s="1275" t="s">
        <v>2212</v>
      </c>
      <c r="F1533" s="1270">
        <v>1620.2</v>
      </c>
      <c r="G1533" s="754">
        <f>1441.2+200</f>
        <v>1641.2</v>
      </c>
      <c r="H1533" s="790">
        <v>1641.2</v>
      </c>
      <c r="I1533" s="754">
        <f t="shared" si="159"/>
        <v>1651.0472</v>
      </c>
      <c r="J1533" s="754">
        <f t="shared" si="159"/>
        <v>1660.9534831999999</v>
      </c>
      <c r="K1533" s="514" t="s">
        <v>2213</v>
      </c>
      <c r="L1533" s="693" t="s">
        <v>173</v>
      </c>
      <c r="M1533" s="693">
        <v>12</v>
      </c>
      <c r="N1533" s="693">
        <v>12</v>
      </c>
      <c r="O1533" s="693">
        <v>5</v>
      </c>
      <c r="P1533" s="693">
        <v>5</v>
      </c>
      <c r="Q1533" s="693">
        <v>5</v>
      </c>
    </row>
    <row r="1534" spans="2:17" x14ac:dyDescent="0.25">
      <c r="B1534" s="1952"/>
      <c r="C1534" s="2168">
        <v>43</v>
      </c>
      <c r="D1534" s="2159"/>
      <c r="E1534" s="2170" t="s">
        <v>2214</v>
      </c>
      <c r="F1534" s="2163">
        <v>850</v>
      </c>
      <c r="G1534" s="1823">
        <f>746.5+115</f>
        <v>861.5</v>
      </c>
      <c r="H1534" s="1933">
        <v>861.5</v>
      </c>
      <c r="I1534" s="1823">
        <f t="shared" si="159"/>
        <v>866.66899999999998</v>
      </c>
      <c r="J1534" s="1823">
        <f t="shared" si="159"/>
        <v>871.86901399999999</v>
      </c>
      <c r="K1534" s="514" t="s">
        <v>2215</v>
      </c>
      <c r="L1534" s="693" t="s">
        <v>173</v>
      </c>
      <c r="M1534" s="693">
        <v>1</v>
      </c>
      <c r="N1534" s="693">
        <v>1</v>
      </c>
      <c r="O1534" s="693">
        <v>1</v>
      </c>
      <c r="P1534" s="693">
        <v>1</v>
      </c>
      <c r="Q1534" s="693">
        <v>1</v>
      </c>
    </row>
    <row r="1535" spans="2:17" ht="30" x14ac:dyDescent="0.25">
      <c r="B1535" s="1953"/>
      <c r="C1535" s="2169"/>
      <c r="D1535" s="2160"/>
      <c r="E1535" s="2171"/>
      <c r="F1535" s="2164"/>
      <c r="G1535" s="1824"/>
      <c r="H1535" s="1934"/>
      <c r="I1535" s="1824"/>
      <c r="J1535" s="1824"/>
      <c r="K1535" s="514" t="s">
        <v>2216</v>
      </c>
      <c r="L1535" s="693" t="s">
        <v>173</v>
      </c>
      <c r="M1535" s="693">
        <v>2</v>
      </c>
      <c r="N1535" s="693">
        <v>1</v>
      </c>
      <c r="O1535" s="693">
        <v>1</v>
      </c>
      <c r="P1535" s="693">
        <v>1</v>
      </c>
      <c r="Q1535" s="693">
        <v>1</v>
      </c>
    </row>
    <row r="1536" spans="2:17" ht="30" x14ac:dyDescent="0.25">
      <c r="B1536" s="1268"/>
      <c r="C1536" s="795">
        <v>27</v>
      </c>
      <c r="D1536" s="1269"/>
      <c r="E1536" s="1273" t="s">
        <v>2217</v>
      </c>
      <c r="F1536" s="1270">
        <v>713</v>
      </c>
      <c r="G1536" s="754">
        <f>690.1+110</f>
        <v>800.1</v>
      </c>
      <c r="H1536" s="790">
        <v>800.1</v>
      </c>
      <c r="I1536" s="754">
        <f t="shared" ref="I1536:J1537" si="160">H1536*0.6%+H1536</f>
        <v>804.90060000000005</v>
      </c>
      <c r="J1536" s="754">
        <f t="shared" si="160"/>
        <v>809.73000360000003</v>
      </c>
      <c r="K1536" s="514" t="s">
        <v>2218</v>
      </c>
      <c r="L1536" s="693" t="s">
        <v>173</v>
      </c>
      <c r="M1536" s="693">
        <v>10</v>
      </c>
      <c r="N1536" s="693">
        <v>10</v>
      </c>
      <c r="O1536" s="693">
        <v>10</v>
      </c>
      <c r="P1536" s="693">
        <v>10</v>
      </c>
      <c r="Q1536" s="693">
        <v>10</v>
      </c>
    </row>
    <row r="1537" spans="2:17" ht="30" x14ac:dyDescent="0.25">
      <c r="B1537" s="1268"/>
      <c r="C1537" s="563">
        <v>6</v>
      </c>
      <c r="D1537" s="1269"/>
      <c r="E1537" s="693" t="s">
        <v>14</v>
      </c>
      <c r="F1537" s="1270">
        <v>2103.4</v>
      </c>
      <c r="G1537" s="754">
        <f>4411.7+1060+50+1945</f>
        <v>7466.7</v>
      </c>
      <c r="H1537" s="790">
        <v>8684.6</v>
      </c>
      <c r="I1537" s="754">
        <f t="shared" si="160"/>
        <v>8736.7075999999997</v>
      </c>
      <c r="J1537" s="754">
        <f t="shared" si="160"/>
        <v>8789.1278456</v>
      </c>
      <c r="K1537" s="514"/>
      <c r="L1537" s="693"/>
      <c r="M1537" s="693"/>
      <c r="N1537" s="693"/>
      <c r="O1537" s="693"/>
      <c r="P1537" s="693"/>
      <c r="Q1537" s="693"/>
    </row>
    <row r="1538" spans="2:17" ht="58.5" x14ac:dyDescent="0.25">
      <c r="B1538" s="847">
        <v>2</v>
      </c>
      <c r="C1538" s="677"/>
      <c r="D1538" s="1266"/>
      <c r="E1538" s="952" t="s">
        <v>2219</v>
      </c>
      <c r="F1538" s="1276">
        <f>SUM(F1539:F1543)</f>
        <v>286493.8</v>
      </c>
      <c r="G1538" s="683">
        <f>SUM(G1539:G1543)</f>
        <v>190284.1</v>
      </c>
      <c r="H1538" s="683">
        <f>SUM(H1539:H1543)</f>
        <v>213177.8</v>
      </c>
      <c r="I1538" s="683">
        <f>SUM(I1539:I1543)</f>
        <v>214456.86680000002</v>
      </c>
      <c r="J1538" s="683">
        <f>SUM(J1539:J1543)</f>
        <v>215743.60800080001</v>
      </c>
      <c r="K1538" s="410" t="s">
        <v>2220</v>
      </c>
      <c r="L1538" s="1277" t="s">
        <v>35</v>
      </c>
      <c r="M1538" s="1136">
        <v>0.16</v>
      </c>
      <c r="N1538" s="1136">
        <v>0.2</v>
      </c>
      <c r="O1538" s="1136">
        <v>0.2</v>
      </c>
      <c r="P1538" s="1136">
        <v>0.22</v>
      </c>
      <c r="Q1538" s="1136">
        <v>0.25</v>
      </c>
    </row>
    <row r="1539" spans="2:17" ht="30" x14ac:dyDescent="0.25">
      <c r="B1539" s="1268"/>
      <c r="C1539" s="1278">
        <v>1</v>
      </c>
      <c r="D1539" s="1269"/>
      <c r="E1539" s="678" t="s">
        <v>2221</v>
      </c>
      <c r="F1539" s="1279">
        <v>1824.1</v>
      </c>
      <c r="G1539" s="786">
        <f>1497+300</f>
        <v>1797</v>
      </c>
      <c r="H1539" s="706">
        <v>1797</v>
      </c>
      <c r="I1539" s="786">
        <f t="shared" ref="I1539:J1543" si="161">H1539*0.6%+H1539</f>
        <v>1807.7819999999999</v>
      </c>
      <c r="J1539" s="786">
        <f t="shared" si="161"/>
        <v>1818.628692</v>
      </c>
      <c r="K1539" s="514" t="s">
        <v>2222</v>
      </c>
      <c r="L1539" s="693" t="s">
        <v>35</v>
      </c>
      <c r="M1539" s="1280">
        <v>0.7</v>
      </c>
      <c r="N1539" s="1280">
        <v>0.8</v>
      </c>
      <c r="O1539" s="1280">
        <v>0.9</v>
      </c>
      <c r="P1539" s="1280">
        <v>1</v>
      </c>
      <c r="Q1539" s="1280">
        <v>1</v>
      </c>
    </row>
    <row r="1540" spans="2:17" ht="30" x14ac:dyDescent="0.25">
      <c r="B1540" s="1268"/>
      <c r="C1540" s="1281">
        <v>2</v>
      </c>
      <c r="D1540" s="1269"/>
      <c r="E1540" s="693" t="s">
        <v>2223</v>
      </c>
      <c r="F1540" s="843">
        <f>69765.2+55304.1+3955-960.4</f>
        <v>128063.9</v>
      </c>
      <c r="G1540" s="761">
        <f>73796+26757+17473.4+2350.8</f>
        <v>120377.2</v>
      </c>
      <c r="H1540" s="706">
        <v>112869.3</v>
      </c>
      <c r="I1540" s="786">
        <f t="shared" si="161"/>
        <v>113546.51580000001</v>
      </c>
      <c r="J1540" s="786">
        <f t="shared" si="161"/>
        <v>114227.79489480001</v>
      </c>
      <c r="K1540" s="514" t="s">
        <v>2224</v>
      </c>
      <c r="L1540" s="1277" t="s">
        <v>173</v>
      </c>
      <c r="M1540" s="398">
        <v>1400</v>
      </c>
      <c r="N1540" s="398">
        <v>1400</v>
      </c>
      <c r="O1540" s="398">
        <v>1400</v>
      </c>
      <c r="P1540" s="398">
        <v>1400</v>
      </c>
      <c r="Q1540" s="398">
        <v>1400</v>
      </c>
    </row>
    <row r="1541" spans="2:17" ht="30" x14ac:dyDescent="0.25">
      <c r="B1541" s="1268"/>
      <c r="C1541" s="1278">
        <v>3</v>
      </c>
      <c r="D1541" s="1269"/>
      <c r="E1541" s="693" t="s">
        <v>2225</v>
      </c>
      <c r="F1541" s="843">
        <v>5000</v>
      </c>
      <c r="G1541" s="761">
        <v>24175.200000000001</v>
      </c>
      <c r="H1541" s="79">
        <v>16276.8</v>
      </c>
      <c r="I1541" s="761">
        <f t="shared" si="161"/>
        <v>16374.460799999999</v>
      </c>
      <c r="J1541" s="786">
        <f t="shared" si="161"/>
        <v>16472.707564799999</v>
      </c>
      <c r="K1541" s="514" t="s">
        <v>2226</v>
      </c>
      <c r="L1541" s="1277" t="s">
        <v>173</v>
      </c>
      <c r="M1541" s="398">
        <v>20</v>
      </c>
      <c r="N1541" s="398">
        <v>24</v>
      </c>
      <c r="O1541" s="398">
        <v>25</v>
      </c>
      <c r="P1541" s="398">
        <v>25</v>
      </c>
      <c r="Q1541" s="398">
        <v>25</v>
      </c>
    </row>
    <row r="1542" spans="2:17" x14ac:dyDescent="0.25">
      <c r="B1542" s="1268"/>
      <c r="C1542" s="1278">
        <v>4</v>
      </c>
      <c r="D1542" s="1269"/>
      <c r="E1542" s="693" t="s">
        <v>2227</v>
      </c>
      <c r="F1542" s="843">
        <v>132000</v>
      </c>
      <c r="G1542" s="761">
        <v>0</v>
      </c>
      <c r="H1542" s="706"/>
      <c r="I1542" s="786">
        <v>0</v>
      </c>
      <c r="J1542" s="786">
        <f t="shared" si="161"/>
        <v>0</v>
      </c>
      <c r="K1542" s="514"/>
      <c r="L1542" s="1277"/>
      <c r="M1542" s="1168"/>
      <c r="N1542" s="1168"/>
      <c r="O1542" s="1168"/>
      <c r="P1542" s="695"/>
      <c r="Q1542" s="695"/>
    </row>
    <row r="1543" spans="2:17" ht="30" x14ac:dyDescent="0.25">
      <c r="B1543" s="1268"/>
      <c r="C1543" s="1282">
        <v>5</v>
      </c>
      <c r="D1543" s="1269"/>
      <c r="E1543" s="693" t="s">
        <v>2228</v>
      </c>
      <c r="F1543" s="1279">
        <v>19605.8</v>
      </c>
      <c r="G1543" s="786">
        <f>42308.3+1626.4</f>
        <v>43934.700000000004</v>
      </c>
      <c r="H1543" s="706">
        <v>82234.7</v>
      </c>
      <c r="I1543" s="786">
        <f>H1543*0.6%+H1543</f>
        <v>82728.108200000002</v>
      </c>
      <c r="J1543" s="786">
        <f t="shared" si="161"/>
        <v>83224.4768492</v>
      </c>
      <c r="K1543" s="514" t="s">
        <v>2229</v>
      </c>
      <c r="L1543" s="1277" t="s">
        <v>173</v>
      </c>
      <c r="M1543" s="1051">
        <v>47000</v>
      </c>
      <c r="N1543" s="1051">
        <v>50000</v>
      </c>
      <c r="O1543" s="1051">
        <v>53000</v>
      </c>
      <c r="P1543" s="1051">
        <v>56000</v>
      </c>
      <c r="Q1543" s="1051">
        <v>59000</v>
      </c>
    </row>
    <row r="1544" spans="2:17" ht="59.25" x14ac:dyDescent="0.25">
      <c r="B1544" s="856">
        <v>3</v>
      </c>
      <c r="C1544" s="1283"/>
      <c r="D1544" s="1284"/>
      <c r="E1544" s="952" t="s">
        <v>2230</v>
      </c>
      <c r="F1544" s="655">
        <f>SUM(F1545:F1550)</f>
        <v>540137.69999999995</v>
      </c>
      <c r="G1544" s="672">
        <f>SUM(G1545:G1550)</f>
        <v>696402.10000000009</v>
      </c>
      <c r="H1544" s="672">
        <f>SUM(H1545:H1550)</f>
        <v>775687.60000000009</v>
      </c>
      <c r="I1544" s="672">
        <f t="shared" ref="I1544:J1544" si="162">SUM(I1545:I1550)</f>
        <v>817884.82559999998</v>
      </c>
      <c r="J1544" s="672">
        <f t="shared" si="162"/>
        <v>840600.13455359999</v>
      </c>
      <c r="K1544" s="1285" t="s">
        <v>2231</v>
      </c>
      <c r="L1544" s="152" t="s">
        <v>35</v>
      </c>
      <c r="M1544" s="1286">
        <v>30</v>
      </c>
      <c r="N1544" s="1286">
        <v>40</v>
      </c>
      <c r="O1544" s="1286">
        <v>50</v>
      </c>
      <c r="P1544" s="1286">
        <v>60</v>
      </c>
      <c r="Q1544" s="1286">
        <v>60</v>
      </c>
    </row>
    <row r="1545" spans="2:17" ht="45" x14ac:dyDescent="0.25">
      <c r="B1545" s="1268"/>
      <c r="C1545" s="1278">
        <v>1</v>
      </c>
      <c r="D1545" s="1269"/>
      <c r="E1545" s="693" t="s">
        <v>2232</v>
      </c>
      <c r="F1545" s="1279">
        <v>1053.0999999999999</v>
      </c>
      <c r="G1545" s="786">
        <f>1112.1+180.4</f>
        <v>1292.5</v>
      </c>
      <c r="H1545" s="706">
        <v>1292.5</v>
      </c>
      <c r="I1545" s="786">
        <f t="shared" ref="I1545:J1549" si="163">H1545*0.6%+H1545</f>
        <v>1300.2550000000001</v>
      </c>
      <c r="J1545" s="786">
        <f t="shared" si="163"/>
        <v>1308.0565300000001</v>
      </c>
      <c r="K1545" s="514" t="s">
        <v>2233</v>
      </c>
      <c r="L1545" s="693" t="s">
        <v>173</v>
      </c>
      <c r="M1545" s="868">
        <v>5</v>
      </c>
      <c r="N1545" s="868">
        <v>6</v>
      </c>
      <c r="O1545" s="868">
        <v>6</v>
      </c>
      <c r="P1545" s="868">
        <v>6</v>
      </c>
      <c r="Q1545" s="868">
        <v>6</v>
      </c>
    </row>
    <row r="1546" spans="2:17" ht="30" x14ac:dyDescent="0.25">
      <c r="B1546" s="1287"/>
      <c r="C1546" s="1288">
        <v>2</v>
      </c>
      <c r="D1546" s="695"/>
      <c r="E1546" s="693" t="s">
        <v>2234</v>
      </c>
      <c r="F1546" s="1279">
        <f>72000-7809.3+1944.2</f>
        <v>66134.899999999994</v>
      </c>
      <c r="G1546" s="786">
        <v>123550.5</v>
      </c>
      <c r="H1546" s="706">
        <f>73747.8+3000</f>
        <v>76747.8</v>
      </c>
      <c r="I1546" s="786">
        <f>H1546*0.6%+H1546</f>
        <v>77208.286800000002</v>
      </c>
      <c r="J1546" s="786">
        <f t="shared" si="163"/>
        <v>77671.5365208</v>
      </c>
      <c r="K1546" s="1289" t="s">
        <v>2235</v>
      </c>
      <c r="L1546" s="693" t="s">
        <v>173</v>
      </c>
      <c r="M1546" s="868">
        <v>395</v>
      </c>
      <c r="N1546" s="868">
        <v>395</v>
      </c>
      <c r="O1546" s="868">
        <v>395</v>
      </c>
      <c r="P1546" s="868">
        <v>395</v>
      </c>
      <c r="Q1546" s="868">
        <v>395</v>
      </c>
    </row>
    <row r="1547" spans="2:17" ht="30" x14ac:dyDescent="0.25">
      <c r="B1547" s="1287"/>
      <c r="C1547" s="1288">
        <v>3</v>
      </c>
      <c r="D1547" s="695"/>
      <c r="E1547" s="693" t="s">
        <v>2236</v>
      </c>
      <c r="F1547" s="1279">
        <f>320688.2-1944.2</f>
        <v>318744</v>
      </c>
      <c r="G1547" s="786">
        <f>394918-34.1</f>
        <v>394883.9</v>
      </c>
      <c r="H1547" s="706">
        <v>454822.1</v>
      </c>
      <c r="I1547" s="786">
        <f>H1547*0.6%+H1547+5543.1</f>
        <v>463094.13259999995</v>
      </c>
      <c r="J1547" s="786">
        <f>I1547*0.6%+I1547</f>
        <v>465872.69739559997</v>
      </c>
      <c r="K1547" s="1289" t="s">
        <v>2237</v>
      </c>
      <c r="L1547" s="1277" t="s">
        <v>173</v>
      </c>
      <c r="M1547" s="1168">
        <v>45000</v>
      </c>
      <c r="N1547" s="1168">
        <v>45500</v>
      </c>
      <c r="O1547" s="1168">
        <v>46000</v>
      </c>
      <c r="P1547" s="1168">
        <v>46500</v>
      </c>
      <c r="Q1547" s="1168">
        <v>47000</v>
      </c>
    </row>
    <row r="1548" spans="2:17" ht="45" x14ac:dyDescent="0.25">
      <c r="B1548" s="1287"/>
      <c r="C1548" s="1288">
        <v>4</v>
      </c>
      <c r="D1548" s="695"/>
      <c r="E1548" s="693" t="s">
        <v>2238</v>
      </c>
      <c r="F1548" s="1279">
        <v>120000</v>
      </c>
      <c r="G1548" s="786">
        <f>108886.1+35089.1</f>
        <v>143975.20000000001</v>
      </c>
      <c r="H1548" s="706">
        <v>242175.2</v>
      </c>
      <c r="I1548" s="786">
        <f t="shared" ref="I1548:I1549" si="164">H1548*0.6%+H1548</f>
        <v>243628.2512</v>
      </c>
      <c r="J1548" s="786">
        <f t="shared" si="163"/>
        <v>245090.02070719999</v>
      </c>
      <c r="K1548" s="514" t="s">
        <v>2239</v>
      </c>
      <c r="L1548" s="1277" t="s">
        <v>173</v>
      </c>
      <c r="M1548" s="398">
        <v>270</v>
      </c>
      <c r="N1548" s="398">
        <v>290</v>
      </c>
      <c r="O1548" s="398">
        <v>520</v>
      </c>
      <c r="P1548" s="398">
        <v>530</v>
      </c>
      <c r="Q1548" s="398">
        <v>540</v>
      </c>
    </row>
    <row r="1549" spans="2:17" ht="30" x14ac:dyDescent="0.25">
      <c r="B1549" s="1287"/>
      <c r="C1549" s="1288">
        <v>5</v>
      </c>
      <c r="D1549" s="695"/>
      <c r="E1549" s="693" t="s">
        <v>2240</v>
      </c>
      <c r="F1549" s="885">
        <v>2205.6999999999998</v>
      </c>
      <c r="G1549" s="786">
        <v>700</v>
      </c>
      <c r="H1549" s="706">
        <v>650</v>
      </c>
      <c r="I1549" s="786">
        <f t="shared" si="164"/>
        <v>653.9</v>
      </c>
      <c r="J1549" s="786">
        <f t="shared" si="163"/>
        <v>657.82339999999999</v>
      </c>
      <c r="K1549" s="514" t="s">
        <v>2241</v>
      </c>
      <c r="L1549" s="1277" t="s">
        <v>173</v>
      </c>
      <c r="M1549" s="398">
        <v>2</v>
      </c>
      <c r="N1549" s="398">
        <v>2</v>
      </c>
      <c r="O1549" s="398">
        <v>1</v>
      </c>
      <c r="P1549" s="398">
        <v>1</v>
      </c>
      <c r="Q1549" s="398">
        <v>1</v>
      </c>
    </row>
    <row r="1550" spans="2:17" ht="30" x14ac:dyDescent="0.25">
      <c r="B1550" s="1287"/>
      <c r="C1550" s="1288">
        <v>6</v>
      </c>
      <c r="D1550" s="695"/>
      <c r="E1550" s="693" t="s">
        <v>2242</v>
      </c>
      <c r="F1550" s="1279">
        <v>32000</v>
      </c>
      <c r="G1550" s="786">
        <v>32000</v>
      </c>
      <c r="H1550" s="706"/>
      <c r="I1550" s="786">
        <v>32000</v>
      </c>
      <c r="J1550" s="786">
        <v>50000</v>
      </c>
      <c r="K1550" s="514" t="s">
        <v>2243</v>
      </c>
      <c r="L1550" s="1277" t="s">
        <v>173</v>
      </c>
      <c r="M1550" s="398">
        <v>240</v>
      </c>
      <c r="N1550" s="398">
        <v>200</v>
      </c>
      <c r="O1550" s="398">
        <v>200</v>
      </c>
      <c r="P1550" s="398">
        <v>200</v>
      </c>
      <c r="Q1550" s="398">
        <v>200</v>
      </c>
    </row>
    <row r="1551" spans="2:17" ht="59.25" x14ac:dyDescent="0.25">
      <c r="B1551" s="508">
        <v>4</v>
      </c>
      <c r="C1551" s="472"/>
      <c r="D1551" s="516"/>
      <c r="E1551" s="152" t="s">
        <v>2244</v>
      </c>
      <c r="F1551" s="683">
        <f>SUM(F1552:F1557)</f>
        <v>16717.399999999998</v>
      </c>
      <c r="G1551" s="683">
        <f>SUM(G1552:G1557)</f>
        <v>13876.7</v>
      </c>
      <c r="H1551" s="683">
        <f>SUM(H1552:H1557)</f>
        <v>13876.7</v>
      </c>
      <c r="I1551" s="683">
        <f>SUM(I1552:I1557)</f>
        <v>13959.9602</v>
      </c>
      <c r="J1551" s="683">
        <f>SUM(J1552:J1557)</f>
        <v>14043.7199612</v>
      </c>
      <c r="K1551" s="1290" t="s">
        <v>2245</v>
      </c>
      <c r="L1551" s="1291" t="s">
        <v>116</v>
      </c>
      <c r="M1551" s="1292">
        <v>3</v>
      </c>
      <c r="N1551" s="1292">
        <v>4</v>
      </c>
      <c r="O1551" s="1292">
        <v>5</v>
      </c>
      <c r="P1551" s="1292">
        <v>6</v>
      </c>
      <c r="Q1551" s="1292">
        <v>6</v>
      </c>
    </row>
    <row r="1552" spans="2:17" ht="45" x14ac:dyDescent="0.25">
      <c r="B1552" s="1287"/>
      <c r="C1552" s="1288">
        <v>1</v>
      </c>
      <c r="D1552" s="695"/>
      <c r="E1552" s="693" t="s">
        <v>2246</v>
      </c>
      <c r="F1552" s="1279">
        <v>3500</v>
      </c>
      <c r="G1552" s="786">
        <v>1000</v>
      </c>
      <c r="H1552" s="706">
        <v>1000</v>
      </c>
      <c r="I1552" s="786">
        <f t="shared" ref="I1552:J1557" si="165">H1552*0.6%+H1552</f>
        <v>1006</v>
      </c>
      <c r="J1552" s="786">
        <f t="shared" si="165"/>
        <v>1012.0359999999999</v>
      </c>
      <c r="K1552" s="1293" t="s">
        <v>2247</v>
      </c>
      <c r="L1552" s="1277" t="s">
        <v>173</v>
      </c>
      <c r="M1552" s="1294">
        <v>10</v>
      </c>
      <c r="N1552" s="1294">
        <v>13</v>
      </c>
      <c r="O1552" s="1294">
        <v>10</v>
      </c>
      <c r="P1552" s="1294">
        <v>10</v>
      </c>
      <c r="Q1552" s="1294">
        <v>10</v>
      </c>
    </row>
    <row r="1553" spans="2:17" ht="75" x14ac:dyDescent="0.25">
      <c r="B1553" s="1287"/>
      <c r="C1553" s="1288">
        <v>2</v>
      </c>
      <c r="D1553" s="695"/>
      <c r="E1553" s="693" t="s">
        <v>2248</v>
      </c>
      <c r="F1553" s="1279">
        <f>7290+2065.4</f>
        <v>9355.4</v>
      </c>
      <c r="G1553" s="786">
        <v>7000</v>
      </c>
      <c r="H1553" s="706">
        <v>7000</v>
      </c>
      <c r="I1553" s="786">
        <f t="shared" si="165"/>
        <v>7042</v>
      </c>
      <c r="J1553" s="786">
        <f t="shared" si="165"/>
        <v>7084.2520000000004</v>
      </c>
      <c r="K1553" s="517" t="s">
        <v>2249</v>
      </c>
      <c r="L1553" s="1277" t="s">
        <v>173</v>
      </c>
      <c r="M1553" s="1294">
        <v>10</v>
      </c>
      <c r="N1553" s="1294">
        <v>10</v>
      </c>
      <c r="O1553" s="1294">
        <v>10</v>
      </c>
      <c r="P1553" s="1294">
        <v>10</v>
      </c>
      <c r="Q1553" s="1294">
        <v>10</v>
      </c>
    </row>
    <row r="1554" spans="2:17" ht="30" x14ac:dyDescent="0.25">
      <c r="B1554" s="1287"/>
      <c r="C1554" s="1288">
        <v>3</v>
      </c>
      <c r="D1554" s="695"/>
      <c r="E1554" s="693" t="s">
        <v>2250</v>
      </c>
      <c r="F1554" s="1279">
        <v>1400</v>
      </c>
      <c r="G1554" s="786">
        <v>3000</v>
      </c>
      <c r="H1554" s="706">
        <v>3000</v>
      </c>
      <c r="I1554" s="786">
        <f t="shared" si="165"/>
        <v>3018</v>
      </c>
      <c r="J1554" s="786">
        <f t="shared" si="165"/>
        <v>3036.1080000000002</v>
      </c>
      <c r="K1554" s="1295" t="s">
        <v>2251</v>
      </c>
      <c r="L1554" s="1277" t="s">
        <v>173</v>
      </c>
      <c r="M1554" s="1294">
        <v>14</v>
      </c>
      <c r="N1554" s="1294">
        <v>14</v>
      </c>
      <c r="O1554" s="1294">
        <v>14</v>
      </c>
      <c r="P1554" s="1294">
        <v>14</v>
      </c>
      <c r="Q1554" s="1294">
        <v>14</v>
      </c>
    </row>
    <row r="1555" spans="2:17" ht="30" x14ac:dyDescent="0.25">
      <c r="B1555" s="1952"/>
      <c r="C1555" s="2157">
        <v>4</v>
      </c>
      <c r="D1555" s="2159"/>
      <c r="E1555" s="2161" t="s">
        <v>2252</v>
      </c>
      <c r="F1555" s="2163">
        <v>1239.8</v>
      </c>
      <c r="G1555" s="1823">
        <f>200+1247.2</f>
        <v>1447.2</v>
      </c>
      <c r="H1555" s="1933">
        <v>1447.2</v>
      </c>
      <c r="I1555" s="1823">
        <f t="shared" si="165"/>
        <v>1455.8832</v>
      </c>
      <c r="J1555" s="1823">
        <f t="shared" si="165"/>
        <v>1464.6184992000001</v>
      </c>
      <c r="K1555" s="1296" t="s">
        <v>2253</v>
      </c>
      <c r="L1555" s="1277" t="s">
        <v>116</v>
      </c>
      <c r="M1555" s="1294">
        <v>12</v>
      </c>
      <c r="N1555" s="1294">
        <v>18</v>
      </c>
      <c r="O1555" s="1294">
        <v>13</v>
      </c>
      <c r="P1555" s="1294">
        <v>14</v>
      </c>
      <c r="Q1555" s="1294">
        <v>15</v>
      </c>
    </row>
    <row r="1556" spans="2:17" ht="30" x14ac:dyDescent="0.25">
      <c r="B1556" s="1953"/>
      <c r="C1556" s="2158"/>
      <c r="D1556" s="2160"/>
      <c r="E1556" s="2162"/>
      <c r="F1556" s="2164"/>
      <c r="G1556" s="1824"/>
      <c r="H1556" s="1934"/>
      <c r="I1556" s="1824"/>
      <c r="J1556" s="1824"/>
      <c r="K1556" s="1296" t="s">
        <v>2254</v>
      </c>
      <c r="L1556" s="1277" t="s">
        <v>274</v>
      </c>
      <c r="M1556" s="1294">
        <v>1000</v>
      </c>
      <c r="N1556" s="1294">
        <v>1000</v>
      </c>
      <c r="O1556" s="1294">
        <v>1000</v>
      </c>
      <c r="P1556" s="1294">
        <v>1000</v>
      </c>
      <c r="Q1556" s="1294">
        <v>1000</v>
      </c>
    </row>
    <row r="1557" spans="2:17" ht="30" x14ac:dyDescent="0.25">
      <c r="B1557" s="1268"/>
      <c r="C1557" s="1278">
        <v>5</v>
      </c>
      <c r="D1557" s="1297"/>
      <c r="E1557" s="678" t="s">
        <v>2255</v>
      </c>
      <c r="F1557" s="1279">
        <v>1222.2</v>
      </c>
      <c r="G1557" s="753">
        <f>1229.5+200</f>
        <v>1429.5</v>
      </c>
      <c r="H1557" s="789">
        <v>1429.5</v>
      </c>
      <c r="I1557" s="753">
        <f t="shared" ref="I1557" si="166">H1557*0.6%+H1557</f>
        <v>1438.077</v>
      </c>
      <c r="J1557" s="753">
        <f t="shared" si="165"/>
        <v>1446.7054619999999</v>
      </c>
      <c r="K1557" s="1298" t="s">
        <v>2256</v>
      </c>
      <c r="L1557" s="1299" t="s">
        <v>173</v>
      </c>
      <c r="M1557" s="1300">
        <v>4</v>
      </c>
      <c r="N1557" s="1300">
        <v>5</v>
      </c>
      <c r="O1557" s="1300">
        <v>4</v>
      </c>
      <c r="P1557" s="1300">
        <v>4</v>
      </c>
      <c r="Q1557" s="1300">
        <v>4</v>
      </c>
    </row>
    <row r="1558" spans="2:17" x14ac:dyDescent="0.25">
      <c r="B1558" s="1735" t="s">
        <v>85</v>
      </c>
      <c r="C1558" s="1735"/>
      <c r="D1558" s="1735"/>
      <c r="E1558" s="1735"/>
      <c r="F1558" s="904">
        <f>F1526+F1538+F1544+F1551</f>
        <v>860324.2</v>
      </c>
      <c r="G1558" s="1301">
        <f>G1551+G1544+G1538+G1526</f>
        <v>921823.5</v>
      </c>
      <c r="H1558" s="904">
        <f>H1551+H1544+H1538+H1526</f>
        <v>1031610.1000000001</v>
      </c>
      <c r="I1558" s="904">
        <f>I1551+I1544+I1538+I1526</f>
        <v>1075342.8606</v>
      </c>
      <c r="J1558" s="904">
        <f>J1551+J1544+J1538+J1526</f>
        <v>1099602.9177636001</v>
      </c>
      <c r="K1558" s="1302"/>
      <c r="L1558" s="1736"/>
      <c r="M1558" s="1736"/>
      <c r="N1558" s="1736"/>
      <c r="O1558" s="1736"/>
      <c r="P1558" s="1736"/>
      <c r="Q1558" s="697"/>
    </row>
    <row r="1559" spans="2:17" x14ac:dyDescent="0.25">
      <c r="B1559" s="1722" t="s">
        <v>2257</v>
      </c>
      <c r="C1559" s="1698"/>
      <c r="D1559" s="1698"/>
      <c r="E1559" s="1944"/>
      <c r="F1559" s="1698"/>
      <c r="G1559" s="1698"/>
      <c r="H1559" s="1698"/>
      <c r="I1559" s="1698"/>
      <c r="J1559" s="1698"/>
      <c r="K1559" s="1698"/>
      <c r="L1559" s="1698"/>
      <c r="M1559" s="1698"/>
      <c r="N1559" s="1698"/>
      <c r="O1559" s="1698"/>
      <c r="P1559" s="1698"/>
      <c r="Q1559" s="1919"/>
    </row>
    <row r="1560" spans="2:17" ht="28.5" x14ac:dyDescent="0.25">
      <c r="B1560" s="1954">
        <v>1</v>
      </c>
      <c r="C1560" s="1977"/>
      <c r="D1560" s="1978"/>
      <c r="E1560" s="1303" t="s">
        <v>86</v>
      </c>
      <c r="F1560" s="1956">
        <f>F1562+F1563+F1564+F1565</f>
        <v>7065.7</v>
      </c>
      <c r="G1560" s="1956">
        <f t="shared" ref="G1560:J1560" si="167">G1562+G1563+G1564+G1565</f>
        <v>7065.7000000000007</v>
      </c>
      <c r="H1560" s="1956">
        <f t="shared" si="167"/>
        <v>6652.4</v>
      </c>
      <c r="I1560" s="1956">
        <f t="shared" si="167"/>
        <v>7074.2</v>
      </c>
      <c r="J1560" s="1956">
        <f t="shared" si="167"/>
        <v>7134.2</v>
      </c>
      <c r="K1560" s="1980"/>
      <c r="L1560" s="1982"/>
      <c r="M1560" s="1982"/>
      <c r="N1560" s="1982"/>
      <c r="O1560" s="1982"/>
      <c r="P1560" s="1982"/>
      <c r="Q1560" s="2153"/>
    </row>
    <row r="1561" spans="2:17" ht="45" x14ac:dyDescent="0.25">
      <c r="B1561" s="1955"/>
      <c r="C1561" s="1977"/>
      <c r="D1561" s="1979"/>
      <c r="E1561" s="1304" t="s">
        <v>2258</v>
      </c>
      <c r="F1561" s="1957"/>
      <c r="G1561" s="1957"/>
      <c r="H1561" s="1957"/>
      <c r="I1561" s="1957"/>
      <c r="J1561" s="1957"/>
      <c r="K1561" s="1981"/>
      <c r="L1561" s="1983"/>
      <c r="M1561" s="1983"/>
      <c r="N1561" s="1983"/>
      <c r="O1561" s="1983"/>
      <c r="P1561" s="1983"/>
      <c r="Q1561" s="1955"/>
    </row>
    <row r="1562" spans="2:17" x14ac:dyDescent="0.25">
      <c r="B1562" s="698"/>
      <c r="C1562" s="793" t="s">
        <v>5</v>
      </c>
      <c r="D1562" s="46"/>
      <c r="E1562" s="781" t="s">
        <v>2259</v>
      </c>
      <c r="F1562" s="534">
        <v>1414.8</v>
      </c>
      <c r="G1562" s="534">
        <v>1414.8</v>
      </c>
      <c r="H1562" s="534">
        <v>1414.8</v>
      </c>
      <c r="I1562" s="534">
        <v>1414.8</v>
      </c>
      <c r="J1562" s="534">
        <v>1474.8</v>
      </c>
      <c r="K1562" s="130" t="s">
        <v>36</v>
      </c>
      <c r="L1562" s="915" t="s">
        <v>35</v>
      </c>
      <c r="M1562" s="915">
        <v>35</v>
      </c>
      <c r="N1562" s="915">
        <v>45</v>
      </c>
      <c r="O1562" s="915">
        <v>50</v>
      </c>
      <c r="P1562" s="915">
        <v>60</v>
      </c>
      <c r="Q1562" s="915">
        <v>80</v>
      </c>
    </row>
    <row r="1563" spans="2:17" ht="30" x14ac:dyDescent="0.25">
      <c r="B1563" s="270"/>
      <c r="C1563" s="793" t="s">
        <v>7</v>
      </c>
      <c r="D1563" s="270"/>
      <c r="E1563" s="918" t="s">
        <v>2260</v>
      </c>
      <c r="F1563" s="534">
        <v>699.1</v>
      </c>
      <c r="G1563" s="534">
        <v>885.5</v>
      </c>
      <c r="H1563" s="534">
        <v>699.1</v>
      </c>
      <c r="I1563" s="534">
        <v>885.5</v>
      </c>
      <c r="J1563" s="534">
        <v>885.5</v>
      </c>
      <c r="K1563" s="701" t="s">
        <v>38</v>
      </c>
      <c r="L1563" s="915" t="s">
        <v>35</v>
      </c>
      <c r="M1563" s="915">
        <v>100</v>
      </c>
      <c r="N1563" s="915">
        <v>100</v>
      </c>
      <c r="O1563" s="915">
        <v>100</v>
      </c>
      <c r="P1563" s="915">
        <v>100</v>
      </c>
      <c r="Q1563" s="915">
        <v>100</v>
      </c>
    </row>
    <row r="1564" spans="2:17" ht="30" x14ac:dyDescent="0.25">
      <c r="B1564" s="270"/>
      <c r="C1564" s="793" t="s">
        <v>11</v>
      </c>
      <c r="D1564" s="270"/>
      <c r="E1564" s="918" t="s">
        <v>12</v>
      </c>
      <c r="F1564" s="534">
        <v>707.4</v>
      </c>
      <c r="G1564" s="534">
        <v>545.29999999999995</v>
      </c>
      <c r="H1564" s="534">
        <v>707.4</v>
      </c>
      <c r="I1564" s="534">
        <v>581</v>
      </c>
      <c r="J1564" s="534">
        <v>581</v>
      </c>
      <c r="K1564" s="701" t="s">
        <v>2261</v>
      </c>
      <c r="L1564" s="915" t="s">
        <v>35</v>
      </c>
      <c r="M1564" s="915">
        <v>100</v>
      </c>
      <c r="N1564" s="915">
        <v>100</v>
      </c>
      <c r="O1564" s="915">
        <v>100</v>
      </c>
      <c r="P1564" s="46">
        <v>100</v>
      </c>
      <c r="Q1564" s="46">
        <v>100</v>
      </c>
    </row>
    <row r="1565" spans="2:17" ht="30" x14ac:dyDescent="0.25">
      <c r="B1565" s="270"/>
      <c r="C1565" s="793" t="s">
        <v>129</v>
      </c>
      <c r="D1565" s="270"/>
      <c r="E1565" s="918" t="s">
        <v>14</v>
      </c>
      <c r="F1565" s="1305">
        <v>4244.3999999999996</v>
      </c>
      <c r="G1565" s="1305">
        <v>4220.1000000000004</v>
      </c>
      <c r="H1565" s="1305">
        <v>3831.1</v>
      </c>
      <c r="I1565" s="1305">
        <v>4192.8999999999996</v>
      </c>
      <c r="J1565" s="1305">
        <v>4192.8999999999996</v>
      </c>
      <c r="K1565" s="35" t="s">
        <v>2262</v>
      </c>
      <c r="L1565" s="915" t="s">
        <v>35</v>
      </c>
      <c r="M1565" s="915">
        <v>100</v>
      </c>
      <c r="N1565" s="915">
        <v>100</v>
      </c>
      <c r="O1565" s="915">
        <v>100</v>
      </c>
      <c r="P1565" s="46">
        <v>100</v>
      </c>
      <c r="Q1565" s="46">
        <v>100</v>
      </c>
    </row>
    <row r="1566" spans="2:17" ht="28.5" x14ac:dyDescent="0.25">
      <c r="B1566" s="1958" t="s">
        <v>467</v>
      </c>
      <c r="C1566" s="1977"/>
      <c r="D1566" s="2156"/>
      <c r="E1566" s="1306" t="s">
        <v>2263</v>
      </c>
      <c r="F1566" s="1956">
        <f>F1568+F1569+F1571</f>
        <v>15562.800000000001</v>
      </c>
      <c r="G1566" s="1956">
        <f t="shared" ref="G1566:J1566" si="168">G1568+G1569+G1571</f>
        <v>15562.800000000001</v>
      </c>
      <c r="H1566" s="1956">
        <f t="shared" si="168"/>
        <v>13494.2</v>
      </c>
      <c r="I1566" s="1956">
        <f t="shared" si="168"/>
        <v>15574</v>
      </c>
      <c r="J1566" s="1956">
        <f t="shared" si="168"/>
        <v>15558.2</v>
      </c>
      <c r="K1566" s="1973"/>
      <c r="L1566" s="1975"/>
      <c r="M1566" s="1893"/>
      <c r="N1566" s="1893"/>
      <c r="O1566" s="1893"/>
      <c r="P1566" s="1893"/>
      <c r="Q1566" s="2153"/>
    </row>
    <row r="1567" spans="2:17" ht="30" x14ac:dyDescent="0.25">
      <c r="B1567" s="1958"/>
      <c r="C1567" s="1977"/>
      <c r="D1567" s="2156"/>
      <c r="E1567" s="1304" t="s">
        <v>2264</v>
      </c>
      <c r="F1567" s="1956"/>
      <c r="G1567" s="1956"/>
      <c r="H1567" s="1956"/>
      <c r="I1567" s="1956"/>
      <c r="J1567" s="1956"/>
      <c r="K1567" s="1974"/>
      <c r="L1567" s="1976"/>
      <c r="M1567" s="1894"/>
      <c r="N1567" s="1894"/>
      <c r="O1567" s="1894"/>
      <c r="P1567" s="1894"/>
      <c r="Q1567" s="1955"/>
    </row>
    <row r="1568" spans="2:17" ht="45" x14ac:dyDescent="0.25">
      <c r="B1568" s="62"/>
      <c r="C1568" s="793" t="s">
        <v>5</v>
      </c>
      <c r="D1568" s="793"/>
      <c r="E1568" s="781" t="s">
        <v>2265</v>
      </c>
      <c r="F1568" s="1307">
        <v>9196.2000000000007</v>
      </c>
      <c r="G1568" s="1307">
        <v>9196.2000000000007</v>
      </c>
      <c r="H1568" s="1307">
        <v>9290</v>
      </c>
      <c r="I1568" s="1307">
        <f>9418.6-582.2</f>
        <v>8836.4</v>
      </c>
      <c r="J1568" s="1307">
        <f>9918.6-1489</f>
        <v>8429.6</v>
      </c>
      <c r="K1568" s="35" t="s">
        <v>2266</v>
      </c>
      <c r="L1568" s="915" t="s">
        <v>35</v>
      </c>
      <c r="M1568" s="915">
        <v>80</v>
      </c>
      <c r="N1568" s="915">
        <v>90</v>
      </c>
      <c r="O1568" s="915">
        <v>100</v>
      </c>
      <c r="P1568" s="165">
        <v>100</v>
      </c>
      <c r="Q1568" s="915">
        <v>100</v>
      </c>
    </row>
    <row r="1569" spans="2:17" ht="30" x14ac:dyDescent="0.25">
      <c r="B1569" s="1938"/>
      <c r="C1569" s="2154" t="s">
        <v>7</v>
      </c>
      <c r="D1569" s="2154"/>
      <c r="E1569" s="1838" t="s">
        <v>2267</v>
      </c>
      <c r="F1569" s="2152">
        <v>2829.6</v>
      </c>
      <c r="G1569" s="2152">
        <v>2829.6</v>
      </c>
      <c r="H1569" s="2152">
        <v>667.2</v>
      </c>
      <c r="I1569" s="2152">
        <v>2914.6</v>
      </c>
      <c r="J1569" s="2152">
        <v>3105.6</v>
      </c>
      <c r="K1569" s="700" t="s">
        <v>2268</v>
      </c>
      <c r="L1569" s="915" t="s">
        <v>35</v>
      </c>
      <c r="M1569" s="664">
        <v>50</v>
      </c>
      <c r="N1569" s="664">
        <v>70</v>
      </c>
      <c r="O1569" s="664">
        <v>90</v>
      </c>
      <c r="P1569" s="915">
        <v>100</v>
      </c>
      <c r="Q1569" s="664">
        <v>100</v>
      </c>
    </row>
    <row r="1570" spans="2:17" ht="45" x14ac:dyDescent="0.25">
      <c r="B1570" s="1959"/>
      <c r="C1570" s="2155"/>
      <c r="D1570" s="2155"/>
      <c r="E1570" s="1839"/>
      <c r="F1570" s="2152"/>
      <c r="G1570" s="2152"/>
      <c r="H1570" s="2152"/>
      <c r="I1570" s="2152"/>
      <c r="J1570" s="2152"/>
      <c r="K1570" s="700" t="s">
        <v>163</v>
      </c>
      <c r="L1570" s="664" t="s">
        <v>40</v>
      </c>
      <c r="M1570" s="664" t="s">
        <v>164</v>
      </c>
      <c r="N1570" s="664" t="s">
        <v>164</v>
      </c>
      <c r="O1570" s="664" t="s">
        <v>164</v>
      </c>
      <c r="P1570" s="664" t="s">
        <v>164</v>
      </c>
      <c r="Q1570" s="664" t="s">
        <v>164</v>
      </c>
    </row>
    <row r="1571" spans="2:17" x14ac:dyDescent="0.25">
      <c r="B1571" s="1938"/>
      <c r="C1571" s="2151" t="s">
        <v>9</v>
      </c>
      <c r="D1571" s="2151"/>
      <c r="E1571" s="2034" t="s">
        <v>911</v>
      </c>
      <c r="F1571" s="2152">
        <v>3537</v>
      </c>
      <c r="G1571" s="2152">
        <v>3537</v>
      </c>
      <c r="H1571" s="2152">
        <v>3537</v>
      </c>
      <c r="I1571" s="2152">
        <v>3823</v>
      </c>
      <c r="J1571" s="2152">
        <v>4023</v>
      </c>
      <c r="K1571" s="1973" t="s">
        <v>2269</v>
      </c>
      <c r="L1571" s="1975" t="s">
        <v>35</v>
      </c>
      <c r="M1571" s="2147">
        <v>70</v>
      </c>
      <c r="N1571" s="2147">
        <v>80</v>
      </c>
      <c r="O1571" s="2147">
        <v>90</v>
      </c>
      <c r="P1571" s="2147">
        <v>100</v>
      </c>
      <c r="Q1571" s="2149">
        <v>100</v>
      </c>
    </row>
    <row r="1572" spans="2:17" x14ac:dyDescent="0.25">
      <c r="B1572" s="1939"/>
      <c r="C1572" s="2151"/>
      <c r="D1572" s="2151"/>
      <c r="E1572" s="2034"/>
      <c r="F1572" s="2152"/>
      <c r="G1572" s="2152"/>
      <c r="H1572" s="2152"/>
      <c r="I1572" s="2152"/>
      <c r="J1572" s="2152"/>
      <c r="K1572" s="1974"/>
      <c r="L1572" s="1976"/>
      <c r="M1572" s="2148"/>
      <c r="N1572" s="2148"/>
      <c r="O1572" s="2148"/>
      <c r="P1572" s="2148"/>
      <c r="Q1572" s="2150"/>
    </row>
    <row r="1573" spans="2:17" x14ac:dyDescent="0.25">
      <c r="B1573" s="1940" t="s">
        <v>186</v>
      </c>
      <c r="C1573" s="1940"/>
      <c r="D1573" s="1940"/>
      <c r="E1573" s="1940"/>
      <c r="F1573" s="498">
        <f>F1562+F1563+F1564+F1565+F1568+F1569+F1571</f>
        <v>22628.5</v>
      </c>
      <c r="G1573" s="498">
        <f t="shared" ref="G1573:J1573" si="169">G1562+G1563+G1564+G1565+G1568+G1569+G1571</f>
        <v>22628.5</v>
      </c>
      <c r="H1573" s="498">
        <f>H1562+H1563+H1564+H1565+H1568+H1569+H1571</f>
        <v>20146.599999999999</v>
      </c>
      <c r="I1573" s="498">
        <f t="shared" si="169"/>
        <v>22648.199999999997</v>
      </c>
      <c r="J1573" s="498">
        <f t="shared" si="169"/>
        <v>22692.399999999998</v>
      </c>
      <c r="K1573" s="65"/>
      <c r="L1573" s="66"/>
      <c r="M1573" s="67"/>
      <c r="N1573" s="67"/>
      <c r="O1573" s="67"/>
      <c r="P1573" s="67"/>
      <c r="Q1573" s="67"/>
    </row>
    <row r="1574" spans="2:17" x14ac:dyDescent="0.25">
      <c r="B1574" s="1710" t="s">
        <v>2270</v>
      </c>
      <c r="C1574" s="1710"/>
      <c r="D1574" s="1710"/>
      <c r="E1574" s="1710"/>
      <c r="F1574" s="1710"/>
      <c r="G1574" s="1710"/>
      <c r="H1574" s="1710"/>
      <c r="I1574" s="1710"/>
      <c r="J1574" s="1710"/>
      <c r="K1574" s="1710"/>
      <c r="L1574" s="1710"/>
      <c r="M1574" s="1710"/>
      <c r="N1574" s="1710"/>
      <c r="O1574" s="1710"/>
      <c r="P1574" s="1710"/>
      <c r="Q1574" s="1710"/>
    </row>
    <row r="1575" spans="2:17" ht="73.5" x14ac:dyDescent="0.25">
      <c r="B1575" s="1019">
        <v>1</v>
      </c>
      <c r="C1575" s="665"/>
      <c r="D1575" s="207"/>
      <c r="E1575" s="684" t="s">
        <v>902</v>
      </c>
      <c r="F1575" s="683">
        <f>F1576+F1577+F1578+F1579+F1581</f>
        <v>9541.4</v>
      </c>
      <c r="G1575" s="683">
        <f>G1576+G1577+G1578+G1579+G1581</f>
        <v>10024.5</v>
      </c>
      <c r="H1575" s="683">
        <f>H1576+H1577+H1578+H1579+H1581</f>
        <v>10024.5</v>
      </c>
      <c r="I1575" s="683">
        <f>I1576+I1577+I1578+I1579+I1581</f>
        <v>10136.799999999999</v>
      </c>
      <c r="J1575" s="683">
        <f>J1576+J1577+J1578+J1579+J1581</f>
        <v>10214.300000000001</v>
      </c>
      <c r="K1575" s="684" t="s">
        <v>34</v>
      </c>
      <c r="L1575" s="262" t="s">
        <v>35</v>
      </c>
      <c r="M1575" s="262"/>
      <c r="N1575" s="262"/>
      <c r="O1575" s="262"/>
      <c r="P1575" s="262"/>
      <c r="Q1575" s="262"/>
    </row>
    <row r="1576" spans="2:17" x14ac:dyDescent="0.25">
      <c r="B1576" s="1019"/>
      <c r="C1576" s="676">
        <v>1</v>
      </c>
      <c r="D1576" s="665"/>
      <c r="E1576" s="666" t="s">
        <v>6</v>
      </c>
      <c r="F1576" s="786">
        <v>3098.1</v>
      </c>
      <c r="G1576" s="786">
        <v>3359.7</v>
      </c>
      <c r="H1576" s="786">
        <v>3359.7</v>
      </c>
      <c r="I1576" s="786">
        <v>3367.6</v>
      </c>
      <c r="J1576" s="786">
        <v>3439.8</v>
      </c>
      <c r="K1576" s="659" t="s">
        <v>36</v>
      </c>
      <c r="L1576" s="660" t="s">
        <v>37</v>
      </c>
      <c r="M1576" s="262">
        <v>0.49</v>
      </c>
      <c r="N1576" s="262">
        <v>0.5</v>
      </c>
      <c r="O1576" s="262">
        <v>0.5</v>
      </c>
      <c r="P1576" s="262">
        <v>0.5</v>
      </c>
      <c r="Q1576" s="262">
        <v>0.5</v>
      </c>
    </row>
    <row r="1577" spans="2:17" ht="30" x14ac:dyDescent="0.25">
      <c r="B1577" s="1019"/>
      <c r="C1577" s="676">
        <v>6</v>
      </c>
      <c r="D1577" s="665"/>
      <c r="E1577" s="659" t="s">
        <v>14</v>
      </c>
      <c r="F1577" s="786">
        <v>1390.6</v>
      </c>
      <c r="G1577" s="786">
        <v>1494.7</v>
      </c>
      <c r="H1577" s="786">
        <v>1494.7</v>
      </c>
      <c r="I1577" s="786">
        <v>1528.3</v>
      </c>
      <c r="J1577" s="786">
        <v>1515</v>
      </c>
      <c r="K1577" s="659" t="s">
        <v>196</v>
      </c>
      <c r="L1577" s="660" t="s">
        <v>35</v>
      </c>
      <c r="M1577" s="262">
        <v>16</v>
      </c>
      <c r="N1577" s="262">
        <v>18</v>
      </c>
      <c r="O1577" s="262">
        <v>18</v>
      </c>
      <c r="P1577" s="262">
        <v>18</v>
      </c>
      <c r="Q1577" s="262">
        <v>19</v>
      </c>
    </row>
    <row r="1578" spans="2:17" ht="30" x14ac:dyDescent="0.25">
      <c r="B1578" s="1019"/>
      <c r="C1578" s="676">
        <v>2</v>
      </c>
      <c r="D1578" s="665"/>
      <c r="E1578" s="666" t="s">
        <v>8</v>
      </c>
      <c r="F1578" s="786">
        <v>937.2</v>
      </c>
      <c r="G1578" s="786">
        <v>983.6</v>
      </c>
      <c r="H1578" s="786">
        <v>983.6</v>
      </c>
      <c r="I1578" s="786">
        <v>1007.2</v>
      </c>
      <c r="J1578" s="786">
        <v>980.8</v>
      </c>
      <c r="K1578" s="659" t="s">
        <v>38</v>
      </c>
      <c r="L1578" s="660" t="s">
        <v>35</v>
      </c>
      <c r="M1578" s="262">
        <v>100</v>
      </c>
      <c r="N1578" s="262">
        <v>100</v>
      </c>
      <c r="O1578" s="262">
        <v>100</v>
      </c>
      <c r="P1578" s="262">
        <v>100</v>
      </c>
      <c r="Q1578" s="262">
        <v>100</v>
      </c>
    </row>
    <row r="1579" spans="2:17" ht="30" x14ac:dyDescent="0.25">
      <c r="B1579" s="1941"/>
      <c r="C1579" s="2143">
        <v>3</v>
      </c>
      <c r="D1579" s="2144"/>
      <c r="E1579" s="2024" t="s">
        <v>10</v>
      </c>
      <c r="F1579" s="2145">
        <v>2846.4</v>
      </c>
      <c r="G1579" s="2145">
        <v>2861.7</v>
      </c>
      <c r="H1579" s="2145">
        <v>2861.7</v>
      </c>
      <c r="I1579" s="2145">
        <v>2885.3</v>
      </c>
      <c r="J1579" s="1823">
        <v>2941.6</v>
      </c>
      <c r="K1579" s="659" t="s">
        <v>2271</v>
      </c>
      <c r="L1579" s="660" t="s">
        <v>35</v>
      </c>
      <c r="M1579" s="262">
        <v>0</v>
      </c>
      <c r="N1579" s="262">
        <v>0</v>
      </c>
      <c r="O1579" s="262">
        <v>0</v>
      </c>
      <c r="P1579" s="262">
        <v>0</v>
      </c>
      <c r="Q1579" s="262">
        <v>0</v>
      </c>
    </row>
    <row r="1580" spans="2:17" ht="30" x14ac:dyDescent="0.25">
      <c r="B1580" s="1941"/>
      <c r="C1580" s="2143"/>
      <c r="D1580" s="2144"/>
      <c r="E1580" s="2024"/>
      <c r="F1580" s="2146"/>
      <c r="G1580" s="2146"/>
      <c r="H1580" s="2146"/>
      <c r="I1580" s="2146"/>
      <c r="J1580" s="1824"/>
      <c r="K1580" s="659" t="s">
        <v>2272</v>
      </c>
      <c r="L1580" s="660" t="s">
        <v>40</v>
      </c>
      <c r="M1580" s="262">
        <v>35</v>
      </c>
      <c r="N1580" s="262">
        <v>40</v>
      </c>
      <c r="O1580" s="262">
        <v>41</v>
      </c>
      <c r="P1580" s="262">
        <v>42</v>
      </c>
      <c r="Q1580" s="262">
        <v>43</v>
      </c>
    </row>
    <row r="1581" spans="2:17" ht="30" x14ac:dyDescent="0.25">
      <c r="B1581" s="508"/>
      <c r="C1581" s="870">
        <v>4</v>
      </c>
      <c r="D1581" s="665"/>
      <c r="E1581" s="666" t="s">
        <v>1704</v>
      </c>
      <c r="F1581" s="786">
        <v>1269.0999999999999</v>
      </c>
      <c r="G1581" s="786">
        <v>1324.8</v>
      </c>
      <c r="H1581" s="786">
        <v>1324.8</v>
      </c>
      <c r="I1581" s="786">
        <v>1348.4</v>
      </c>
      <c r="J1581" s="786">
        <v>1337.1</v>
      </c>
      <c r="K1581" s="659" t="s">
        <v>191</v>
      </c>
      <c r="L1581" s="660" t="s">
        <v>192</v>
      </c>
      <c r="M1581" s="1308" t="s">
        <v>2273</v>
      </c>
      <c r="N1581" s="1308">
        <v>43468</v>
      </c>
      <c r="O1581" s="512" t="s">
        <v>2274</v>
      </c>
      <c r="P1581" s="512" t="s">
        <v>2275</v>
      </c>
      <c r="Q1581" s="512" t="s">
        <v>2276</v>
      </c>
    </row>
    <row r="1582" spans="2:17" x14ac:dyDescent="0.25">
      <c r="B1582" s="508">
        <v>2</v>
      </c>
      <c r="C1582" s="660"/>
      <c r="D1582" s="660"/>
      <c r="E1582" s="684" t="s">
        <v>2277</v>
      </c>
      <c r="F1582" s="683">
        <f>F1583+F1584+F1585</f>
        <v>6001</v>
      </c>
      <c r="G1582" s="683">
        <f>G1583+G1584+G1585</f>
        <v>5892.7</v>
      </c>
      <c r="H1582" s="683">
        <f>H1583+H1584+H1585</f>
        <v>5892.7</v>
      </c>
      <c r="I1582" s="683">
        <f>I1583+I1584+I1585</f>
        <v>5843.5</v>
      </c>
      <c r="J1582" s="683">
        <f>J1583+J1584+J1585</f>
        <v>5857.3</v>
      </c>
      <c r="K1582" s="1309"/>
      <c r="L1582" s="207"/>
      <c r="M1582" s="207"/>
      <c r="N1582" s="1310"/>
      <c r="O1582" s="1310"/>
      <c r="P1582" s="1310"/>
      <c r="Q1582" s="1310"/>
    </row>
    <row r="1583" spans="2:17" ht="30" x14ac:dyDescent="0.25">
      <c r="B1583" s="661"/>
      <c r="C1583" s="661" t="s">
        <v>5</v>
      </c>
      <c r="D1583" s="661"/>
      <c r="E1583" s="659" t="s">
        <v>2278</v>
      </c>
      <c r="F1583" s="685">
        <v>2183.1999999999998</v>
      </c>
      <c r="G1583" s="685">
        <v>2160.1</v>
      </c>
      <c r="H1583" s="685">
        <v>2160.1</v>
      </c>
      <c r="I1583" s="685">
        <v>2138.6999999999998</v>
      </c>
      <c r="J1583" s="786">
        <v>2151.6999999999998</v>
      </c>
      <c r="K1583" s="1311" t="s">
        <v>2279</v>
      </c>
      <c r="L1583" s="660" t="s">
        <v>2280</v>
      </c>
      <c r="M1583" s="665">
        <v>3.1</v>
      </c>
      <c r="N1583" s="685">
        <v>3.2</v>
      </c>
      <c r="O1583" s="685">
        <v>3.3</v>
      </c>
      <c r="P1583" s="685">
        <v>3.5</v>
      </c>
      <c r="Q1583" s="685">
        <v>3.6</v>
      </c>
    </row>
    <row r="1584" spans="2:17" x14ac:dyDescent="0.25">
      <c r="B1584" s="661"/>
      <c r="C1584" s="661" t="s">
        <v>7</v>
      </c>
      <c r="D1584" s="661"/>
      <c r="E1584" s="659" t="s">
        <v>2281</v>
      </c>
      <c r="F1584" s="786">
        <v>2183.5</v>
      </c>
      <c r="G1584" s="786">
        <v>2131.1</v>
      </c>
      <c r="H1584" s="786">
        <v>2131.1</v>
      </c>
      <c r="I1584" s="786">
        <v>2109.6999999999998</v>
      </c>
      <c r="J1584" s="786">
        <v>2121.4</v>
      </c>
      <c r="K1584" s="659" t="s">
        <v>2282</v>
      </c>
      <c r="L1584" s="660" t="s">
        <v>40</v>
      </c>
      <c r="M1584" s="786">
        <v>6000</v>
      </c>
      <c r="N1584" s="786">
        <v>6500</v>
      </c>
      <c r="O1584" s="786">
        <v>6500</v>
      </c>
      <c r="P1584" s="786">
        <v>6600</v>
      </c>
      <c r="Q1584" s="786">
        <v>6600</v>
      </c>
    </row>
    <row r="1585" spans="2:17" ht="30" x14ac:dyDescent="0.25">
      <c r="B1585" s="661"/>
      <c r="C1585" s="661" t="s">
        <v>9</v>
      </c>
      <c r="D1585" s="661"/>
      <c r="E1585" s="659" t="s">
        <v>2283</v>
      </c>
      <c r="F1585" s="786">
        <v>1634.3</v>
      </c>
      <c r="G1585" s="786">
        <v>1601.5</v>
      </c>
      <c r="H1585" s="786">
        <v>1601.5</v>
      </c>
      <c r="I1585" s="786">
        <v>1595.1</v>
      </c>
      <c r="J1585" s="786">
        <v>1584.2</v>
      </c>
      <c r="K1585" s="659" t="s">
        <v>2284</v>
      </c>
      <c r="L1585" s="660" t="s">
        <v>2280</v>
      </c>
      <c r="M1585" s="786">
        <v>75</v>
      </c>
      <c r="N1585" s="786">
        <v>76</v>
      </c>
      <c r="O1585" s="786">
        <v>77</v>
      </c>
      <c r="P1585" s="786">
        <v>78</v>
      </c>
      <c r="Q1585" s="786">
        <v>79</v>
      </c>
    </row>
    <row r="1586" spans="2:17" ht="28.5" x14ac:dyDescent="0.25">
      <c r="B1586" s="680" t="s">
        <v>500</v>
      </c>
      <c r="C1586" s="660"/>
      <c r="D1586" s="660"/>
      <c r="E1586" s="684" t="s">
        <v>2285</v>
      </c>
      <c r="F1586" s="683">
        <f>F1587+F1588+F1589</f>
        <v>4778.8999999999996</v>
      </c>
      <c r="G1586" s="683">
        <f>G1587+G1588+G1589</f>
        <v>4649.5</v>
      </c>
      <c r="H1586" s="683">
        <f>H1587+H1588+H1589</f>
        <v>4649.5</v>
      </c>
      <c r="I1586" s="683">
        <f>I1587+I1588+I1589</f>
        <v>4630.3</v>
      </c>
      <c r="J1586" s="683">
        <f>J1587+J1588+J1589</f>
        <v>4591</v>
      </c>
      <c r="K1586" s="684"/>
      <c r="L1586" s="262"/>
      <c r="M1586" s="262"/>
      <c r="N1586" s="683"/>
      <c r="O1586" s="683"/>
      <c r="P1586" s="683"/>
      <c r="Q1586" s="683"/>
    </row>
    <row r="1587" spans="2:17" ht="30" x14ac:dyDescent="0.25">
      <c r="B1587" s="661"/>
      <c r="C1587" s="661" t="s">
        <v>5</v>
      </c>
      <c r="D1587" s="661"/>
      <c r="E1587" s="659" t="s">
        <v>2286</v>
      </c>
      <c r="F1587" s="786">
        <v>1579.6</v>
      </c>
      <c r="G1587" s="786">
        <v>1556.9</v>
      </c>
      <c r="H1587" s="786">
        <v>1556.9</v>
      </c>
      <c r="I1587" s="786">
        <v>1550.5</v>
      </c>
      <c r="J1587" s="786">
        <v>1537.6</v>
      </c>
      <c r="K1587" s="659" t="s">
        <v>2287</v>
      </c>
      <c r="L1587" s="660" t="s">
        <v>2288</v>
      </c>
      <c r="M1587" s="660">
        <v>115</v>
      </c>
      <c r="N1587" s="786">
        <v>120</v>
      </c>
      <c r="O1587" s="786">
        <v>125</v>
      </c>
      <c r="P1587" s="786">
        <v>128</v>
      </c>
      <c r="Q1587" s="786">
        <v>130</v>
      </c>
    </row>
    <row r="1588" spans="2:17" ht="30" x14ac:dyDescent="0.25">
      <c r="B1588" s="661"/>
      <c r="C1588" s="661" t="s">
        <v>7</v>
      </c>
      <c r="D1588" s="661"/>
      <c r="E1588" s="659" t="s">
        <v>2289</v>
      </c>
      <c r="F1588" s="786">
        <v>1596</v>
      </c>
      <c r="G1588" s="786">
        <v>1561.9</v>
      </c>
      <c r="H1588" s="786">
        <v>1561.9</v>
      </c>
      <c r="I1588" s="786">
        <v>1550.5</v>
      </c>
      <c r="J1588" s="786">
        <v>1538</v>
      </c>
      <c r="K1588" s="659" t="s">
        <v>2290</v>
      </c>
      <c r="L1588" s="660" t="s">
        <v>35</v>
      </c>
      <c r="M1588" s="706">
        <v>4.5</v>
      </c>
      <c r="N1588" s="706">
        <v>4.8</v>
      </c>
      <c r="O1588" s="706">
        <v>4.9000000000000004</v>
      </c>
      <c r="P1588" s="706">
        <v>5</v>
      </c>
      <c r="Q1588" s="786">
        <v>5.0999999999999996</v>
      </c>
    </row>
    <row r="1589" spans="2:17" ht="30" x14ac:dyDescent="0.25">
      <c r="B1589" s="661"/>
      <c r="C1589" s="661" t="s">
        <v>9</v>
      </c>
      <c r="D1589" s="661"/>
      <c r="E1589" s="659" t="s">
        <v>2291</v>
      </c>
      <c r="F1589" s="786">
        <v>1603.3</v>
      </c>
      <c r="G1589" s="786">
        <v>1530.7</v>
      </c>
      <c r="H1589" s="786">
        <v>1530.7</v>
      </c>
      <c r="I1589" s="786">
        <v>1529.3</v>
      </c>
      <c r="J1589" s="786">
        <v>1515.4</v>
      </c>
      <c r="K1589" s="659" t="s">
        <v>2292</v>
      </c>
      <c r="L1589" s="660" t="s">
        <v>2288</v>
      </c>
      <c r="M1589" s="660">
        <v>60</v>
      </c>
      <c r="N1589" s="660">
        <v>70</v>
      </c>
      <c r="O1589" s="660">
        <v>80</v>
      </c>
      <c r="P1589" s="660">
        <v>80</v>
      </c>
      <c r="Q1589" s="660">
        <v>80</v>
      </c>
    </row>
    <row r="1590" spans="2:17" x14ac:dyDescent="0.25">
      <c r="B1590" s="680" t="s">
        <v>508</v>
      </c>
      <c r="C1590" s="660"/>
      <c r="D1590" s="660"/>
      <c r="E1590" s="684" t="s">
        <v>2293</v>
      </c>
      <c r="F1590" s="683">
        <f>F1591+F1592</f>
        <v>3653.8</v>
      </c>
      <c r="G1590" s="683">
        <f>G1591+G1592</f>
        <v>3597.6000000000004</v>
      </c>
      <c r="H1590" s="683">
        <f>H1591+H1592</f>
        <v>3597.6000000000004</v>
      </c>
      <c r="I1590" s="683">
        <f>I1591+I1592</f>
        <v>3574.8</v>
      </c>
      <c r="J1590" s="683">
        <f>J1591+J1592</f>
        <v>3569.8999999999996</v>
      </c>
      <c r="K1590" s="659"/>
      <c r="L1590" s="660"/>
      <c r="M1590" s="660"/>
      <c r="N1590" s="786"/>
      <c r="O1590" s="786"/>
      <c r="P1590" s="786"/>
      <c r="Q1590" s="786"/>
    </row>
    <row r="1591" spans="2:17" ht="30" x14ac:dyDescent="0.25">
      <c r="B1591" s="661"/>
      <c r="C1591" s="661" t="s">
        <v>5</v>
      </c>
      <c r="D1591" s="658"/>
      <c r="E1591" s="659" t="s">
        <v>2294</v>
      </c>
      <c r="F1591" s="786">
        <v>1825.2</v>
      </c>
      <c r="G1591" s="786">
        <v>1782.7</v>
      </c>
      <c r="H1591" s="786">
        <v>1781.9</v>
      </c>
      <c r="I1591" s="786">
        <v>1770.5</v>
      </c>
      <c r="J1591" s="786">
        <v>1767.3</v>
      </c>
      <c r="K1591" s="659" t="s">
        <v>2295</v>
      </c>
      <c r="L1591" s="660" t="s">
        <v>40</v>
      </c>
      <c r="M1591" s="660">
        <v>30</v>
      </c>
      <c r="N1591" s="786">
        <v>32</v>
      </c>
      <c r="O1591" s="786">
        <v>35</v>
      </c>
      <c r="P1591" s="786">
        <v>40</v>
      </c>
      <c r="Q1591" s="786">
        <v>41</v>
      </c>
    </row>
    <row r="1592" spans="2:17" ht="30" x14ac:dyDescent="0.25">
      <c r="B1592" s="661"/>
      <c r="C1592" s="661" t="s">
        <v>7</v>
      </c>
      <c r="D1592" s="661"/>
      <c r="E1592" s="659" t="s">
        <v>2296</v>
      </c>
      <c r="F1592" s="786">
        <v>1828.6</v>
      </c>
      <c r="G1592" s="786">
        <v>1814.9</v>
      </c>
      <c r="H1592" s="786">
        <v>1815.7</v>
      </c>
      <c r="I1592" s="786">
        <v>1804.3</v>
      </c>
      <c r="J1592" s="786">
        <v>1802.6</v>
      </c>
      <c r="K1592" s="659" t="s">
        <v>2297</v>
      </c>
      <c r="L1592" s="660" t="s">
        <v>35</v>
      </c>
      <c r="M1592" s="660">
        <v>87.1</v>
      </c>
      <c r="N1592" s="786">
        <v>87.5</v>
      </c>
      <c r="O1592" s="786">
        <v>90</v>
      </c>
      <c r="P1592" s="786">
        <v>92</v>
      </c>
      <c r="Q1592" s="786">
        <v>93</v>
      </c>
    </row>
    <row r="1593" spans="2:17" x14ac:dyDescent="0.25">
      <c r="B1593" s="1942" t="s">
        <v>85</v>
      </c>
      <c r="C1593" s="1942"/>
      <c r="D1593" s="1942"/>
      <c r="E1593" s="1942"/>
      <c r="F1593" s="1008">
        <f>F1575+F1582+F1586+F1590</f>
        <v>23975.1</v>
      </c>
      <c r="G1593" s="1008">
        <f>G1575+G1582+G1586+G1590</f>
        <v>24164.300000000003</v>
      </c>
      <c r="H1593" s="1008">
        <f>H1575+H1582+H1586+H1590</f>
        <v>24164.300000000003</v>
      </c>
      <c r="I1593" s="1008">
        <f>I1575+I1582+I1586+I1590</f>
        <v>24185.399999999998</v>
      </c>
      <c r="J1593" s="1008">
        <f>J1575+J1582+J1586+J1590</f>
        <v>24232.5</v>
      </c>
      <c r="K1593" s="995"/>
      <c r="L1593" s="1943"/>
      <c r="M1593" s="1943"/>
      <c r="N1593" s="1943"/>
      <c r="O1593" s="1943"/>
      <c r="P1593" s="1943"/>
      <c r="Q1593" s="1943"/>
    </row>
    <row r="1594" spans="2:17" ht="15.75" thickBot="1" x14ac:dyDescent="0.3">
      <c r="B1594" s="1722" t="s">
        <v>2298</v>
      </c>
      <c r="C1594" s="1698"/>
      <c r="D1594" s="1698"/>
      <c r="E1594" s="1944"/>
      <c r="F1594" s="1698"/>
      <c r="G1594" s="1698"/>
      <c r="H1594" s="1698"/>
      <c r="I1594" s="1698"/>
      <c r="J1594" s="1698"/>
      <c r="K1594" s="1698"/>
      <c r="L1594" s="1698"/>
      <c r="M1594" s="1698"/>
      <c r="N1594" s="1698"/>
      <c r="O1594" s="1698"/>
      <c r="P1594" s="1698"/>
      <c r="Q1594" s="1919"/>
    </row>
    <row r="1595" spans="2:17" ht="73.5" x14ac:dyDescent="0.25">
      <c r="B1595" s="1044">
        <v>1</v>
      </c>
      <c r="C1595" s="772"/>
      <c r="D1595" s="1312"/>
      <c r="E1595" s="684" t="s">
        <v>902</v>
      </c>
      <c r="F1595" s="683">
        <f>F1596+F1597+F1598+F1601</f>
        <v>29505.899999999998</v>
      </c>
      <c r="G1595" s="683">
        <f>G1596+G1597+G1598+G1601</f>
        <v>12272.8</v>
      </c>
      <c r="H1595" s="711">
        <f>H1596+H1597+H1598+H1601</f>
        <v>15676.099999999999</v>
      </c>
      <c r="I1595" s="711">
        <f>I1596+I1597+I1598+I1601</f>
        <v>15425.2824</v>
      </c>
      <c r="J1595" s="711">
        <f>J1596+J1597+J1598+J1601</f>
        <v>16103.994825600003</v>
      </c>
      <c r="K1595" s="684" t="s">
        <v>34</v>
      </c>
      <c r="L1595" s="262" t="s">
        <v>35</v>
      </c>
      <c r="M1595" s="210">
        <v>38.299999999999997</v>
      </c>
      <c r="N1595" s="262">
        <v>38.299999999999997</v>
      </c>
      <c r="O1595" s="428">
        <v>39</v>
      </c>
      <c r="P1595" s="262">
        <v>39.4</v>
      </c>
      <c r="Q1595" s="262">
        <v>39.4</v>
      </c>
    </row>
    <row r="1596" spans="2:17" x14ac:dyDescent="0.25">
      <c r="B1596" s="1313"/>
      <c r="C1596" s="1048">
        <v>1</v>
      </c>
      <c r="D1596" s="1314"/>
      <c r="E1596" s="666" t="s">
        <v>6</v>
      </c>
      <c r="F1596" s="786">
        <v>23220.1</v>
      </c>
      <c r="G1596" s="976">
        <v>5771.9</v>
      </c>
      <c r="H1596" s="706">
        <v>6701.5</v>
      </c>
      <c r="I1596" s="706">
        <f>H1596*98.4/100</f>
        <v>6594.2760000000007</v>
      </c>
      <c r="J1596" s="706">
        <f>I1596*104.4/100</f>
        <v>6884.4241440000014</v>
      </c>
      <c r="K1596" s="659" t="s">
        <v>2299</v>
      </c>
      <c r="L1596" s="660" t="s">
        <v>35</v>
      </c>
      <c r="M1596" s="704">
        <v>100</v>
      </c>
      <c r="N1596" s="660">
        <v>100</v>
      </c>
      <c r="O1596" s="660">
        <v>100</v>
      </c>
      <c r="P1596" s="660">
        <v>100</v>
      </c>
      <c r="Q1596" s="660">
        <v>100</v>
      </c>
    </row>
    <row r="1597" spans="2:17" ht="30" x14ac:dyDescent="0.25">
      <c r="B1597" s="1313"/>
      <c r="C1597" s="675">
        <v>2</v>
      </c>
      <c r="D1597" s="1314"/>
      <c r="E1597" s="666" t="s">
        <v>8</v>
      </c>
      <c r="F1597" s="706">
        <v>2437.1</v>
      </c>
      <c r="G1597" s="976">
        <v>2446.6</v>
      </c>
      <c r="H1597" s="706">
        <v>3094</v>
      </c>
      <c r="I1597" s="706">
        <f>H1597*98.4/100</f>
        <v>3044.4960000000005</v>
      </c>
      <c r="J1597" s="706">
        <f>I1597*104.4/100</f>
        <v>3178.4538240000006</v>
      </c>
      <c r="K1597" s="765" t="s">
        <v>38</v>
      </c>
      <c r="L1597" s="704" t="s">
        <v>35</v>
      </c>
      <c r="M1597" s="704">
        <v>100</v>
      </c>
      <c r="N1597" s="704">
        <v>100</v>
      </c>
      <c r="O1597" s="704">
        <v>100</v>
      </c>
      <c r="P1597" s="704">
        <v>100</v>
      </c>
      <c r="Q1597" s="704">
        <v>100</v>
      </c>
    </row>
    <row r="1598" spans="2:17" ht="45" x14ac:dyDescent="0.25">
      <c r="B1598" s="1827"/>
      <c r="C1598" s="1829">
        <v>3</v>
      </c>
      <c r="D1598" s="1831"/>
      <c r="E1598" s="1835" t="s">
        <v>10</v>
      </c>
      <c r="F1598" s="1823">
        <v>2282.4</v>
      </c>
      <c r="G1598" s="2140">
        <v>2357.8000000000002</v>
      </c>
      <c r="H1598" s="1933">
        <v>3101.4</v>
      </c>
      <c r="I1598" s="1933">
        <f>H1598*98.4/100</f>
        <v>3051.7775999999999</v>
      </c>
      <c r="J1598" s="1933">
        <f>I1598*104.4/100</f>
        <v>3186.0558143999997</v>
      </c>
      <c r="K1598" s="765" t="s">
        <v>2300</v>
      </c>
      <c r="L1598" s="704" t="s">
        <v>35</v>
      </c>
      <c r="M1598" s="704">
        <v>30</v>
      </c>
      <c r="N1598" s="704">
        <v>30</v>
      </c>
      <c r="O1598" s="704">
        <v>30</v>
      </c>
      <c r="P1598" s="704">
        <v>30</v>
      </c>
      <c r="Q1598" s="704">
        <v>30</v>
      </c>
    </row>
    <row r="1599" spans="2:17" ht="45" x14ac:dyDescent="0.25">
      <c r="B1599" s="1945"/>
      <c r="C1599" s="2137"/>
      <c r="D1599" s="2138"/>
      <c r="E1599" s="2139"/>
      <c r="F1599" s="1847"/>
      <c r="G1599" s="2141"/>
      <c r="H1599" s="1951"/>
      <c r="I1599" s="1951"/>
      <c r="J1599" s="1951"/>
      <c r="K1599" s="659" t="s">
        <v>2301</v>
      </c>
      <c r="L1599" s="704" t="s">
        <v>35</v>
      </c>
      <c r="M1599" s="704">
        <v>10</v>
      </c>
      <c r="N1599" s="704">
        <v>10</v>
      </c>
      <c r="O1599" s="704">
        <v>10</v>
      </c>
      <c r="P1599" s="704">
        <v>10</v>
      </c>
      <c r="Q1599" s="704">
        <v>10</v>
      </c>
    </row>
    <row r="1600" spans="2:17" ht="30" x14ac:dyDescent="0.25">
      <c r="B1600" s="1828"/>
      <c r="C1600" s="1830"/>
      <c r="D1600" s="1832"/>
      <c r="E1600" s="1836"/>
      <c r="F1600" s="1824"/>
      <c r="G1600" s="2142"/>
      <c r="H1600" s="1934"/>
      <c r="I1600" s="1934"/>
      <c r="J1600" s="1934"/>
      <c r="K1600" s="765" t="s">
        <v>2302</v>
      </c>
      <c r="L1600" s="704" t="s">
        <v>35</v>
      </c>
      <c r="M1600" s="704">
        <v>70</v>
      </c>
      <c r="N1600" s="704">
        <v>70</v>
      </c>
      <c r="O1600" s="704">
        <v>70</v>
      </c>
      <c r="P1600" s="704">
        <v>70</v>
      </c>
      <c r="Q1600" s="704">
        <v>70</v>
      </c>
    </row>
    <row r="1601" spans="2:17" ht="30" x14ac:dyDescent="0.25">
      <c r="B1601" s="1313"/>
      <c r="C1601" s="676">
        <v>6</v>
      </c>
      <c r="D1601" s="1314"/>
      <c r="E1601" s="659" t="s">
        <v>2303</v>
      </c>
      <c r="F1601" s="706">
        <v>1566.3</v>
      </c>
      <c r="G1601" s="786">
        <v>1696.5</v>
      </c>
      <c r="H1601" s="706">
        <v>2779.2</v>
      </c>
      <c r="I1601" s="706">
        <f>H1601*98.4/100</f>
        <v>2734.7327999999998</v>
      </c>
      <c r="J1601" s="706">
        <f>I1601*104.4/100</f>
        <v>2855.0610431999999</v>
      </c>
      <c r="K1601" s="765" t="s">
        <v>196</v>
      </c>
      <c r="L1601" s="704" t="s">
        <v>35</v>
      </c>
      <c r="M1601" s="704">
        <v>20</v>
      </c>
      <c r="N1601" s="704">
        <v>20</v>
      </c>
      <c r="O1601" s="704">
        <v>20</v>
      </c>
      <c r="P1601" s="704">
        <v>20</v>
      </c>
      <c r="Q1601" s="704">
        <v>20</v>
      </c>
    </row>
    <row r="1602" spans="2:17" ht="88.5" x14ac:dyDescent="0.25">
      <c r="B1602" s="971" t="s">
        <v>467</v>
      </c>
      <c r="C1602" s="756"/>
      <c r="D1602" s="1315"/>
      <c r="E1602" s="684" t="s">
        <v>2304</v>
      </c>
      <c r="F1602" s="683">
        <f>F1603+F1607+F1609+F1613+F1616+F1620+F1623+F1626+F1629+F1631+F1632</f>
        <v>44208.7</v>
      </c>
      <c r="G1602" s="711">
        <f>SUM(G1603:G1634)</f>
        <v>48626.8</v>
      </c>
      <c r="H1602" s="711">
        <f>H1603+H1609+H1616+H1620+H1623+H1626+H1629+H1631+H1632+H1607+H1613</f>
        <v>53197.5</v>
      </c>
      <c r="I1602" s="711">
        <f>I1603+I1609+I1616+I1620+I1623+I1626+I1629+I1631+I1632+I1607+I1613</f>
        <v>53508.44000000001</v>
      </c>
      <c r="J1602" s="711">
        <f>J1603+J1609+J1616+J1620+J1623+J1626+J1629+J1631+J1632+J1607+J1613</f>
        <v>52964.011360000019</v>
      </c>
      <c r="K1602" s="684" t="s">
        <v>2305</v>
      </c>
      <c r="L1602" s="262" t="s">
        <v>37</v>
      </c>
      <c r="M1602" s="230">
        <v>1</v>
      </c>
      <c r="N1602" s="207">
        <v>1</v>
      </c>
      <c r="O1602" s="207">
        <v>1</v>
      </c>
      <c r="P1602" s="207">
        <v>1</v>
      </c>
      <c r="Q1602" s="207">
        <v>2</v>
      </c>
    </row>
    <row r="1603" spans="2:17" ht="60" x14ac:dyDescent="0.25">
      <c r="B1603" s="1803"/>
      <c r="C1603" s="1805" t="s">
        <v>5</v>
      </c>
      <c r="D1603" s="1805"/>
      <c r="E1603" s="1845" t="s">
        <v>2306</v>
      </c>
      <c r="F1603" s="1823">
        <v>2161.5</v>
      </c>
      <c r="G1603" s="1823">
        <v>2200.5</v>
      </c>
      <c r="H1603" s="1933">
        <v>3023.5</v>
      </c>
      <c r="I1603" s="1933">
        <f>H1603*98.4/100</f>
        <v>2975.1240000000003</v>
      </c>
      <c r="J1603" s="1933">
        <f>I1603*104.4/100</f>
        <v>3106.0294560000002</v>
      </c>
      <c r="K1603" s="513" t="s">
        <v>2307</v>
      </c>
      <c r="L1603" s="660" t="s">
        <v>35</v>
      </c>
      <c r="M1603" s="665">
        <v>100</v>
      </c>
      <c r="N1603" s="665">
        <v>100</v>
      </c>
      <c r="O1603" s="665">
        <v>100</v>
      </c>
      <c r="P1603" s="665">
        <v>100</v>
      </c>
      <c r="Q1603" s="665">
        <v>100</v>
      </c>
    </row>
    <row r="1604" spans="2:17" ht="75" x14ac:dyDescent="0.25">
      <c r="B1604" s="1913"/>
      <c r="C1604" s="1844"/>
      <c r="D1604" s="1844"/>
      <c r="E1604" s="1852"/>
      <c r="F1604" s="1824"/>
      <c r="G1604" s="1824"/>
      <c r="H1604" s="1934"/>
      <c r="I1604" s="1934"/>
      <c r="J1604" s="1934"/>
      <c r="K1604" s="513" t="s">
        <v>2308</v>
      </c>
      <c r="L1604" s="660" t="s">
        <v>35</v>
      </c>
      <c r="M1604" s="665">
        <v>100</v>
      </c>
      <c r="N1604" s="665">
        <v>100</v>
      </c>
      <c r="O1604" s="665">
        <v>100</v>
      </c>
      <c r="P1604" s="665">
        <v>100</v>
      </c>
      <c r="Q1604" s="665">
        <v>100</v>
      </c>
    </row>
    <row r="1605" spans="2:17" ht="45" x14ac:dyDescent="0.25">
      <c r="B1605" s="1803"/>
      <c r="C1605" s="1805" t="s">
        <v>7</v>
      </c>
      <c r="D1605" s="1805"/>
      <c r="E1605" s="1845" t="s">
        <v>2309</v>
      </c>
      <c r="F1605" s="1948"/>
      <c r="G1605" s="1948"/>
      <c r="H1605" s="1948"/>
      <c r="I1605" s="1948"/>
      <c r="J1605" s="1948"/>
      <c r="K1605" s="659" t="s">
        <v>2310</v>
      </c>
      <c r="L1605" s="660" t="s">
        <v>35</v>
      </c>
      <c r="M1605" s="665">
        <v>100</v>
      </c>
      <c r="N1605" s="665">
        <v>100</v>
      </c>
      <c r="O1605" s="665">
        <v>100</v>
      </c>
      <c r="P1605" s="665">
        <v>100</v>
      </c>
      <c r="Q1605" s="665">
        <v>100</v>
      </c>
    </row>
    <row r="1606" spans="2:17" ht="45" x14ac:dyDescent="0.25">
      <c r="B1606" s="1804"/>
      <c r="C1606" s="1806"/>
      <c r="D1606" s="1806"/>
      <c r="E1606" s="1852"/>
      <c r="F1606" s="1950"/>
      <c r="G1606" s="1950"/>
      <c r="H1606" s="1950"/>
      <c r="I1606" s="1950"/>
      <c r="J1606" s="1950"/>
      <c r="K1606" s="659" t="s">
        <v>2311</v>
      </c>
      <c r="L1606" s="660" t="s">
        <v>35</v>
      </c>
      <c r="M1606" s="665">
        <v>100</v>
      </c>
      <c r="N1606" s="665">
        <v>100</v>
      </c>
      <c r="O1606" s="665">
        <v>100</v>
      </c>
      <c r="P1606" s="665">
        <v>100</v>
      </c>
      <c r="Q1606" s="665">
        <v>100</v>
      </c>
    </row>
    <row r="1607" spans="2:17" ht="45" x14ac:dyDescent="0.25">
      <c r="B1607" s="1803"/>
      <c r="C1607" s="1805" t="s">
        <v>9</v>
      </c>
      <c r="D1607" s="1805"/>
      <c r="E1607" s="1845" t="s">
        <v>2312</v>
      </c>
      <c r="F1607" s="1823">
        <v>2198.4</v>
      </c>
      <c r="G1607" s="1823">
        <v>2317.1999999999998</v>
      </c>
      <c r="H1607" s="1823">
        <v>2943.8</v>
      </c>
      <c r="I1607" s="1823">
        <f>H1607*98.4/100</f>
        <v>2896.6992000000005</v>
      </c>
      <c r="J1607" s="1823">
        <f>I1607*104.4/100</f>
        <v>3024.1539648000007</v>
      </c>
      <c r="K1607" s="659" t="s">
        <v>2313</v>
      </c>
      <c r="L1607" s="660" t="s">
        <v>2314</v>
      </c>
      <c r="M1607" s="987">
        <v>100</v>
      </c>
      <c r="N1607" s="987">
        <v>100</v>
      </c>
      <c r="O1607" s="987">
        <v>100</v>
      </c>
      <c r="P1607" s="987">
        <v>100</v>
      </c>
      <c r="Q1607" s="987">
        <v>100</v>
      </c>
    </row>
    <row r="1608" spans="2:17" ht="30" x14ac:dyDescent="0.25">
      <c r="B1608" s="1804"/>
      <c r="C1608" s="1806"/>
      <c r="D1608" s="1806"/>
      <c r="E1608" s="1852"/>
      <c r="F1608" s="1824"/>
      <c r="G1608" s="1824"/>
      <c r="H1608" s="1824"/>
      <c r="I1608" s="1824"/>
      <c r="J1608" s="1824"/>
      <c r="K1608" s="513" t="s">
        <v>2315</v>
      </c>
      <c r="L1608" s="660" t="s">
        <v>35</v>
      </c>
      <c r="M1608" s="987">
        <v>100</v>
      </c>
      <c r="N1608" s="987">
        <v>100</v>
      </c>
      <c r="O1608" s="987">
        <v>100</v>
      </c>
      <c r="P1608" s="987">
        <v>100</v>
      </c>
      <c r="Q1608" s="987">
        <v>100</v>
      </c>
    </row>
    <row r="1609" spans="2:17" ht="45" x14ac:dyDescent="0.25">
      <c r="B1609" s="1803"/>
      <c r="C1609" s="1805" t="s">
        <v>11</v>
      </c>
      <c r="D1609" s="756"/>
      <c r="E1609" s="1845" t="s">
        <v>2316</v>
      </c>
      <c r="F1609" s="1823">
        <v>2364.6</v>
      </c>
      <c r="G1609" s="1823">
        <v>2102.5</v>
      </c>
      <c r="H1609" s="1823">
        <v>2519.6999999999998</v>
      </c>
      <c r="I1609" s="1823">
        <f>H1609*98.4/100</f>
        <v>2479.3848000000003</v>
      </c>
      <c r="J1609" s="1823">
        <f>I1609*104.4/100</f>
        <v>2588.4777312000006</v>
      </c>
      <c r="K1609" s="659" t="s">
        <v>2317</v>
      </c>
      <c r="L1609" s="660" t="s">
        <v>35</v>
      </c>
      <c r="M1609" s="665">
        <v>90</v>
      </c>
      <c r="N1609" s="665">
        <v>95</v>
      </c>
      <c r="O1609" s="665">
        <v>100</v>
      </c>
      <c r="P1609" s="665">
        <v>100</v>
      </c>
      <c r="Q1609" s="665">
        <v>100</v>
      </c>
    </row>
    <row r="1610" spans="2:17" ht="30" x14ac:dyDescent="0.25">
      <c r="B1610" s="1913"/>
      <c r="C1610" s="1844"/>
      <c r="D1610" s="1316"/>
      <c r="E1610" s="1846"/>
      <c r="F1610" s="1847"/>
      <c r="G1610" s="1847"/>
      <c r="H1610" s="1847"/>
      <c r="I1610" s="1847"/>
      <c r="J1610" s="1847"/>
      <c r="K1610" s="659" t="s">
        <v>2318</v>
      </c>
      <c r="L1610" s="660" t="s">
        <v>35</v>
      </c>
      <c r="M1610" s="665">
        <v>98</v>
      </c>
      <c r="N1610" s="665">
        <v>100</v>
      </c>
      <c r="O1610" s="665">
        <v>100</v>
      </c>
      <c r="P1610" s="665">
        <v>100</v>
      </c>
      <c r="Q1610" s="665">
        <v>100</v>
      </c>
    </row>
    <row r="1611" spans="2:17" ht="30" x14ac:dyDescent="0.25">
      <c r="B1611" s="1913"/>
      <c r="C1611" s="1844"/>
      <c r="D1611" s="1316"/>
      <c r="E1611" s="1846"/>
      <c r="F1611" s="1847"/>
      <c r="G1611" s="1847"/>
      <c r="H1611" s="1847"/>
      <c r="I1611" s="1847"/>
      <c r="J1611" s="1847"/>
      <c r="K1611" s="659" t="s">
        <v>2319</v>
      </c>
      <c r="L1611" s="660" t="s">
        <v>35</v>
      </c>
      <c r="M1611" s="987">
        <v>100</v>
      </c>
      <c r="N1611" s="987">
        <v>100</v>
      </c>
      <c r="O1611" s="987">
        <v>100</v>
      </c>
      <c r="P1611" s="987">
        <v>100</v>
      </c>
      <c r="Q1611" s="987">
        <v>100</v>
      </c>
    </row>
    <row r="1612" spans="2:17" ht="30" x14ac:dyDescent="0.25">
      <c r="B1612" s="1804"/>
      <c r="C1612" s="1806"/>
      <c r="D1612" s="757"/>
      <c r="E1612" s="1852"/>
      <c r="F1612" s="1824"/>
      <c r="G1612" s="1824"/>
      <c r="H1612" s="1824"/>
      <c r="I1612" s="1824"/>
      <c r="J1612" s="1824"/>
      <c r="K1612" s="659" t="s">
        <v>2320</v>
      </c>
      <c r="L1612" s="660" t="s">
        <v>35</v>
      </c>
      <c r="M1612" s="987">
        <v>100</v>
      </c>
      <c r="N1612" s="987">
        <v>100</v>
      </c>
      <c r="O1612" s="987">
        <v>100</v>
      </c>
      <c r="P1612" s="987">
        <v>100</v>
      </c>
      <c r="Q1612" s="987">
        <v>100</v>
      </c>
    </row>
    <row r="1613" spans="2:17" ht="45" x14ac:dyDescent="0.25">
      <c r="B1613" s="1317"/>
      <c r="C1613" s="1805" t="s">
        <v>127</v>
      </c>
      <c r="D1613" s="1316"/>
      <c r="E1613" s="1845" t="s">
        <v>2321</v>
      </c>
      <c r="F1613" s="1823">
        <v>3735.1</v>
      </c>
      <c r="G1613" s="1823">
        <v>4320.8</v>
      </c>
      <c r="H1613" s="1823">
        <v>4094.2</v>
      </c>
      <c r="I1613" s="1823">
        <f>H1613*98.4/100</f>
        <v>4028.6928000000003</v>
      </c>
      <c r="J1613" s="1823">
        <f>I1613*104.4/100</f>
        <v>4205.9552832000008</v>
      </c>
      <c r="K1613" s="659" t="s">
        <v>2322</v>
      </c>
      <c r="L1613" s="660" t="s">
        <v>35</v>
      </c>
      <c r="M1613" s="660">
        <v>100</v>
      </c>
      <c r="N1613" s="660">
        <v>100</v>
      </c>
      <c r="O1613" s="660">
        <v>100</v>
      </c>
      <c r="P1613" s="660">
        <v>100</v>
      </c>
      <c r="Q1613" s="660">
        <v>100</v>
      </c>
    </row>
    <row r="1614" spans="2:17" ht="30" x14ac:dyDescent="0.25">
      <c r="B1614" s="1317"/>
      <c r="C1614" s="1844"/>
      <c r="D1614" s="1316"/>
      <c r="E1614" s="1846"/>
      <c r="F1614" s="1847"/>
      <c r="G1614" s="1847"/>
      <c r="H1614" s="1847"/>
      <c r="I1614" s="1847"/>
      <c r="J1614" s="1847"/>
      <c r="K1614" s="659" t="s">
        <v>2323</v>
      </c>
      <c r="L1614" s="660" t="s">
        <v>35</v>
      </c>
      <c r="M1614" s="660">
        <v>100</v>
      </c>
      <c r="N1614" s="660">
        <v>100</v>
      </c>
      <c r="O1614" s="660">
        <v>100</v>
      </c>
      <c r="P1614" s="660">
        <v>100</v>
      </c>
      <c r="Q1614" s="660">
        <v>100</v>
      </c>
    </row>
    <row r="1615" spans="2:17" ht="30" x14ac:dyDescent="0.25">
      <c r="B1615" s="1158"/>
      <c r="C1615" s="1806"/>
      <c r="D1615" s="757"/>
      <c r="E1615" s="1852"/>
      <c r="F1615" s="1824"/>
      <c r="G1615" s="1824"/>
      <c r="H1615" s="1824"/>
      <c r="I1615" s="1824"/>
      <c r="J1615" s="1824"/>
      <c r="K1615" s="659" t="s">
        <v>2324</v>
      </c>
      <c r="L1615" s="660" t="s">
        <v>35</v>
      </c>
      <c r="M1615" s="660">
        <v>100</v>
      </c>
      <c r="N1615" s="660">
        <v>100</v>
      </c>
      <c r="O1615" s="660">
        <v>100</v>
      </c>
      <c r="P1615" s="660">
        <v>100</v>
      </c>
      <c r="Q1615" s="660">
        <v>100</v>
      </c>
    </row>
    <row r="1616" spans="2:17" x14ac:dyDescent="0.25">
      <c r="B1616" s="1803"/>
      <c r="C1616" s="1805" t="s">
        <v>129</v>
      </c>
      <c r="D1616" s="1805"/>
      <c r="E1616" s="1845" t="s">
        <v>2325</v>
      </c>
      <c r="F1616" s="1933">
        <v>1969.5</v>
      </c>
      <c r="G1616" s="1823">
        <v>2070.5</v>
      </c>
      <c r="H1616" s="1933">
        <v>2453.4</v>
      </c>
      <c r="I1616" s="1933">
        <f>H1616*98.4/100</f>
        <v>2414.1456000000003</v>
      </c>
      <c r="J1616" s="1933">
        <f>I1616*104.4/100</f>
        <v>2520.3680064000005</v>
      </c>
      <c r="K1616" s="1937" t="s">
        <v>2326</v>
      </c>
      <c r="L1616" s="1936" t="s">
        <v>2327</v>
      </c>
      <c r="M1616" s="1946" t="s">
        <v>2328</v>
      </c>
      <c r="N1616" s="1946" t="s">
        <v>2329</v>
      </c>
      <c r="O1616" s="1947">
        <v>1</v>
      </c>
      <c r="P1616" s="1947">
        <v>1</v>
      </c>
      <c r="Q1616" s="1947">
        <v>1</v>
      </c>
    </row>
    <row r="1617" spans="2:17" x14ac:dyDescent="0.25">
      <c r="B1617" s="1913"/>
      <c r="C1617" s="1844"/>
      <c r="D1617" s="1844"/>
      <c r="E1617" s="1846"/>
      <c r="F1617" s="1951"/>
      <c r="G1617" s="1847"/>
      <c r="H1617" s="1951"/>
      <c r="I1617" s="1951"/>
      <c r="J1617" s="1951"/>
      <c r="K1617" s="1937"/>
      <c r="L1617" s="1936"/>
      <c r="M1617" s="1946"/>
      <c r="N1617" s="1946"/>
      <c r="O1617" s="1947"/>
      <c r="P1617" s="1947"/>
      <c r="Q1617" s="1947"/>
    </row>
    <row r="1618" spans="2:17" x14ac:dyDescent="0.25">
      <c r="B1618" s="1913"/>
      <c r="C1618" s="1844"/>
      <c r="D1618" s="1844"/>
      <c r="E1618" s="1846"/>
      <c r="F1618" s="1951"/>
      <c r="G1618" s="1847"/>
      <c r="H1618" s="1951"/>
      <c r="I1618" s="1951"/>
      <c r="J1618" s="1951"/>
      <c r="K1618" s="765" t="s">
        <v>2330</v>
      </c>
      <c r="L1618" s="704" t="s">
        <v>116</v>
      </c>
      <c r="M1618" s="1318">
        <v>1</v>
      </c>
      <c r="N1618" s="1318">
        <v>2</v>
      </c>
      <c r="O1618" s="1318">
        <v>2</v>
      </c>
      <c r="P1618" s="1318">
        <v>2</v>
      </c>
      <c r="Q1618" s="1318">
        <v>1</v>
      </c>
    </row>
    <row r="1619" spans="2:17" ht="30" x14ac:dyDescent="0.25">
      <c r="B1619" s="1804"/>
      <c r="C1619" s="1806"/>
      <c r="D1619" s="1806"/>
      <c r="E1619" s="1852"/>
      <c r="F1619" s="1934"/>
      <c r="G1619" s="1824"/>
      <c r="H1619" s="1934"/>
      <c r="I1619" s="1934"/>
      <c r="J1619" s="1934"/>
      <c r="K1619" s="1319" t="s">
        <v>2331</v>
      </c>
      <c r="L1619" s="450" t="s">
        <v>116</v>
      </c>
      <c r="M1619" s="450" t="s">
        <v>2314</v>
      </c>
      <c r="N1619" s="450">
        <v>1</v>
      </c>
      <c r="O1619" s="450">
        <v>2</v>
      </c>
      <c r="P1619" s="450">
        <v>2</v>
      </c>
      <c r="Q1619" s="450">
        <v>1</v>
      </c>
    </row>
    <row r="1620" spans="2:17" x14ac:dyDescent="0.25">
      <c r="B1620" s="1317"/>
      <c r="C1620" s="1805" t="s">
        <v>131</v>
      </c>
      <c r="D1620" s="1320"/>
      <c r="E1620" s="1845" t="s">
        <v>2332</v>
      </c>
      <c r="F1620" s="1823">
        <v>1988</v>
      </c>
      <c r="G1620" s="1948">
        <v>2267.4</v>
      </c>
      <c r="H1620" s="1933">
        <v>3001</v>
      </c>
      <c r="I1620" s="1933">
        <f>H1620*98.4/100</f>
        <v>2952.9840000000004</v>
      </c>
      <c r="J1620" s="1933">
        <f>I1620*104.4/100</f>
        <v>3082.9152960000006</v>
      </c>
      <c r="K1620" s="764" t="s">
        <v>2333</v>
      </c>
      <c r="L1620" s="660" t="s">
        <v>203</v>
      </c>
      <c r="M1620" s="987">
        <v>36</v>
      </c>
      <c r="N1620" s="987">
        <v>57</v>
      </c>
      <c r="O1620" s="987" t="s">
        <v>211</v>
      </c>
      <c r="P1620" s="987" t="s">
        <v>211</v>
      </c>
      <c r="Q1620" s="987" t="s">
        <v>211</v>
      </c>
    </row>
    <row r="1621" spans="2:17" ht="30" x14ac:dyDescent="0.25">
      <c r="B1621" s="1317"/>
      <c r="C1621" s="1844"/>
      <c r="D1621" s="1320"/>
      <c r="E1621" s="1846"/>
      <c r="F1621" s="1847"/>
      <c r="G1621" s="1949"/>
      <c r="H1621" s="1951"/>
      <c r="I1621" s="1951"/>
      <c r="J1621" s="1951"/>
      <c r="K1621" s="764" t="s">
        <v>2334</v>
      </c>
      <c r="L1621" s="660" t="s">
        <v>35</v>
      </c>
      <c r="M1621" s="987">
        <v>78</v>
      </c>
      <c r="N1621" s="987">
        <v>50</v>
      </c>
      <c r="O1621" s="987">
        <v>60</v>
      </c>
      <c r="P1621" s="987">
        <v>65</v>
      </c>
      <c r="Q1621" s="987">
        <v>50</v>
      </c>
    </row>
    <row r="1622" spans="2:17" ht="30" x14ac:dyDescent="0.25">
      <c r="B1622" s="1317"/>
      <c r="C1622" s="1806"/>
      <c r="D1622" s="1320"/>
      <c r="E1622" s="1852"/>
      <c r="F1622" s="1824"/>
      <c r="G1622" s="1950"/>
      <c r="H1622" s="1934"/>
      <c r="I1622" s="1934"/>
      <c r="J1622" s="1934"/>
      <c r="K1622" s="659" t="s">
        <v>2335</v>
      </c>
      <c r="L1622" s="704" t="s">
        <v>35</v>
      </c>
      <c r="M1622" s="660">
        <v>100</v>
      </c>
      <c r="N1622" s="660">
        <v>100</v>
      </c>
      <c r="O1622" s="660">
        <v>100</v>
      </c>
      <c r="P1622" s="660">
        <v>100</v>
      </c>
      <c r="Q1622" s="660">
        <v>100</v>
      </c>
    </row>
    <row r="1623" spans="2:17" ht="30" x14ac:dyDescent="0.25">
      <c r="B1623" s="971"/>
      <c r="C1623" s="1805" t="s">
        <v>134</v>
      </c>
      <c r="D1623" s="756"/>
      <c r="E1623" s="1845" t="s">
        <v>2336</v>
      </c>
      <c r="F1623" s="1823">
        <v>8443.6</v>
      </c>
      <c r="G1623" s="1823">
        <v>11179.1</v>
      </c>
      <c r="H1623" s="1933">
        <v>2937.4</v>
      </c>
      <c r="I1623" s="1933">
        <f>H1623*98.4/100</f>
        <v>2890.4016000000001</v>
      </c>
      <c r="J1623" s="1933">
        <f>I1623*104.4/100</f>
        <v>3017.5792704000005</v>
      </c>
      <c r="K1623" s="659" t="s">
        <v>2337</v>
      </c>
      <c r="L1623" s="660" t="s">
        <v>2338</v>
      </c>
      <c r="M1623" s="987">
        <v>89</v>
      </c>
      <c r="N1623" s="987">
        <v>70</v>
      </c>
      <c r="O1623" s="987">
        <v>80</v>
      </c>
      <c r="P1623" s="987">
        <v>85</v>
      </c>
      <c r="Q1623" s="987">
        <v>90</v>
      </c>
    </row>
    <row r="1624" spans="2:17" ht="30" x14ac:dyDescent="0.25">
      <c r="B1624" s="1317"/>
      <c r="C1624" s="1844"/>
      <c r="D1624" s="1316"/>
      <c r="E1624" s="1846"/>
      <c r="F1624" s="1847"/>
      <c r="G1624" s="1847"/>
      <c r="H1624" s="1951"/>
      <c r="I1624" s="1951"/>
      <c r="J1624" s="1951"/>
      <c r="K1624" s="659" t="s">
        <v>2339</v>
      </c>
      <c r="L1624" s="660" t="s">
        <v>40</v>
      </c>
      <c r="M1624" s="987">
        <v>1</v>
      </c>
      <c r="N1624" s="987">
        <v>2</v>
      </c>
      <c r="O1624" s="987">
        <v>3</v>
      </c>
      <c r="P1624" s="987">
        <v>4</v>
      </c>
      <c r="Q1624" s="987">
        <v>5</v>
      </c>
    </row>
    <row r="1625" spans="2:17" ht="30" x14ac:dyDescent="0.25">
      <c r="B1625" s="1317"/>
      <c r="C1625" s="1806"/>
      <c r="D1625" s="757"/>
      <c r="E1625" s="1852"/>
      <c r="F1625" s="1824"/>
      <c r="G1625" s="1824"/>
      <c r="H1625" s="1934"/>
      <c r="I1625" s="1934"/>
      <c r="J1625" s="1934"/>
      <c r="K1625" s="659" t="s">
        <v>2340</v>
      </c>
      <c r="L1625" s="660" t="s">
        <v>203</v>
      </c>
      <c r="M1625" s="987">
        <v>0</v>
      </c>
      <c r="N1625" s="987">
        <v>0</v>
      </c>
      <c r="O1625" s="987">
        <v>500</v>
      </c>
      <c r="P1625" s="987">
        <v>1000</v>
      </c>
      <c r="Q1625" s="987">
        <v>1500</v>
      </c>
    </row>
    <row r="1626" spans="2:17" x14ac:dyDescent="0.25">
      <c r="B1626" s="1803"/>
      <c r="C1626" s="1805" t="s">
        <v>137</v>
      </c>
      <c r="D1626" s="1805"/>
      <c r="E1626" s="1845" t="s">
        <v>2341</v>
      </c>
      <c r="F1626" s="1823">
        <v>2406.9</v>
      </c>
      <c r="G1626" s="1948">
        <v>3104.2</v>
      </c>
      <c r="H1626" s="1823">
        <v>4144.3999999999996</v>
      </c>
      <c r="I1626" s="1823">
        <f>H1626*98.4/100</f>
        <v>4078.0895999999998</v>
      </c>
      <c r="J1626" s="1823">
        <f>I1626*104.4/100</f>
        <v>4257.5255424000006</v>
      </c>
      <c r="K1626" s="1914" t="s">
        <v>2342</v>
      </c>
      <c r="L1626" s="1694" t="s">
        <v>40</v>
      </c>
      <c r="M1626" s="2136" t="s">
        <v>2343</v>
      </c>
      <c r="N1626" s="2136">
        <v>25</v>
      </c>
      <c r="O1626" s="2136">
        <v>25</v>
      </c>
      <c r="P1626" s="2136">
        <v>25</v>
      </c>
      <c r="Q1626" s="2136">
        <v>25</v>
      </c>
    </row>
    <row r="1627" spans="2:17" x14ac:dyDescent="0.25">
      <c r="B1627" s="1913"/>
      <c r="C1627" s="1844"/>
      <c r="D1627" s="1844"/>
      <c r="E1627" s="1846"/>
      <c r="F1627" s="1847"/>
      <c r="G1627" s="1949"/>
      <c r="H1627" s="1847"/>
      <c r="I1627" s="1847"/>
      <c r="J1627" s="1847"/>
      <c r="K1627" s="1914"/>
      <c r="L1627" s="1694"/>
      <c r="M1627" s="2136"/>
      <c r="N1627" s="2136"/>
      <c r="O1627" s="2136"/>
      <c r="P1627" s="2136"/>
      <c r="Q1627" s="2136"/>
    </row>
    <row r="1628" spans="2:17" ht="30" x14ac:dyDescent="0.25">
      <c r="B1628" s="1804"/>
      <c r="C1628" s="1806"/>
      <c r="D1628" s="1806"/>
      <c r="E1628" s="1852"/>
      <c r="F1628" s="1824"/>
      <c r="G1628" s="1950"/>
      <c r="H1628" s="1824"/>
      <c r="I1628" s="1824"/>
      <c r="J1628" s="1824"/>
      <c r="K1628" s="659" t="s">
        <v>2344</v>
      </c>
      <c r="L1628" s="660" t="s">
        <v>35</v>
      </c>
      <c r="M1628" s="786">
        <v>100</v>
      </c>
      <c r="N1628" s="786">
        <v>100</v>
      </c>
      <c r="O1628" s="786">
        <v>100</v>
      </c>
      <c r="P1628" s="786">
        <v>100</v>
      </c>
      <c r="Q1628" s="786">
        <v>100</v>
      </c>
    </row>
    <row r="1629" spans="2:17" ht="60" x14ac:dyDescent="0.25">
      <c r="B1629" s="405"/>
      <c r="C1629" s="661" t="s">
        <v>405</v>
      </c>
      <c r="D1629" s="681"/>
      <c r="E1629" s="659" t="s">
        <v>2345</v>
      </c>
      <c r="F1629" s="786">
        <v>1792.5</v>
      </c>
      <c r="G1629" s="786">
        <v>1942</v>
      </c>
      <c r="H1629" s="786">
        <v>2594.4</v>
      </c>
      <c r="I1629" s="786">
        <f>H1629*98.4/100</f>
        <v>2552.8896000000004</v>
      </c>
      <c r="J1629" s="786">
        <f>I1629*104.4/100</f>
        <v>2665.2167424000008</v>
      </c>
      <c r="K1629" s="513" t="s">
        <v>2346</v>
      </c>
      <c r="L1629" s="660" t="s">
        <v>35</v>
      </c>
      <c r="M1629" s="704">
        <v>100</v>
      </c>
      <c r="N1629" s="660">
        <v>100</v>
      </c>
      <c r="O1629" s="660">
        <v>100</v>
      </c>
      <c r="P1629" s="660">
        <v>100</v>
      </c>
      <c r="Q1629" s="660">
        <v>100</v>
      </c>
    </row>
    <row r="1630" spans="2:17" ht="60" x14ac:dyDescent="0.25">
      <c r="B1630" s="405"/>
      <c r="C1630" s="681"/>
      <c r="D1630" s="681"/>
      <c r="E1630" s="659" t="s">
        <v>2347</v>
      </c>
      <c r="F1630" s="1321"/>
      <c r="G1630" s="1321"/>
      <c r="H1630" s="1321"/>
      <c r="I1630" s="1321"/>
      <c r="J1630" s="1321"/>
      <c r="K1630" s="513" t="s">
        <v>2348</v>
      </c>
      <c r="L1630" s="660" t="s">
        <v>35</v>
      </c>
      <c r="M1630" s="704">
        <v>100</v>
      </c>
      <c r="N1630" s="704">
        <v>100</v>
      </c>
      <c r="O1630" s="704">
        <v>100</v>
      </c>
      <c r="P1630" s="704">
        <v>100</v>
      </c>
      <c r="Q1630" s="704">
        <v>100</v>
      </c>
    </row>
    <row r="1631" spans="2:17" ht="45" x14ac:dyDescent="0.25">
      <c r="B1631" s="971"/>
      <c r="C1631" s="756" t="s">
        <v>407</v>
      </c>
      <c r="D1631" s="756"/>
      <c r="E1631" s="762" t="s">
        <v>2349</v>
      </c>
      <c r="F1631" s="753">
        <v>747.8</v>
      </c>
      <c r="G1631" s="753">
        <v>339.3</v>
      </c>
      <c r="H1631" s="789">
        <v>679.7</v>
      </c>
      <c r="I1631" s="789">
        <f>H1631*98.4/100</f>
        <v>668.8248000000001</v>
      </c>
      <c r="J1631" s="789">
        <f>I1631*104.4/100</f>
        <v>698.2530912000002</v>
      </c>
      <c r="K1631" s="765" t="s">
        <v>2350</v>
      </c>
      <c r="L1631" s="704" t="s">
        <v>35</v>
      </c>
      <c r="M1631" s="1322">
        <v>100</v>
      </c>
      <c r="N1631" s="1322">
        <v>100</v>
      </c>
      <c r="O1631" s="1322">
        <v>100</v>
      </c>
      <c r="P1631" s="1322">
        <v>100</v>
      </c>
      <c r="Q1631" s="1322">
        <v>100</v>
      </c>
    </row>
    <row r="1632" spans="2:17" ht="45" x14ac:dyDescent="0.25">
      <c r="B1632" s="1803"/>
      <c r="C1632" s="1805" t="s">
        <v>411</v>
      </c>
      <c r="D1632" s="1805"/>
      <c r="E1632" s="1914" t="s">
        <v>2351</v>
      </c>
      <c r="F1632" s="1823">
        <v>16400.8</v>
      </c>
      <c r="G1632" s="1823">
        <v>16783.3</v>
      </c>
      <c r="H1632" s="1935">
        <v>24806</v>
      </c>
      <c r="I1632" s="1935">
        <f>H1632*98.4/100+2.9+1159.2</f>
        <v>25571.204000000005</v>
      </c>
      <c r="J1632" s="1935">
        <f>I1632*104.4/100+16.2-2915</f>
        <v>23797.536976000007</v>
      </c>
      <c r="K1632" s="513" t="s">
        <v>2352</v>
      </c>
      <c r="L1632" s="660" t="s">
        <v>35</v>
      </c>
      <c r="M1632" s="660">
        <v>90</v>
      </c>
      <c r="N1632" s="786">
        <v>100</v>
      </c>
      <c r="O1632" s="786">
        <v>100</v>
      </c>
      <c r="P1632" s="786">
        <v>100</v>
      </c>
      <c r="Q1632" s="786">
        <v>100</v>
      </c>
    </row>
    <row r="1633" spans="2:17" ht="45" x14ac:dyDescent="0.25">
      <c r="B1633" s="1913"/>
      <c r="C1633" s="1844"/>
      <c r="D1633" s="1844"/>
      <c r="E1633" s="1914"/>
      <c r="F1633" s="1847"/>
      <c r="G1633" s="1847"/>
      <c r="H1633" s="1935"/>
      <c r="I1633" s="1935"/>
      <c r="J1633" s="1935"/>
      <c r="K1633" s="659" t="s">
        <v>2353</v>
      </c>
      <c r="L1633" s="660" t="s">
        <v>2338</v>
      </c>
      <c r="M1633" s="660">
        <v>100</v>
      </c>
      <c r="N1633" s="660">
        <v>100</v>
      </c>
      <c r="O1633" s="660">
        <v>100</v>
      </c>
      <c r="P1633" s="660">
        <v>100</v>
      </c>
      <c r="Q1633" s="660">
        <v>100</v>
      </c>
    </row>
    <row r="1634" spans="2:17" ht="30" x14ac:dyDescent="0.25">
      <c r="B1634" s="1804"/>
      <c r="C1634" s="1806"/>
      <c r="D1634" s="1806"/>
      <c r="E1634" s="1914"/>
      <c r="F1634" s="1824"/>
      <c r="G1634" s="1824"/>
      <c r="H1634" s="1935"/>
      <c r="I1634" s="1935"/>
      <c r="J1634" s="1935"/>
      <c r="K1634" s="1323" t="s">
        <v>2354</v>
      </c>
      <c r="L1634" s="660" t="s">
        <v>2338</v>
      </c>
      <c r="M1634" s="665">
        <v>100</v>
      </c>
      <c r="N1634" s="665">
        <v>100</v>
      </c>
      <c r="O1634" s="665">
        <v>100</v>
      </c>
      <c r="P1634" s="665">
        <v>100</v>
      </c>
      <c r="Q1634" s="665">
        <v>100</v>
      </c>
    </row>
    <row r="1635" spans="2:17" x14ac:dyDescent="0.25">
      <c r="B1635" s="1915" t="s">
        <v>85</v>
      </c>
      <c r="C1635" s="1916"/>
      <c r="D1635" s="1916"/>
      <c r="E1635" s="1917"/>
      <c r="F1635" s="1061">
        <f>F1602+F1595</f>
        <v>73714.599999999991</v>
      </c>
      <c r="G1635" s="1324">
        <f>G1595+G1602</f>
        <v>60899.600000000006</v>
      </c>
      <c r="H1635" s="1325">
        <f>H1595+H1602</f>
        <v>68873.600000000006</v>
      </c>
      <c r="I1635" s="1325">
        <f>I1595+I1602</f>
        <v>68933.722400000013</v>
      </c>
      <c r="J1635" s="1325">
        <f>J1595+J1602</f>
        <v>69068.006185600025</v>
      </c>
      <c r="K1635" s="1326"/>
      <c r="L1635" s="1918"/>
      <c r="M1635" s="1918"/>
      <c r="N1635" s="1918"/>
      <c r="O1635" s="1918"/>
      <c r="P1635" s="1918"/>
      <c r="Q1635" s="1326"/>
    </row>
    <row r="1636" spans="2:17" x14ac:dyDescent="0.25">
      <c r="B1636" s="1722" t="s">
        <v>2355</v>
      </c>
      <c r="C1636" s="1698"/>
      <c r="D1636" s="1698"/>
      <c r="E1636" s="1698"/>
      <c r="F1636" s="1698"/>
      <c r="G1636" s="1698"/>
      <c r="H1636" s="1698"/>
      <c r="I1636" s="1698"/>
      <c r="J1636" s="1698"/>
      <c r="K1636" s="1698"/>
      <c r="L1636" s="1698"/>
      <c r="M1636" s="1698"/>
      <c r="N1636" s="1698"/>
      <c r="O1636" s="1698"/>
      <c r="P1636" s="1698"/>
      <c r="Q1636" s="1919"/>
    </row>
    <row r="1637" spans="2:17" ht="28.5" x14ac:dyDescent="0.25">
      <c r="B1637" s="1920" t="s">
        <v>516</v>
      </c>
      <c r="C1637" s="2132"/>
      <c r="D1637" s="2133"/>
      <c r="E1637" s="1327" t="s">
        <v>910</v>
      </c>
      <c r="F1637" s="1921">
        <f>F1639+F1640+F1641+F1642+F1643+F1644+F1645+F1646</f>
        <v>37482.5</v>
      </c>
      <c r="G1637" s="1921">
        <f t="shared" ref="G1637:J1637" si="170">G1639+G1640+G1641+G1642+G1643+G1644+G1645+G1646</f>
        <v>37866</v>
      </c>
      <c r="H1637" s="1921">
        <f t="shared" si="170"/>
        <v>28908.6</v>
      </c>
      <c r="I1637" s="1921">
        <f t="shared" si="170"/>
        <v>24741.599999999999</v>
      </c>
      <c r="J1637" s="1921">
        <f t="shared" si="170"/>
        <v>24816.400000000001</v>
      </c>
      <c r="K1637" s="2134" t="s">
        <v>34</v>
      </c>
      <c r="L1637" s="2132" t="s">
        <v>35</v>
      </c>
      <c r="M1637" s="1328"/>
      <c r="N1637" s="1328"/>
      <c r="O1637" s="1328"/>
      <c r="P1637" s="1329"/>
      <c r="Q1637" s="1329"/>
    </row>
    <row r="1638" spans="2:17" ht="45" x14ac:dyDescent="0.25">
      <c r="B1638" s="1920"/>
      <c r="C1638" s="2132"/>
      <c r="D1638" s="2133"/>
      <c r="E1638" s="1330" t="s">
        <v>87</v>
      </c>
      <c r="F1638" s="1922"/>
      <c r="G1638" s="1922"/>
      <c r="H1638" s="1922"/>
      <c r="I1638" s="1922"/>
      <c r="J1638" s="1922"/>
      <c r="K1638" s="2134"/>
      <c r="L1638" s="2132"/>
      <c r="M1638" s="1329"/>
      <c r="N1638" s="1328"/>
      <c r="O1638" s="1328"/>
      <c r="P1638" s="1329"/>
      <c r="Q1638" s="1329"/>
    </row>
    <row r="1639" spans="2:17" x14ac:dyDescent="0.25">
      <c r="B1639" s="1331"/>
      <c r="C1639" s="1332" t="s">
        <v>5</v>
      </c>
      <c r="D1639" s="1331"/>
      <c r="E1639" s="1333" t="s">
        <v>6</v>
      </c>
      <c r="F1639" s="470">
        <v>9746.7000000000007</v>
      </c>
      <c r="G1639" s="470">
        <v>9798</v>
      </c>
      <c r="H1639" s="470">
        <v>7536.2</v>
      </c>
      <c r="I1639" s="470">
        <v>7670</v>
      </c>
      <c r="J1639" s="470">
        <v>7693.1</v>
      </c>
      <c r="K1639" s="1329" t="s">
        <v>36</v>
      </c>
      <c r="L1639" s="1331" t="s">
        <v>37</v>
      </c>
      <c r="M1639" s="1329"/>
      <c r="N1639" s="1329"/>
      <c r="O1639" s="1329"/>
      <c r="P1639" s="1329"/>
      <c r="Q1639" s="1329"/>
    </row>
    <row r="1640" spans="2:17" x14ac:dyDescent="0.25">
      <c r="B1640" s="1331"/>
      <c r="C1640" s="1332" t="s">
        <v>7</v>
      </c>
      <c r="D1640" s="1331"/>
      <c r="E1640" s="692" t="s">
        <v>8</v>
      </c>
      <c r="F1640" s="470">
        <v>836.3</v>
      </c>
      <c r="G1640" s="470">
        <v>876.6</v>
      </c>
      <c r="H1640" s="470">
        <v>0</v>
      </c>
      <c r="I1640" s="470">
        <v>0</v>
      </c>
      <c r="J1640" s="470">
        <v>0</v>
      </c>
      <c r="K1640" s="1329"/>
      <c r="L1640" s="1331"/>
      <c r="M1640" s="1329"/>
      <c r="N1640" s="1329"/>
      <c r="O1640" s="1329"/>
      <c r="P1640" s="1329"/>
      <c r="Q1640" s="1329"/>
    </row>
    <row r="1641" spans="2:17" ht="30" x14ac:dyDescent="0.25">
      <c r="B1641" s="1331"/>
      <c r="C1641" s="1332" t="s">
        <v>9</v>
      </c>
      <c r="D1641" s="1331"/>
      <c r="E1641" s="1329" t="s">
        <v>10</v>
      </c>
      <c r="F1641" s="470">
        <v>2917.8</v>
      </c>
      <c r="G1641" s="470">
        <v>2916.7</v>
      </c>
      <c r="H1641" s="470">
        <v>2668.4</v>
      </c>
      <c r="I1641" s="470">
        <v>1979.3</v>
      </c>
      <c r="J1641" s="470">
        <v>1985.3</v>
      </c>
      <c r="K1641" s="1329" t="s">
        <v>519</v>
      </c>
      <c r="L1641" s="1331" t="s">
        <v>35</v>
      </c>
      <c r="M1641" s="1329"/>
      <c r="N1641" s="1329"/>
      <c r="O1641" s="1329"/>
      <c r="P1641" s="1329"/>
      <c r="Q1641" s="1329"/>
    </row>
    <row r="1642" spans="2:17" ht="30" x14ac:dyDescent="0.25">
      <c r="B1642" s="1331"/>
      <c r="C1642" s="1332" t="s">
        <v>11</v>
      </c>
      <c r="D1642" s="1331"/>
      <c r="E1642" s="1329" t="s">
        <v>12</v>
      </c>
      <c r="F1642" s="470">
        <v>2481.1</v>
      </c>
      <c r="G1642" s="470">
        <v>2446.1</v>
      </c>
      <c r="H1642" s="470">
        <v>2446.1</v>
      </c>
      <c r="I1642" s="470">
        <v>1731.9</v>
      </c>
      <c r="J1642" s="470">
        <v>1737.2</v>
      </c>
      <c r="K1642" s="1329" t="s">
        <v>191</v>
      </c>
      <c r="L1642" s="1331" t="s">
        <v>1705</v>
      </c>
      <c r="M1642" s="1329"/>
      <c r="N1642" s="1329"/>
      <c r="O1642" s="1329"/>
      <c r="P1642" s="1329"/>
      <c r="Q1642" s="1329"/>
    </row>
    <row r="1643" spans="2:17" ht="30" x14ac:dyDescent="0.25">
      <c r="B1643" s="1331"/>
      <c r="C1643" s="1332" t="s">
        <v>127</v>
      </c>
      <c r="D1643" s="1331"/>
      <c r="E1643" s="1329" t="s">
        <v>13</v>
      </c>
      <c r="F1643" s="470">
        <v>496.2</v>
      </c>
      <c r="G1643" s="470">
        <v>444.8</v>
      </c>
      <c r="H1643" s="470">
        <v>444.8</v>
      </c>
      <c r="I1643" s="470">
        <v>494.8</v>
      </c>
      <c r="J1643" s="470">
        <v>496.3</v>
      </c>
      <c r="K1643" s="1329" t="s">
        <v>45</v>
      </c>
      <c r="L1643" s="1331" t="s">
        <v>40</v>
      </c>
      <c r="M1643" s="1329"/>
      <c r="N1643" s="1329"/>
      <c r="O1643" s="1329"/>
      <c r="P1643" s="1329"/>
      <c r="Q1643" s="1329"/>
    </row>
    <row r="1644" spans="2:17" ht="45" x14ac:dyDescent="0.25">
      <c r="B1644" s="1331"/>
      <c r="C1644" s="1332" t="s">
        <v>129</v>
      </c>
      <c r="D1644" s="1331"/>
      <c r="E1644" s="1329" t="s">
        <v>14</v>
      </c>
      <c r="F1644" s="470">
        <v>6397.5</v>
      </c>
      <c r="G1644" s="470">
        <v>6493.6</v>
      </c>
      <c r="H1644" s="470">
        <v>7807.5</v>
      </c>
      <c r="I1644" s="470">
        <v>3463.8</v>
      </c>
      <c r="J1644" s="470">
        <v>3474.3</v>
      </c>
      <c r="K1644" s="1329" t="s">
        <v>41</v>
      </c>
      <c r="L1644" s="1331">
        <v>10</v>
      </c>
      <c r="M1644" s="1331"/>
      <c r="N1644" s="1331"/>
      <c r="O1644" s="1331"/>
      <c r="P1644" s="1331"/>
      <c r="Q1644" s="1331"/>
    </row>
    <row r="1645" spans="2:17" ht="30" x14ac:dyDescent="0.25">
      <c r="B1645" s="1331"/>
      <c r="C1645" s="1332" t="s">
        <v>131</v>
      </c>
      <c r="D1645" s="1331"/>
      <c r="E1645" s="1329" t="s">
        <v>464</v>
      </c>
      <c r="F1645" s="470">
        <v>9094.7999999999993</v>
      </c>
      <c r="G1645" s="470">
        <v>9157.5</v>
      </c>
      <c r="H1645" s="470">
        <v>8005.6</v>
      </c>
      <c r="I1645" s="470">
        <v>9401.7999999999993</v>
      </c>
      <c r="J1645" s="470">
        <v>9430.2000000000007</v>
      </c>
      <c r="K1645" s="1329"/>
      <c r="L1645" s="1331">
        <v>40</v>
      </c>
      <c r="M1645" s="1334"/>
      <c r="N1645" s="1334"/>
      <c r="O1645" s="1334"/>
      <c r="P1645" s="1331"/>
      <c r="Q1645" s="1331"/>
    </row>
    <row r="1646" spans="2:17" x14ac:dyDescent="0.25">
      <c r="B1646" s="1331"/>
      <c r="C1646" s="1332" t="s">
        <v>134</v>
      </c>
      <c r="D1646" s="1331"/>
      <c r="E1646" s="25" t="s">
        <v>333</v>
      </c>
      <c r="F1646" s="470">
        <v>5512.1</v>
      </c>
      <c r="G1646" s="470">
        <v>5732.7</v>
      </c>
      <c r="H1646" s="470">
        <v>0</v>
      </c>
      <c r="I1646" s="470">
        <v>0</v>
      </c>
      <c r="J1646" s="470">
        <v>0</v>
      </c>
      <c r="K1646" s="1329"/>
      <c r="L1646" s="1331"/>
      <c r="M1646" s="1334"/>
      <c r="N1646" s="1334"/>
      <c r="O1646" s="1334"/>
      <c r="P1646" s="1331"/>
      <c r="Q1646" s="1331"/>
    </row>
    <row r="1647" spans="2:17" x14ac:dyDescent="0.25">
      <c r="B1647" s="1335" t="s">
        <v>2356</v>
      </c>
      <c r="C1647" s="1332"/>
      <c r="D1647" s="1331"/>
      <c r="E1647" s="257" t="s">
        <v>2357</v>
      </c>
      <c r="F1647" s="1336">
        <f>F1648+F1649</f>
        <v>1789216.9</v>
      </c>
      <c r="G1647" s="1336">
        <f t="shared" ref="G1647:J1647" si="171">G1648+G1649</f>
        <v>4399319.7</v>
      </c>
      <c r="H1647" s="1336">
        <f t="shared" si="171"/>
        <v>920399.8</v>
      </c>
      <c r="I1647" s="1336">
        <f t="shared" si="171"/>
        <v>7000</v>
      </c>
      <c r="J1647" s="1336">
        <f t="shared" si="171"/>
        <v>5296</v>
      </c>
      <c r="K1647" s="1329"/>
      <c r="L1647" s="1331"/>
      <c r="M1647" s="1334"/>
      <c r="N1647" s="1334"/>
      <c r="O1647" s="1334"/>
      <c r="P1647" s="1331"/>
      <c r="Q1647" s="1331"/>
    </row>
    <row r="1648" spans="2:17" ht="30" x14ac:dyDescent="0.25">
      <c r="B1648" s="1332"/>
      <c r="C1648" s="1332" t="s">
        <v>5</v>
      </c>
      <c r="D1648" s="1331"/>
      <c r="E1648" s="692" t="s">
        <v>2358</v>
      </c>
      <c r="F1648" s="470">
        <v>2216.9</v>
      </c>
      <c r="G1648" s="470">
        <v>0</v>
      </c>
      <c r="H1648" s="470"/>
      <c r="I1648" s="470">
        <v>7000</v>
      </c>
      <c r="J1648" s="470">
        <v>5296</v>
      </c>
      <c r="K1648" s="1329"/>
      <c r="L1648" s="1331"/>
      <c r="M1648" s="1334"/>
      <c r="N1648" s="1334"/>
      <c r="O1648" s="1329"/>
      <c r="P1648" s="1329"/>
      <c r="Q1648" s="1329"/>
    </row>
    <row r="1649" spans="2:17" ht="30" x14ac:dyDescent="0.25">
      <c r="B1649" s="1331"/>
      <c r="C1649" s="1332" t="s">
        <v>7</v>
      </c>
      <c r="D1649" s="1331"/>
      <c r="E1649" s="1337" t="s">
        <v>2359</v>
      </c>
      <c r="F1649" s="470">
        <v>1787000</v>
      </c>
      <c r="G1649" s="470">
        <f>4399319.5+0.2</f>
        <v>4399319.7</v>
      </c>
      <c r="H1649" s="470">
        <v>920399.8</v>
      </c>
      <c r="I1649" s="786"/>
      <c r="J1649" s="786"/>
      <c r="K1649" s="1329"/>
      <c r="L1649" s="1331"/>
      <c r="M1649" s="1334"/>
      <c r="N1649" s="1334"/>
      <c r="O1649" s="1329"/>
      <c r="P1649" s="1329"/>
      <c r="Q1649" s="1329"/>
    </row>
    <row r="1650" spans="2:17" x14ac:dyDescent="0.25">
      <c r="B1650" s="1923" t="s">
        <v>85</v>
      </c>
      <c r="C1650" s="1923"/>
      <c r="D1650" s="1923"/>
      <c r="E1650" s="1923"/>
      <c r="F1650" s="268">
        <f>F1637+F1647</f>
        <v>1826699.4</v>
      </c>
      <c r="G1650" s="268">
        <f t="shared" ref="G1650:J1650" si="172">G1637+G1647</f>
        <v>4437185.7</v>
      </c>
      <c r="H1650" s="268">
        <f t="shared" si="172"/>
        <v>949308.4</v>
      </c>
      <c r="I1650" s="268">
        <f t="shared" si="172"/>
        <v>31741.599999999999</v>
      </c>
      <c r="J1650" s="268">
        <f t="shared" si="172"/>
        <v>30112.400000000001</v>
      </c>
      <c r="K1650" s="707"/>
      <c r="L1650" s="707"/>
      <c r="M1650" s="707"/>
      <c r="N1650" s="707"/>
      <c r="O1650" s="707"/>
      <c r="P1650" s="707"/>
      <c r="Q1650" s="707"/>
    </row>
    <row r="1651" spans="2:17" ht="15.75" thickBot="1" x14ac:dyDescent="0.3">
      <c r="B1651" s="1722" t="s">
        <v>2360</v>
      </c>
      <c r="C1651" s="1698"/>
      <c r="D1651" s="1698"/>
      <c r="E1651" s="1698"/>
      <c r="F1651" s="1698"/>
      <c r="G1651" s="1698"/>
      <c r="H1651" s="1698"/>
      <c r="I1651" s="1698"/>
      <c r="J1651" s="1698"/>
      <c r="K1651" s="1698"/>
      <c r="L1651" s="1698"/>
      <c r="M1651" s="1698"/>
      <c r="N1651" s="1698"/>
      <c r="O1651" s="1698"/>
      <c r="P1651" s="1698"/>
      <c r="Q1651" s="1919"/>
    </row>
    <row r="1652" spans="2:17" ht="73.5" x14ac:dyDescent="0.25">
      <c r="B1652" s="1338">
        <v>1</v>
      </c>
      <c r="C1652" s="708"/>
      <c r="D1652" s="709"/>
      <c r="E1652" s="484" t="s">
        <v>902</v>
      </c>
      <c r="F1652" s="208">
        <f>SUM(F1653+F1654+F1655+F1656+F1657+F1658+F1659+F1660)</f>
        <v>197879.7</v>
      </c>
      <c r="G1652" s="208">
        <f>SUM(G1653+G1654+G1655+G1656+G1657+G1658+G1659+G1660)</f>
        <v>150479.70000000001</v>
      </c>
      <c r="H1652" s="208">
        <f t="shared" ref="H1652:J1652" si="173">SUM(H1653+H1654+H1655+H1656+H1657+H1658+H1659+H1660)</f>
        <v>150979.70000000001</v>
      </c>
      <c r="I1652" s="208">
        <f t="shared" si="173"/>
        <v>151112.20000000001</v>
      </c>
      <c r="J1652" s="208">
        <f t="shared" si="173"/>
        <v>151408.70000000001</v>
      </c>
      <c r="K1652" s="712" t="s">
        <v>34</v>
      </c>
      <c r="L1652" s="922" t="s">
        <v>35</v>
      </c>
      <c r="M1652" s="788">
        <v>100</v>
      </c>
      <c r="N1652" s="788">
        <v>100</v>
      </c>
      <c r="O1652" s="788">
        <v>100</v>
      </c>
      <c r="P1652" s="788">
        <v>100</v>
      </c>
      <c r="Q1652" s="788">
        <v>100</v>
      </c>
    </row>
    <row r="1653" spans="2:17" x14ac:dyDescent="0.25">
      <c r="B1653" s="1339"/>
      <c r="C1653" s="819">
        <v>1</v>
      </c>
      <c r="D1653" s="708"/>
      <c r="E1653" s="1340" t="s">
        <v>6</v>
      </c>
      <c r="F1653" s="706">
        <v>600</v>
      </c>
      <c r="G1653" s="706"/>
      <c r="H1653" s="706"/>
      <c r="I1653" s="706"/>
      <c r="J1653" s="706"/>
      <c r="K1653" s="765" t="s">
        <v>36</v>
      </c>
      <c r="L1653" s="704" t="s">
        <v>37</v>
      </c>
      <c r="M1653" s="704">
        <v>18</v>
      </c>
      <c r="N1653" s="704">
        <v>19</v>
      </c>
      <c r="O1653" s="704">
        <v>20</v>
      </c>
      <c r="P1653" s="704">
        <v>22</v>
      </c>
      <c r="Q1653" s="704">
        <v>22</v>
      </c>
    </row>
    <row r="1654" spans="2:17" ht="30" x14ac:dyDescent="0.25">
      <c r="B1654" s="1339"/>
      <c r="C1654" s="1341">
        <v>2</v>
      </c>
      <c r="D1654" s="708"/>
      <c r="E1654" s="1342" t="s">
        <v>8</v>
      </c>
      <c r="F1654" s="706">
        <v>600</v>
      </c>
      <c r="G1654" s="706"/>
      <c r="H1654" s="706">
        <v>128553.60000000001</v>
      </c>
      <c r="I1654" s="706">
        <f>128553.6+132.4</f>
        <v>128686</v>
      </c>
      <c r="J1654" s="706">
        <f>128686+300.3</f>
        <v>128986.3</v>
      </c>
      <c r="K1654" s="765" t="s">
        <v>38</v>
      </c>
      <c r="L1654" s="704" t="s">
        <v>35</v>
      </c>
      <c r="M1654" s="704">
        <v>97</v>
      </c>
      <c r="N1654" s="704">
        <v>98</v>
      </c>
      <c r="O1654" s="704">
        <v>99</v>
      </c>
      <c r="P1654" s="704">
        <v>99</v>
      </c>
      <c r="Q1654" s="704">
        <v>100</v>
      </c>
    </row>
    <row r="1655" spans="2:17" ht="30" x14ac:dyDescent="0.25">
      <c r="B1655" s="1339"/>
      <c r="C1655" s="1341">
        <v>3</v>
      </c>
      <c r="D1655" s="708"/>
      <c r="E1655" s="1342" t="s">
        <v>10</v>
      </c>
      <c r="F1655" s="706">
        <v>500</v>
      </c>
      <c r="G1655" s="706"/>
      <c r="H1655" s="706"/>
      <c r="I1655" s="706"/>
      <c r="J1655" s="706"/>
      <c r="K1655" s="1343" t="s">
        <v>39</v>
      </c>
      <c r="L1655" s="704" t="s">
        <v>35</v>
      </c>
      <c r="M1655" s="704">
        <v>90</v>
      </c>
      <c r="N1655" s="704">
        <v>90</v>
      </c>
      <c r="O1655" s="704">
        <v>90</v>
      </c>
      <c r="P1655" s="704">
        <v>92</v>
      </c>
      <c r="Q1655" s="704">
        <v>92</v>
      </c>
    </row>
    <row r="1656" spans="2:17" ht="30" x14ac:dyDescent="0.25">
      <c r="B1656" s="1339"/>
      <c r="C1656" s="1341">
        <v>4</v>
      </c>
      <c r="D1656" s="708"/>
      <c r="E1656" s="1342" t="s">
        <v>12</v>
      </c>
      <c r="F1656" s="706">
        <v>350</v>
      </c>
      <c r="G1656" s="706"/>
      <c r="H1656" s="706"/>
      <c r="I1656" s="706"/>
      <c r="J1656" s="706"/>
      <c r="K1656" s="765" t="s">
        <v>191</v>
      </c>
      <c r="L1656" s="704" t="s">
        <v>192</v>
      </c>
      <c r="M1656" s="704">
        <v>10</v>
      </c>
      <c r="N1656" s="704">
        <v>10</v>
      </c>
      <c r="O1656" s="704">
        <v>10</v>
      </c>
      <c r="P1656" s="704">
        <v>10</v>
      </c>
      <c r="Q1656" s="704">
        <v>10</v>
      </c>
    </row>
    <row r="1657" spans="2:17" ht="30" x14ac:dyDescent="0.25">
      <c r="B1657" s="1339"/>
      <c r="C1657" s="1341">
        <v>5</v>
      </c>
      <c r="D1657" s="708"/>
      <c r="E1657" s="1342" t="s">
        <v>13</v>
      </c>
      <c r="F1657" s="706">
        <v>750</v>
      </c>
      <c r="G1657" s="706"/>
      <c r="H1657" s="706"/>
      <c r="I1657" s="706"/>
      <c r="J1657" s="706"/>
      <c r="K1657" s="765" t="s">
        <v>194</v>
      </c>
      <c r="L1657" s="704" t="s">
        <v>40</v>
      </c>
      <c r="M1657" s="704">
        <v>2</v>
      </c>
      <c r="N1657" s="704">
        <v>4</v>
      </c>
      <c r="O1657" s="704">
        <v>5</v>
      </c>
      <c r="P1657" s="704">
        <v>6</v>
      </c>
      <c r="Q1657" s="704">
        <v>8</v>
      </c>
    </row>
    <row r="1658" spans="2:17" ht="30" x14ac:dyDescent="0.25">
      <c r="B1658" s="1339"/>
      <c r="C1658" s="863">
        <v>6</v>
      </c>
      <c r="D1658" s="708"/>
      <c r="E1658" s="714" t="s">
        <v>14</v>
      </c>
      <c r="F1658" s="706">
        <v>194901.7</v>
      </c>
      <c r="G1658" s="706">
        <v>150479.70000000001</v>
      </c>
      <c r="H1658" s="706">
        <v>22426.1</v>
      </c>
      <c r="I1658" s="706">
        <f>22426.1+0.1</f>
        <v>22426.199999999997</v>
      </c>
      <c r="J1658" s="706">
        <f>22426.1-3.7</f>
        <v>22422.399999999998</v>
      </c>
      <c r="K1658" s="765" t="s">
        <v>272</v>
      </c>
      <c r="L1658" s="704" t="s">
        <v>35</v>
      </c>
      <c r="M1658" s="704">
        <v>1.3</v>
      </c>
      <c r="N1658" s="704">
        <v>1.3</v>
      </c>
      <c r="O1658" s="704">
        <v>1.3</v>
      </c>
      <c r="P1658" s="704">
        <v>1.3</v>
      </c>
      <c r="Q1658" s="704">
        <v>1.3</v>
      </c>
    </row>
    <row r="1659" spans="2:17" ht="30" x14ac:dyDescent="0.25">
      <c r="B1659" s="1339"/>
      <c r="C1659" s="863">
        <v>7</v>
      </c>
      <c r="D1659" s="708"/>
      <c r="E1659" s="714" t="s">
        <v>464</v>
      </c>
      <c r="F1659" s="706">
        <v>178</v>
      </c>
      <c r="G1659" s="706"/>
      <c r="H1659" s="706"/>
      <c r="I1659" s="706"/>
      <c r="J1659" s="706"/>
      <c r="K1659" s="765"/>
      <c r="L1659" s="704"/>
      <c r="M1659" s="210"/>
      <c r="N1659" s="210"/>
      <c r="O1659" s="210"/>
      <c r="P1659" s="210"/>
      <c r="Q1659" s="210"/>
    </row>
    <row r="1660" spans="2:17" x14ac:dyDescent="0.25">
      <c r="B1660" s="1339"/>
      <c r="C1660" s="863">
        <v>8</v>
      </c>
      <c r="D1660" s="708"/>
      <c r="E1660" s="714" t="s">
        <v>333</v>
      </c>
      <c r="F1660" s="711"/>
      <c r="G1660" s="706"/>
      <c r="H1660" s="706"/>
      <c r="I1660" s="706"/>
      <c r="J1660" s="706"/>
      <c r="K1660" s="765"/>
      <c r="L1660" s="704"/>
      <c r="M1660" s="210"/>
      <c r="N1660" s="210"/>
      <c r="O1660" s="210"/>
      <c r="P1660" s="210"/>
      <c r="Q1660" s="210"/>
    </row>
    <row r="1661" spans="2:17" ht="45" x14ac:dyDescent="0.25">
      <c r="B1661" s="1905" t="s">
        <v>467</v>
      </c>
      <c r="C1661" s="1927"/>
      <c r="D1661" s="1929"/>
      <c r="E1661" s="2130" t="s">
        <v>2361</v>
      </c>
      <c r="F1661" s="1924">
        <f>F1663</f>
        <v>4100</v>
      </c>
      <c r="G1661" s="1924">
        <f t="shared" ref="G1661:J1661" si="174">G1663</f>
        <v>800</v>
      </c>
      <c r="H1661" s="1924">
        <f t="shared" si="174"/>
        <v>500</v>
      </c>
      <c r="I1661" s="1924">
        <f t="shared" si="174"/>
        <v>500</v>
      </c>
      <c r="J1661" s="1924">
        <f t="shared" si="174"/>
        <v>500</v>
      </c>
      <c r="K1661" s="714" t="s">
        <v>2362</v>
      </c>
      <c r="L1661" s="704" t="s">
        <v>35</v>
      </c>
      <c r="M1661" s="704">
        <v>85</v>
      </c>
      <c r="N1661" s="218">
        <v>85</v>
      </c>
      <c r="O1661" s="218">
        <v>87</v>
      </c>
      <c r="P1661" s="218">
        <v>88</v>
      </c>
      <c r="Q1661" s="218">
        <v>88</v>
      </c>
    </row>
    <row r="1662" spans="2:17" ht="54" customHeight="1" x14ac:dyDescent="0.25">
      <c r="B1662" s="1906"/>
      <c r="C1662" s="1928"/>
      <c r="D1662" s="1930"/>
      <c r="E1662" s="2131"/>
      <c r="F1662" s="1924"/>
      <c r="G1662" s="1924"/>
      <c r="H1662" s="1924"/>
      <c r="I1662" s="1924"/>
      <c r="J1662" s="1924"/>
      <c r="K1662" s="714" t="s">
        <v>2363</v>
      </c>
      <c r="L1662" s="704" t="s">
        <v>35</v>
      </c>
      <c r="M1662" s="704">
        <v>75</v>
      </c>
      <c r="N1662" s="218">
        <v>77</v>
      </c>
      <c r="O1662" s="218">
        <v>78</v>
      </c>
      <c r="P1662" s="218">
        <v>80</v>
      </c>
      <c r="Q1662" s="218">
        <v>80</v>
      </c>
    </row>
    <row r="1663" spans="2:17" ht="45" x14ac:dyDescent="0.25">
      <c r="B1663" s="1907"/>
      <c r="C1663" s="1927" t="s">
        <v>5</v>
      </c>
      <c r="D1663" s="1929"/>
      <c r="E1663" s="1931" t="s">
        <v>2364</v>
      </c>
      <c r="F1663" s="1933">
        <v>4100</v>
      </c>
      <c r="G1663" s="1935">
        <v>800</v>
      </c>
      <c r="H1663" s="1935">
        <v>500</v>
      </c>
      <c r="I1663" s="1935">
        <v>500</v>
      </c>
      <c r="J1663" s="1933">
        <v>500</v>
      </c>
      <c r="K1663" s="714" t="s">
        <v>2365</v>
      </c>
      <c r="L1663" s="704" t="s">
        <v>35</v>
      </c>
      <c r="M1663" s="704">
        <v>20</v>
      </c>
      <c r="N1663" s="1322">
        <v>21</v>
      </c>
      <c r="O1663" s="1322">
        <v>22</v>
      </c>
      <c r="P1663" s="1322">
        <v>23</v>
      </c>
      <c r="Q1663" s="1322">
        <v>23</v>
      </c>
    </row>
    <row r="1664" spans="2:17" ht="30" x14ac:dyDescent="0.25">
      <c r="B1664" s="2135"/>
      <c r="C1664" s="1928"/>
      <c r="D1664" s="1930"/>
      <c r="E1664" s="1932"/>
      <c r="F1664" s="1934"/>
      <c r="G1664" s="1935"/>
      <c r="H1664" s="1935"/>
      <c r="I1664" s="1935"/>
      <c r="J1664" s="1934"/>
      <c r="K1664" s="714" t="s">
        <v>2366</v>
      </c>
      <c r="L1664" s="704" t="s">
        <v>173</v>
      </c>
      <c r="M1664" s="704">
        <v>7</v>
      </c>
      <c r="N1664" s="1322">
        <v>7</v>
      </c>
      <c r="O1664" s="1322">
        <v>8</v>
      </c>
      <c r="P1664" s="1322">
        <v>9</v>
      </c>
      <c r="Q1664" s="1322">
        <v>9</v>
      </c>
    </row>
    <row r="1665" spans="2:17" x14ac:dyDescent="0.25">
      <c r="B1665" s="1905" t="s">
        <v>500</v>
      </c>
      <c r="C1665" s="1927"/>
      <c r="D1665" s="1929"/>
      <c r="E1665" s="2129" t="s">
        <v>2367</v>
      </c>
      <c r="F1665" s="1924">
        <f>F1667</f>
        <v>0</v>
      </c>
      <c r="G1665" s="1924">
        <f t="shared" ref="G1665:J1665" si="175">G1667</f>
        <v>700</v>
      </c>
      <c r="H1665" s="1924">
        <f t="shared" si="175"/>
        <v>500</v>
      </c>
      <c r="I1665" s="1924">
        <f t="shared" si="175"/>
        <v>500</v>
      </c>
      <c r="J1665" s="1924">
        <f t="shared" si="175"/>
        <v>500</v>
      </c>
      <c r="K1665" s="1925" t="s">
        <v>2368</v>
      </c>
      <c r="L1665" s="1936" t="s">
        <v>35</v>
      </c>
      <c r="M1665" s="1936">
        <v>77</v>
      </c>
      <c r="N1665" s="1947">
        <v>78</v>
      </c>
      <c r="O1665" s="1947">
        <v>79</v>
      </c>
      <c r="P1665" s="1947">
        <v>80</v>
      </c>
      <c r="Q1665" s="1947">
        <v>80</v>
      </c>
    </row>
    <row r="1666" spans="2:17" ht="28.5" customHeight="1" x14ac:dyDescent="0.25">
      <c r="B1666" s="1906"/>
      <c r="C1666" s="1928"/>
      <c r="D1666" s="1930"/>
      <c r="E1666" s="2129"/>
      <c r="F1666" s="1924"/>
      <c r="G1666" s="1924"/>
      <c r="H1666" s="1924"/>
      <c r="I1666" s="1924"/>
      <c r="J1666" s="1924"/>
      <c r="K1666" s="1926"/>
      <c r="L1666" s="1936"/>
      <c r="M1666" s="1936"/>
      <c r="N1666" s="1947"/>
      <c r="O1666" s="1947"/>
      <c r="P1666" s="1947"/>
      <c r="Q1666" s="1947"/>
    </row>
    <row r="1667" spans="2:17" x14ac:dyDescent="0.25">
      <c r="B1667" s="1907"/>
      <c r="C1667" s="1927" t="s">
        <v>5</v>
      </c>
      <c r="D1667" s="1929"/>
      <c r="E1667" s="2128" t="s">
        <v>2367</v>
      </c>
      <c r="F1667" s="1933"/>
      <c r="G1667" s="1935">
        <v>700</v>
      </c>
      <c r="H1667" s="1935">
        <v>500</v>
      </c>
      <c r="I1667" s="1935">
        <v>500</v>
      </c>
      <c r="J1667" s="1933">
        <v>500</v>
      </c>
      <c r="K1667" s="1936"/>
      <c r="L1667" s="1936"/>
      <c r="M1667" s="1936"/>
      <c r="N1667" s="1947"/>
      <c r="O1667" s="1947"/>
      <c r="P1667" s="1947"/>
      <c r="Q1667" s="1947"/>
    </row>
    <row r="1668" spans="2:17" x14ac:dyDescent="0.25">
      <c r="B1668" s="1908"/>
      <c r="C1668" s="2126"/>
      <c r="D1668" s="2127"/>
      <c r="E1668" s="1931"/>
      <c r="F1668" s="1934"/>
      <c r="G1668" s="1933"/>
      <c r="H1668" s="1933"/>
      <c r="I1668" s="1933"/>
      <c r="J1668" s="1951"/>
      <c r="K1668" s="1936"/>
      <c r="L1668" s="1936"/>
      <c r="M1668" s="1936"/>
      <c r="N1668" s="1947"/>
      <c r="O1668" s="1947"/>
      <c r="P1668" s="1947"/>
      <c r="Q1668" s="1947"/>
    </row>
    <row r="1669" spans="2:17" x14ac:dyDescent="0.25">
      <c r="B1669" s="1874" t="s">
        <v>85</v>
      </c>
      <c r="C1669" s="1874"/>
      <c r="D1669" s="1874"/>
      <c r="E1669" s="1874"/>
      <c r="F1669" s="1008">
        <f>SUM(F1652+F1661+F1665)</f>
        <v>201979.7</v>
      </c>
      <c r="G1669" s="1008">
        <f>SUM(G1652+G1661+G1665)</f>
        <v>151979.70000000001</v>
      </c>
      <c r="H1669" s="1008">
        <f>SUM(H1652+H1661+H1665)</f>
        <v>151979.70000000001</v>
      </c>
      <c r="I1669" s="1008">
        <f>SUM(I1652+I1661+I1665)</f>
        <v>152112.20000000001</v>
      </c>
      <c r="J1669" s="1008">
        <f>SUM(J1652+J1661+J1665)</f>
        <v>152408.70000000001</v>
      </c>
      <c r="K1669" s="228"/>
      <c r="L1669" s="1909"/>
      <c r="M1669" s="1909"/>
      <c r="N1669" s="1909"/>
      <c r="O1669" s="1909"/>
      <c r="P1669" s="1909"/>
      <c r="Q1669" s="1909"/>
    </row>
    <row r="1670" spans="2:17" x14ac:dyDescent="0.25">
      <c r="B1670" s="1879" t="s">
        <v>2369</v>
      </c>
      <c r="C1670" s="1880"/>
      <c r="D1670" s="1880"/>
      <c r="E1670" s="1880"/>
      <c r="F1670" s="1880"/>
      <c r="G1670" s="1880"/>
      <c r="H1670" s="1880"/>
      <c r="I1670" s="1880"/>
      <c r="J1670" s="1881"/>
      <c r="K1670" s="1351"/>
      <c r="L1670" s="1352"/>
      <c r="M1670" s="518"/>
      <c r="N1670" s="518"/>
      <c r="O1670" s="518"/>
      <c r="P1670" s="518"/>
      <c r="Q1670" s="518"/>
    </row>
    <row r="1671" spans="2:17" ht="73.5" x14ac:dyDescent="0.25">
      <c r="B1671" s="909" t="s">
        <v>516</v>
      </c>
      <c r="C1671" s="935"/>
      <c r="D1671" s="935"/>
      <c r="E1671" s="119" t="s">
        <v>2370</v>
      </c>
      <c r="F1671" s="1353">
        <f>F1672+F1673+F1674+F1675+F1676+F1677</f>
        <v>32245.4</v>
      </c>
      <c r="G1671" s="1353">
        <f>G1672+G1673+G1674+G1675+G1676+G1677</f>
        <v>31542.7</v>
      </c>
      <c r="H1671" s="1353">
        <f>H1672+H1673+H1674+H1675+H1676+H1677</f>
        <v>31542.7</v>
      </c>
      <c r="I1671" s="1353">
        <f>I1672+I1673+I1674+I1675+I1676+I1677</f>
        <v>33463.5</v>
      </c>
      <c r="J1671" s="1353">
        <f>J1672+J1673+J1674+J1675+J1676+J1677</f>
        <v>36467.425999999999</v>
      </c>
      <c r="K1671" s="1354" t="s">
        <v>2371</v>
      </c>
      <c r="L1671" s="1353" t="s">
        <v>35</v>
      </c>
      <c r="M1671" s="1353">
        <v>4.5</v>
      </c>
      <c r="N1671" s="1353">
        <v>4.5</v>
      </c>
      <c r="O1671" s="1353">
        <v>4.5</v>
      </c>
      <c r="P1671" s="1353">
        <v>4.5</v>
      </c>
      <c r="Q1671" s="1355">
        <v>4.5</v>
      </c>
    </row>
    <row r="1672" spans="2:17" x14ac:dyDescent="0.25">
      <c r="B1672" s="937"/>
      <c r="C1672" s="937" t="s">
        <v>5</v>
      </c>
      <c r="D1672" s="935"/>
      <c r="E1672" s="113" t="s">
        <v>6</v>
      </c>
      <c r="F1672" s="761">
        <v>9825.1</v>
      </c>
      <c r="G1672" s="1356">
        <v>9087.7000000000007</v>
      </c>
      <c r="H1672" s="1356">
        <f>G1672</f>
        <v>9087.7000000000007</v>
      </c>
      <c r="I1672" s="1356">
        <v>9641.1</v>
      </c>
      <c r="J1672" s="1356">
        <f>I1672*3%+I1672</f>
        <v>9930.3330000000005</v>
      </c>
      <c r="K1672" s="113" t="s">
        <v>36</v>
      </c>
      <c r="L1672" s="935" t="s">
        <v>35</v>
      </c>
      <c r="M1672" s="935">
        <v>56</v>
      </c>
      <c r="N1672" s="935">
        <v>60</v>
      </c>
      <c r="O1672" s="935">
        <v>60</v>
      </c>
      <c r="P1672" s="935">
        <v>63</v>
      </c>
      <c r="Q1672" s="1355">
        <v>64</v>
      </c>
    </row>
    <row r="1673" spans="2:17" ht="30" x14ac:dyDescent="0.25">
      <c r="B1673" s="937"/>
      <c r="C1673" s="937" t="s">
        <v>7</v>
      </c>
      <c r="D1673" s="935"/>
      <c r="E1673" s="113" t="s">
        <v>8</v>
      </c>
      <c r="F1673" s="761">
        <v>3405.8</v>
      </c>
      <c r="G1673" s="1356">
        <v>3456.9</v>
      </c>
      <c r="H1673" s="1356">
        <f t="shared" ref="H1673:H1677" si="176">G1673</f>
        <v>3456.9</v>
      </c>
      <c r="I1673" s="1356">
        <v>3667.4</v>
      </c>
      <c r="J1673" s="1356">
        <f t="shared" ref="J1673:J1676" si="177">I1673*3%+I1673</f>
        <v>3777.422</v>
      </c>
      <c r="K1673" s="113" t="s">
        <v>38</v>
      </c>
      <c r="L1673" s="935" t="s">
        <v>35</v>
      </c>
      <c r="M1673" s="935">
        <v>100</v>
      </c>
      <c r="N1673" s="935">
        <v>100</v>
      </c>
      <c r="O1673" s="935">
        <v>100</v>
      </c>
      <c r="P1673" s="935">
        <v>100</v>
      </c>
      <c r="Q1673" s="1355">
        <v>100</v>
      </c>
    </row>
    <row r="1674" spans="2:17" ht="30" x14ac:dyDescent="0.25">
      <c r="B1674" s="937"/>
      <c r="C1674" s="937" t="s">
        <v>9</v>
      </c>
      <c r="D1674" s="935"/>
      <c r="E1674" s="113" t="s">
        <v>10</v>
      </c>
      <c r="F1674" s="761">
        <v>2772.4</v>
      </c>
      <c r="G1674" s="1356">
        <v>2814</v>
      </c>
      <c r="H1674" s="1356">
        <f t="shared" si="176"/>
        <v>2814</v>
      </c>
      <c r="I1674" s="1356">
        <v>2985.3</v>
      </c>
      <c r="J1674" s="1356">
        <f t="shared" si="177"/>
        <v>3074.8590000000004</v>
      </c>
      <c r="K1674" s="113" t="s">
        <v>519</v>
      </c>
      <c r="L1674" s="935" t="s">
        <v>35</v>
      </c>
      <c r="M1674" s="935">
        <v>50</v>
      </c>
      <c r="N1674" s="935">
        <v>55</v>
      </c>
      <c r="O1674" s="935">
        <v>55</v>
      </c>
      <c r="P1674" s="935">
        <v>65</v>
      </c>
      <c r="Q1674" s="1355">
        <v>70</v>
      </c>
    </row>
    <row r="1675" spans="2:17" ht="30" x14ac:dyDescent="0.25">
      <c r="B1675" s="937"/>
      <c r="C1675" s="937" t="s">
        <v>11</v>
      </c>
      <c r="D1675" s="935"/>
      <c r="E1675" s="716" t="s">
        <v>12</v>
      </c>
      <c r="F1675" s="1357">
        <v>2271.1</v>
      </c>
      <c r="G1675" s="1356">
        <v>2305.1999999999998</v>
      </c>
      <c r="H1675" s="1356">
        <f t="shared" si="176"/>
        <v>2305.1999999999998</v>
      </c>
      <c r="I1675" s="1356">
        <v>2445.5</v>
      </c>
      <c r="J1675" s="1356">
        <f t="shared" si="177"/>
        <v>2518.8649999999998</v>
      </c>
      <c r="K1675" s="146" t="s">
        <v>191</v>
      </c>
      <c r="L1675" s="935" t="s">
        <v>192</v>
      </c>
      <c r="M1675" s="935">
        <v>60</v>
      </c>
      <c r="N1675" s="935">
        <v>65</v>
      </c>
      <c r="O1675" s="935">
        <v>65</v>
      </c>
      <c r="P1675" s="935">
        <v>70</v>
      </c>
      <c r="Q1675" s="1355">
        <v>70</v>
      </c>
    </row>
    <row r="1676" spans="2:17" ht="30" x14ac:dyDescent="0.25">
      <c r="B1676" s="937"/>
      <c r="C1676" s="937" t="s">
        <v>127</v>
      </c>
      <c r="D1676" s="935"/>
      <c r="E1676" s="716" t="s">
        <v>523</v>
      </c>
      <c r="F1676" s="1357">
        <v>4202.1000000000004</v>
      </c>
      <c r="G1676" s="1356">
        <v>4265.1000000000004</v>
      </c>
      <c r="H1676" s="1356">
        <f t="shared" si="176"/>
        <v>4265.1000000000004</v>
      </c>
      <c r="I1676" s="1356">
        <v>4524.8999999999996</v>
      </c>
      <c r="J1676" s="1356">
        <f t="shared" si="177"/>
        <v>4660.6469999999999</v>
      </c>
      <c r="K1676" s="146" t="s">
        <v>194</v>
      </c>
      <c r="L1676" s="935" t="s">
        <v>40</v>
      </c>
      <c r="M1676" s="935">
        <v>120</v>
      </c>
      <c r="N1676" s="935">
        <v>120</v>
      </c>
      <c r="O1676" s="935">
        <v>120</v>
      </c>
      <c r="P1676" s="935">
        <v>140</v>
      </c>
      <c r="Q1676" s="1355">
        <v>150</v>
      </c>
    </row>
    <row r="1677" spans="2:17" ht="30" x14ac:dyDescent="0.25">
      <c r="B1677" s="937"/>
      <c r="C1677" s="937" t="s">
        <v>129</v>
      </c>
      <c r="D1677" s="935"/>
      <c r="E1677" s="716" t="s">
        <v>2372</v>
      </c>
      <c r="F1677" s="1357">
        <v>9768.9</v>
      </c>
      <c r="G1677" s="1356">
        <v>9613.7999999999993</v>
      </c>
      <c r="H1677" s="1356">
        <f t="shared" si="176"/>
        <v>9613.7999999999993</v>
      </c>
      <c r="I1677" s="1356">
        <v>10199.299999999999</v>
      </c>
      <c r="J1677" s="1356">
        <v>12505.3</v>
      </c>
      <c r="K1677" s="146" t="s">
        <v>1648</v>
      </c>
      <c r="L1677" s="935" t="s">
        <v>35</v>
      </c>
      <c r="M1677" s="935">
        <v>27</v>
      </c>
      <c r="N1677" s="935">
        <v>27</v>
      </c>
      <c r="O1677" s="935">
        <v>27</v>
      </c>
      <c r="P1677" s="935">
        <v>27</v>
      </c>
      <c r="Q1677" s="1355">
        <v>27</v>
      </c>
    </row>
    <row r="1678" spans="2:17" ht="118.5" x14ac:dyDescent="0.25">
      <c r="B1678" s="909" t="s">
        <v>467</v>
      </c>
      <c r="C1678" s="910"/>
      <c r="D1678" s="910"/>
      <c r="E1678" s="118" t="s">
        <v>2373</v>
      </c>
      <c r="F1678" s="1358">
        <f t="shared" ref="F1678" si="178">SUM(F1679:F1685)</f>
        <v>669153.39999999991</v>
      </c>
      <c r="G1678" s="1358">
        <f>SUM(G1679:G1685)</f>
        <v>541944.1</v>
      </c>
      <c r="H1678" s="672">
        <f>H1679+H1681+H1683+H1684</f>
        <v>541944.1</v>
      </c>
      <c r="I1678" s="672">
        <f>I1679+I1681+I1683+I1684</f>
        <v>543712.69999999995</v>
      </c>
      <c r="J1678" s="672">
        <f>J1679+J1681+J1683+J1684</f>
        <v>515061.09499999997</v>
      </c>
      <c r="K1678" s="1359" t="s">
        <v>2374</v>
      </c>
      <c r="L1678" s="910" t="s">
        <v>35</v>
      </c>
      <c r="M1678" s="910">
        <v>65</v>
      </c>
      <c r="N1678" s="910">
        <v>70</v>
      </c>
      <c r="O1678" s="910">
        <v>70</v>
      </c>
      <c r="P1678" s="910">
        <v>80</v>
      </c>
      <c r="Q1678" s="1360">
        <v>85</v>
      </c>
    </row>
    <row r="1679" spans="2:17" ht="30" x14ac:dyDescent="0.25">
      <c r="B1679" s="1887"/>
      <c r="C1679" s="1887" t="s">
        <v>5</v>
      </c>
      <c r="D1679" s="1889"/>
      <c r="E1679" s="1910" t="s">
        <v>2375</v>
      </c>
      <c r="F1679" s="1893">
        <v>223454.3</v>
      </c>
      <c r="G1679" s="1911">
        <v>214340</v>
      </c>
      <c r="H1679" s="1904">
        <f>G1679</f>
        <v>214340</v>
      </c>
      <c r="I1679" s="1911">
        <v>227393.3</v>
      </c>
      <c r="J1679" s="1904">
        <f>I1679*3%+I1679</f>
        <v>234215.09899999999</v>
      </c>
      <c r="K1679" s="146" t="s">
        <v>2376</v>
      </c>
      <c r="L1679" s="935" t="s">
        <v>1647</v>
      </c>
      <c r="M1679" s="935">
        <v>180</v>
      </c>
      <c r="N1679" s="935">
        <v>200</v>
      </c>
      <c r="O1679" s="935">
        <v>200</v>
      </c>
      <c r="P1679" s="935">
        <v>240</v>
      </c>
      <c r="Q1679" s="1355">
        <v>260</v>
      </c>
    </row>
    <row r="1680" spans="2:17" x14ac:dyDescent="0.25">
      <c r="B1680" s="1887"/>
      <c r="C1680" s="1887"/>
      <c r="D1680" s="1889"/>
      <c r="E1680" s="1910"/>
      <c r="F1680" s="1894"/>
      <c r="G1680" s="1912"/>
      <c r="H1680" s="1904"/>
      <c r="I1680" s="1912"/>
      <c r="J1680" s="1904"/>
      <c r="K1680" s="146"/>
      <c r="L1680" s="935"/>
      <c r="M1680" s="935"/>
      <c r="N1680" s="935"/>
      <c r="O1680" s="935"/>
      <c r="P1680" s="935"/>
      <c r="Q1680" s="1355"/>
    </row>
    <row r="1681" spans="2:17" ht="30" x14ac:dyDescent="0.25">
      <c r="B1681" s="1888"/>
      <c r="C1681" s="1890" t="s">
        <v>7</v>
      </c>
      <c r="D1681" s="1890"/>
      <c r="E1681" s="1900" t="s">
        <v>2377</v>
      </c>
      <c r="F1681" s="1893">
        <v>153400</v>
      </c>
      <c r="G1681" s="1893">
        <v>140550</v>
      </c>
      <c r="H1681" s="1904">
        <f>G1681</f>
        <v>140550</v>
      </c>
      <c r="I1681" s="1893">
        <v>117511.3</v>
      </c>
      <c r="J1681" s="1904">
        <f>189036.6-63328</f>
        <v>125708.6</v>
      </c>
      <c r="K1681" s="1361" t="s">
        <v>2378</v>
      </c>
      <c r="L1681" s="1345" t="s">
        <v>2379</v>
      </c>
      <c r="M1681" s="656">
        <v>155</v>
      </c>
      <c r="N1681" s="656">
        <v>150</v>
      </c>
      <c r="O1681" s="656">
        <v>150</v>
      </c>
      <c r="P1681" s="656">
        <v>120</v>
      </c>
      <c r="Q1681" s="1355">
        <v>120</v>
      </c>
    </row>
    <row r="1682" spans="2:17" x14ac:dyDescent="0.25">
      <c r="B1682" s="1898"/>
      <c r="C1682" s="1899"/>
      <c r="D1682" s="1899"/>
      <c r="E1682" s="1901"/>
      <c r="F1682" s="1894"/>
      <c r="G1682" s="1894"/>
      <c r="H1682" s="1904"/>
      <c r="I1682" s="1894"/>
      <c r="J1682" s="1904"/>
      <c r="K1682" s="1361" t="s">
        <v>2380</v>
      </c>
      <c r="L1682" s="1345" t="s">
        <v>2381</v>
      </c>
      <c r="M1682" s="656">
        <v>22.3</v>
      </c>
      <c r="N1682" s="656">
        <v>22.5</v>
      </c>
      <c r="O1682" s="656">
        <v>22.5</v>
      </c>
      <c r="P1682" s="656">
        <v>22.9</v>
      </c>
      <c r="Q1682" s="1355">
        <v>23.1</v>
      </c>
    </row>
    <row r="1683" spans="2:17" ht="45" x14ac:dyDescent="0.25">
      <c r="B1683" s="967"/>
      <c r="C1683" s="937" t="s">
        <v>9</v>
      </c>
      <c r="D1683" s="935"/>
      <c r="E1683" s="716" t="s">
        <v>2382</v>
      </c>
      <c r="F1683" s="1357">
        <v>39111.300000000003</v>
      </c>
      <c r="G1683" s="1362">
        <v>39111.300000000003</v>
      </c>
      <c r="H1683" s="786">
        <f>G1683</f>
        <v>39111.300000000003</v>
      </c>
      <c r="I1683" s="786">
        <v>41493.199999999997</v>
      </c>
      <c r="J1683" s="786">
        <f>I1683*3%+I1683</f>
        <v>42737.995999999999</v>
      </c>
      <c r="K1683" s="146" t="s">
        <v>2383</v>
      </c>
      <c r="L1683" s="935" t="s">
        <v>1388</v>
      </c>
      <c r="M1683" s="935">
        <v>2127.1999999999998</v>
      </c>
      <c r="N1683" s="935">
        <v>2213.4</v>
      </c>
      <c r="O1683" s="935">
        <v>2213.4</v>
      </c>
      <c r="P1683" s="935">
        <v>2412.5</v>
      </c>
      <c r="Q1683" s="1355">
        <v>2509.9</v>
      </c>
    </row>
    <row r="1684" spans="2:17" ht="30" x14ac:dyDescent="0.25">
      <c r="B1684" s="1888"/>
      <c r="C1684" s="1888" t="s">
        <v>11</v>
      </c>
      <c r="D1684" s="1890"/>
      <c r="E1684" s="1900" t="s">
        <v>2384</v>
      </c>
      <c r="F1684" s="1893">
        <v>253187.8</v>
      </c>
      <c r="G1684" s="1902">
        <v>147942.79999999999</v>
      </c>
      <c r="H1684" s="1823">
        <f>G1684</f>
        <v>147942.79999999999</v>
      </c>
      <c r="I1684" s="1823">
        <v>157314.9</v>
      </c>
      <c r="J1684" s="1823">
        <f>212399.4-100000</f>
        <v>112399.4</v>
      </c>
      <c r="K1684" s="146" t="s">
        <v>2385</v>
      </c>
      <c r="L1684" s="935" t="s">
        <v>2386</v>
      </c>
      <c r="M1684" s="935">
        <v>3400</v>
      </c>
      <c r="N1684" s="935">
        <v>3500</v>
      </c>
      <c r="O1684" s="935">
        <v>3500</v>
      </c>
      <c r="P1684" s="935">
        <v>3700</v>
      </c>
      <c r="Q1684" s="935">
        <v>3800</v>
      </c>
    </row>
    <row r="1685" spans="2:17" ht="30" x14ac:dyDescent="0.25">
      <c r="B1685" s="1898"/>
      <c r="C1685" s="1898"/>
      <c r="D1685" s="1899"/>
      <c r="E1685" s="1901"/>
      <c r="F1685" s="1894"/>
      <c r="G1685" s="1903"/>
      <c r="H1685" s="1824"/>
      <c r="I1685" s="1824"/>
      <c r="J1685" s="1824"/>
      <c r="K1685" s="146" t="s">
        <v>2387</v>
      </c>
      <c r="L1685" s="935" t="s">
        <v>2388</v>
      </c>
      <c r="M1685" s="935">
        <v>45.4</v>
      </c>
      <c r="N1685" s="935">
        <v>45.6</v>
      </c>
      <c r="O1685" s="935">
        <v>45.6</v>
      </c>
      <c r="P1685" s="935">
        <v>46</v>
      </c>
      <c r="Q1685" s="935">
        <v>46.2</v>
      </c>
    </row>
    <row r="1686" spans="2:17" ht="88.5" x14ac:dyDescent="0.25">
      <c r="B1686" s="909" t="s">
        <v>500</v>
      </c>
      <c r="C1686" s="935"/>
      <c r="D1686" s="935"/>
      <c r="E1686" s="118" t="s">
        <v>2389</v>
      </c>
      <c r="F1686" s="672">
        <f>F1687</f>
        <v>40951.1</v>
      </c>
      <c r="G1686" s="672">
        <f>G1687</f>
        <v>29656.6</v>
      </c>
      <c r="H1686" s="672">
        <f t="shared" ref="H1686:J1686" si="179">H1687</f>
        <v>29656.6</v>
      </c>
      <c r="I1686" s="672">
        <f>SUM(I1687)</f>
        <v>27089.800000000003</v>
      </c>
      <c r="J1686" s="672">
        <f t="shared" si="179"/>
        <v>54406.6</v>
      </c>
      <c r="K1686" s="1359" t="s">
        <v>2390</v>
      </c>
      <c r="L1686" s="910" t="s">
        <v>35</v>
      </c>
      <c r="M1686" s="119">
        <v>38</v>
      </c>
      <c r="N1686" s="119">
        <v>37</v>
      </c>
      <c r="O1686" s="119">
        <v>37</v>
      </c>
      <c r="P1686" s="119">
        <v>30</v>
      </c>
      <c r="Q1686" s="1355">
        <v>30</v>
      </c>
    </row>
    <row r="1687" spans="2:17" ht="30" x14ac:dyDescent="0.25">
      <c r="B1687" s="1887"/>
      <c r="C1687" s="1887" t="s">
        <v>5</v>
      </c>
      <c r="D1687" s="1889"/>
      <c r="E1687" s="1891" t="s">
        <v>2391</v>
      </c>
      <c r="F1687" s="1893">
        <v>40951.1</v>
      </c>
      <c r="G1687" s="1895">
        <v>29656.6</v>
      </c>
      <c r="H1687" s="1897">
        <f>G1687</f>
        <v>29656.6</v>
      </c>
      <c r="I1687" s="1893">
        <f>31462.7-4372.9</f>
        <v>27089.800000000003</v>
      </c>
      <c r="J1687" s="1897">
        <v>54406.6</v>
      </c>
      <c r="K1687" s="146" t="s">
        <v>2392</v>
      </c>
      <c r="L1687" s="935" t="s">
        <v>2393</v>
      </c>
      <c r="M1687" s="935">
        <v>19.399999999999999</v>
      </c>
      <c r="N1687" s="935">
        <v>19.600000000000001</v>
      </c>
      <c r="O1687" s="935">
        <v>19.600000000000001</v>
      </c>
      <c r="P1687" s="935">
        <v>19.600000000000001</v>
      </c>
      <c r="Q1687" s="1355">
        <v>19.600000000000001</v>
      </c>
    </row>
    <row r="1688" spans="2:17" ht="45" x14ac:dyDescent="0.25">
      <c r="B1688" s="1888"/>
      <c r="C1688" s="1888"/>
      <c r="D1688" s="1890"/>
      <c r="E1688" s="1892"/>
      <c r="F1688" s="1894"/>
      <c r="G1688" s="1896"/>
      <c r="H1688" s="1897"/>
      <c r="I1688" s="1894"/>
      <c r="J1688" s="1897"/>
      <c r="K1688" s="146" t="s">
        <v>2394</v>
      </c>
      <c r="L1688" s="935" t="s">
        <v>2395</v>
      </c>
      <c r="M1688" s="935">
        <v>177500</v>
      </c>
      <c r="N1688" s="1363">
        <v>177950</v>
      </c>
      <c r="O1688" s="1363">
        <v>177950</v>
      </c>
      <c r="P1688" s="1363">
        <v>178000</v>
      </c>
      <c r="Q1688" s="1355">
        <v>178000</v>
      </c>
    </row>
    <row r="1689" spans="2:17" x14ac:dyDescent="0.25">
      <c r="B1689" s="1874" t="s">
        <v>85</v>
      </c>
      <c r="C1689" s="1874"/>
      <c r="D1689" s="1874"/>
      <c r="E1689" s="1874"/>
      <c r="F1689" s="1364">
        <f>F1671+F1678+F1686</f>
        <v>742349.89999999991</v>
      </c>
      <c r="G1689" s="1364">
        <f>G1671+G1678+G1686</f>
        <v>603143.39999999991</v>
      </c>
      <c r="H1689" s="1364">
        <f t="shared" ref="H1689:J1689" si="180">H1671+H1678+H1686</f>
        <v>603143.39999999991</v>
      </c>
      <c r="I1689" s="1364">
        <f t="shared" si="180"/>
        <v>604266</v>
      </c>
      <c r="J1689" s="1364">
        <f t="shared" si="180"/>
        <v>605935.12099999993</v>
      </c>
      <c r="K1689" s="132"/>
      <c r="L1689" s="1876"/>
      <c r="M1689" s="1877"/>
      <c r="N1689" s="1877"/>
      <c r="O1689" s="1877"/>
      <c r="P1689" s="1877"/>
      <c r="Q1689" s="1878"/>
    </row>
    <row r="1690" spans="2:17" x14ac:dyDescent="0.25">
      <c r="B1690" s="1879" t="s">
        <v>2396</v>
      </c>
      <c r="C1690" s="1880"/>
      <c r="D1690" s="1880"/>
      <c r="E1690" s="1880"/>
      <c r="F1690" s="1880"/>
      <c r="G1690" s="1880"/>
      <c r="H1690" s="1880"/>
      <c r="I1690" s="1880"/>
      <c r="J1690" s="1881"/>
      <c r="K1690" s="1351"/>
      <c r="L1690" s="1352"/>
      <c r="M1690" s="518"/>
      <c r="N1690" s="518"/>
      <c r="O1690" s="518"/>
      <c r="P1690" s="518"/>
      <c r="Q1690" s="518"/>
    </row>
    <row r="1691" spans="2:17" ht="42.75" x14ac:dyDescent="0.25">
      <c r="B1691" s="842" t="s">
        <v>516</v>
      </c>
      <c r="C1691" s="87"/>
      <c r="D1691" s="87"/>
      <c r="E1691" s="797" t="s">
        <v>2397</v>
      </c>
      <c r="F1691" s="68">
        <f>F1692</f>
        <v>37241.199999999997</v>
      </c>
      <c r="G1691" s="68">
        <f t="shared" ref="G1691:J1691" si="181">G1692</f>
        <v>43021</v>
      </c>
      <c r="H1691" s="68">
        <f t="shared" si="181"/>
        <v>53320.3</v>
      </c>
      <c r="I1691" s="68">
        <f t="shared" si="181"/>
        <v>53377.7</v>
      </c>
      <c r="J1691" s="68">
        <f t="shared" si="181"/>
        <v>53539.6</v>
      </c>
      <c r="K1691" s="71" t="s">
        <v>2398</v>
      </c>
      <c r="L1691" s="71"/>
      <c r="M1691" s="490"/>
      <c r="N1691" s="1365"/>
      <c r="O1691" s="1365"/>
      <c r="P1691" s="1365"/>
      <c r="Q1691" s="1365"/>
    </row>
    <row r="1692" spans="2:17" ht="105" x14ac:dyDescent="0.25">
      <c r="B1692" s="218"/>
      <c r="C1692" s="835" t="s">
        <v>5</v>
      </c>
      <c r="D1692" s="87"/>
      <c r="E1692" s="841" t="s">
        <v>2399</v>
      </c>
      <c r="F1692" s="69">
        <v>37241.199999999997</v>
      </c>
      <c r="G1692" s="69">
        <v>43021</v>
      </c>
      <c r="H1692" s="1366">
        <v>53320.3</v>
      </c>
      <c r="I1692" s="1366">
        <v>53377.7</v>
      </c>
      <c r="J1692" s="1366">
        <v>53539.6</v>
      </c>
      <c r="K1692" s="841" t="s">
        <v>36</v>
      </c>
      <c r="L1692" s="29"/>
      <c r="M1692" s="1367"/>
      <c r="N1692" s="706"/>
      <c r="O1692" s="706"/>
      <c r="P1692" s="706"/>
      <c r="Q1692" s="706"/>
    </row>
    <row r="1693" spans="2:17" ht="73.5" x14ac:dyDescent="0.25">
      <c r="B1693" s="842" t="s">
        <v>467</v>
      </c>
      <c r="C1693" s="87"/>
      <c r="D1693" s="87"/>
      <c r="E1693" s="257" t="s">
        <v>2400</v>
      </c>
      <c r="F1693" s="68">
        <f>F1694+F1695+F1696+F1697+F1698+F1699+F1700+F1701+F1702</f>
        <v>595220.4</v>
      </c>
      <c r="G1693" s="68">
        <f t="shared" ref="G1693:J1693" si="182">G1694+G1695+G1696+G1697+G1698+G1699+G1700+G1701+G1702</f>
        <v>615271.20000000007</v>
      </c>
      <c r="H1693" s="68">
        <f t="shared" si="182"/>
        <v>39487</v>
      </c>
      <c r="I1693" s="68">
        <f t="shared" si="182"/>
        <v>39526.486999999994</v>
      </c>
      <c r="J1693" s="68">
        <f t="shared" si="182"/>
        <v>39605.539973999992</v>
      </c>
      <c r="K1693" s="440" t="s">
        <v>2401</v>
      </c>
      <c r="L1693" s="1368"/>
      <c r="M1693" s="219"/>
      <c r="N1693" s="219"/>
      <c r="O1693" s="1369"/>
      <c r="P1693" s="1369"/>
      <c r="Q1693" s="1369"/>
    </row>
    <row r="1694" spans="2:17" ht="60" x14ac:dyDescent="0.25">
      <c r="B1694" s="218"/>
      <c r="C1694" s="835" t="s">
        <v>5</v>
      </c>
      <c r="D1694" s="87"/>
      <c r="E1694" s="659" t="s">
        <v>2402</v>
      </c>
      <c r="F1694" s="706">
        <v>0</v>
      </c>
      <c r="G1694" s="706">
        <v>0</v>
      </c>
      <c r="H1694" s="706">
        <v>39487</v>
      </c>
      <c r="I1694" s="1366">
        <f>H1694*100.1%</f>
        <v>39526.486999999994</v>
      </c>
      <c r="J1694" s="1366">
        <f>I1694*100.2%</f>
        <v>39605.539973999992</v>
      </c>
      <c r="K1694" s="841" t="s">
        <v>2403</v>
      </c>
      <c r="L1694" s="1368" t="s">
        <v>173</v>
      </c>
      <c r="M1694" s="1370"/>
      <c r="N1694" s="1370"/>
      <c r="O1694" s="1370"/>
      <c r="P1694" s="1370"/>
      <c r="Q1694" s="1370"/>
    </row>
    <row r="1695" spans="2:17" ht="30" x14ac:dyDescent="0.25">
      <c r="B1695" s="218"/>
      <c r="C1695" s="835" t="s">
        <v>7</v>
      </c>
      <c r="D1695" s="87"/>
      <c r="E1695" s="659" t="s">
        <v>2404</v>
      </c>
      <c r="F1695" s="706">
        <v>6020.4</v>
      </c>
      <c r="G1695" s="706">
        <v>6020.4</v>
      </c>
      <c r="H1695" s="706">
        <v>0</v>
      </c>
      <c r="I1695" s="1366">
        <v>0</v>
      </c>
      <c r="J1695" s="1366">
        <v>0</v>
      </c>
      <c r="K1695" s="408" t="s">
        <v>2405</v>
      </c>
      <c r="L1695" s="1368" t="s">
        <v>40</v>
      </c>
      <c r="M1695" s="1370">
        <v>23</v>
      </c>
      <c r="N1695" s="1370">
        <v>23</v>
      </c>
      <c r="O1695" s="1370"/>
      <c r="P1695" s="1370"/>
      <c r="Q1695" s="1370"/>
    </row>
    <row r="1696" spans="2:17" ht="60" x14ac:dyDescent="0.25">
      <c r="B1696" s="218"/>
      <c r="C1696" s="835" t="s">
        <v>9</v>
      </c>
      <c r="D1696" s="87"/>
      <c r="E1696" s="659" t="s">
        <v>2406</v>
      </c>
      <c r="F1696" s="706">
        <v>0</v>
      </c>
      <c r="G1696" s="706">
        <f>43000</f>
        <v>43000</v>
      </c>
      <c r="H1696" s="706">
        <v>0</v>
      </c>
      <c r="I1696" s="1366">
        <v>0</v>
      </c>
      <c r="J1696" s="1366">
        <v>0</v>
      </c>
      <c r="K1696" s="408" t="s">
        <v>2407</v>
      </c>
      <c r="L1696" s="1368" t="s">
        <v>35</v>
      </c>
      <c r="M1696" s="1370"/>
      <c r="N1696" s="1370">
        <v>5</v>
      </c>
      <c r="O1696" s="1370"/>
      <c r="P1696" s="1370"/>
      <c r="Q1696" s="1370"/>
    </row>
    <row r="1697" spans="2:17" ht="30" x14ac:dyDescent="0.25">
      <c r="B1697" s="218"/>
      <c r="C1697" s="835" t="s">
        <v>11</v>
      </c>
      <c r="D1697" s="87"/>
      <c r="E1697" s="659" t="s">
        <v>2408</v>
      </c>
      <c r="F1697" s="69">
        <v>22800</v>
      </c>
      <c r="G1697" s="706">
        <v>0</v>
      </c>
      <c r="H1697" s="706">
        <v>0</v>
      </c>
      <c r="I1697" s="1366">
        <f t="shared" ref="I1697:I1702" si="183">H1697*101.3%</f>
        <v>0</v>
      </c>
      <c r="J1697" s="1366">
        <f t="shared" ref="J1697:J1702" si="184">I1697*101.1%</f>
        <v>0</v>
      </c>
      <c r="K1697" s="408" t="s">
        <v>2409</v>
      </c>
      <c r="L1697" s="1368" t="s">
        <v>279</v>
      </c>
      <c r="M1697" s="1371">
        <v>50</v>
      </c>
      <c r="N1697" s="1371"/>
      <c r="O1697" s="1371"/>
      <c r="P1697" s="1371"/>
      <c r="Q1697" s="1371"/>
    </row>
    <row r="1698" spans="2:17" ht="30" x14ac:dyDescent="0.25">
      <c r="B1698" s="218"/>
      <c r="C1698" s="835" t="s">
        <v>127</v>
      </c>
      <c r="D1698" s="87"/>
      <c r="E1698" s="659" t="s">
        <v>2410</v>
      </c>
      <c r="F1698" s="706">
        <v>13600</v>
      </c>
      <c r="G1698" s="706">
        <v>0</v>
      </c>
      <c r="H1698" s="706">
        <v>0</v>
      </c>
      <c r="I1698" s="1366">
        <f t="shared" si="183"/>
        <v>0</v>
      </c>
      <c r="J1698" s="1366">
        <f t="shared" si="184"/>
        <v>0</v>
      </c>
      <c r="K1698" s="408" t="s">
        <v>2411</v>
      </c>
      <c r="L1698" s="1368" t="s">
        <v>40</v>
      </c>
      <c r="M1698" s="1331">
        <v>8</v>
      </c>
      <c r="N1698" s="1331"/>
      <c r="O1698" s="1331"/>
      <c r="P1698" s="1331"/>
      <c r="Q1698" s="1331"/>
    </row>
    <row r="1699" spans="2:17" ht="60" x14ac:dyDescent="0.25">
      <c r="B1699" s="218"/>
      <c r="C1699" s="835" t="s">
        <v>129</v>
      </c>
      <c r="D1699" s="87"/>
      <c r="E1699" s="659" t="s">
        <v>2412</v>
      </c>
      <c r="F1699" s="706">
        <v>14100</v>
      </c>
      <c r="G1699" s="706">
        <v>0</v>
      </c>
      <c r="H1699" s="706">
        <v>0</v>
      </c>
      <c r="I1699" s="1366">
        <f t="shared" si="183"/>
        <v>0</v>
      </c>
      <c r="J1699" s="1366">
        <f t="shared" si="184"/>
        <v>0</v>
      </c>
      <c r="K1699" s="408" t="s">
        <v>2413</v>
      </c>
      <c r="L1699" s="1368" t="s">
        <v>279</v>
      </c>
      <c r="M1699" s="1370">
        <v>17</v>
      </c>
      <c r="N1699" s="1370"/>
      <c r="O1699" s="1370"/>
      <c r="P1699" s="1370"/>
      <c r="Q1699" s="1370"/>
    </row>
    <row r="1700" spans="2:17" ht="45" x14ac:dyDescent="0.25">
      <c r="B1700" s="218"/>
      <c r="C1700" s="835" t="s">
        <v>131</v>
      </c>
      <c r="D1700" s="87"/>
      <c r="E1700" s="774" t="s">
        <v>2414</v>
      </c>
      <c r="F1700" s="706">
        <v>9700</v>
      </c>
      <c r="G1700" s="706">
        <v>0</v>
      </c>
      <c r="H1700" s="706">
        <v>0</v>
      </c>
      <c r="I1700" s="1366">
        <f t="shared" si="183"/>
        <v>0</v>
      </c>
      <c r="J1700" s="1366">
        <f t="shared" si="184"/>
        <v>0</v>
      </c>
      <c r="K1700" s="408" t="s">
        <v>2415</v>
      </c>
      <c r="L1700" s="1368" t="s">
        <v>35</v>
      </c>
      <c r="M1700" s="1372">
        <v>0.5</v>
      </c>
      <c r="N1700" s="1372"/>
      <c r="O1700" s="1372"/>
      <c r="P1700" s="1372"/>
      <c r="Q1700" s="1372"/>
    </row>
    <row r="1701" spans="2:17" ht="45" x14ac:dyDescent="0.25">
      <c r="B1701" s="218"/>
      <c r="C1701" s="835" t="s">
        <v>134</v>
      </c>
      <c r="D1701" s="87"/>
      <c r="E1701" s="765" t="s">
        <v>2416</v>
      </c>
      <c r="F1701" s="706">
        <v>29000</v>
      </c>
      <c r="G1701" s="1366">
        <v>0</v>
      </c>
      <c r="H1701" s="1366">
        <v>0</v>
      </c>
      <c r="I1701" s="1366">
        <f t="shared" si="183"/>
        <v>0</v>
      </c>
      <c r="J1701" s="1366">
        <f t="shared" si="184"/>
        <v>0</v>
      </c>
      <c r="K1701" s="408" t="s">
        <v>2417</v>
      </c>
      <c r="L1701" s="1368" t="s">
        <v>190</v>
      </c>
      <c r="M1701" s="1373"/>
      <c r="N1701" s="1373"/>
      <c r="O1701" s="1373"/>
      <c r="P1701" s="1373"/>
      <c r="Q1701" s="1373"/>
    </row>
    <row r="1702" spans="2:17" ht="30" x14ac:dyDescent="0.25">
      <c r="B1702" s="218"/>
      <c r="C1702" s="835" t="s">
        <v>137</v>
      </c>
      <c r="D1702" s="87"/>
      <c r="E1702" s="765" t="s">
        <v>2418</v>
      </c>
      <c r="F1702" s="706">
        <v>500000</v>
      </c>
      <c r="G1702" s="1366">
        <v>566250.80000000005</v>
      </c>
      <c r="H1702" s="1366">
        <v>0</v>
      </c>
      <c r="I1702" s="1366">
        <f t="shared" si="183"/>
        <v>0</v>
      </c>
      <c r="J1702" s="1366">
        <f t="shared" si="184"/>
        <v>0</v>
      </c>
      <c r="K1702" s="408" t="s">
        <v>2419</v>
      </c>
      <c r="L1702" s="1368" t="s">
        <v>190</v>
      </c>
      <c r="M1702" s="1373"/>
      <c r="N1702" s="1373"/>
      <c r="O1702" s="1373"/>
      <c r="P1702" s="1373"/>
      <c r="Q1702" s="1373"/>
    </row>
    <row r="1703" spans="2:17" ht="118.5" x14ac:dyDescent="0.25">
      <c r="B1703" s="924" t="s">
        <v>500</v>
      </c>
      <c r="C1703" s="87"/>
      <c r="D1703" s="87"/>
      <c r="E1703" s="713" t="s">
        <v>2420</v>
      </c>
      <c r="F1703" s="711">
        <f>F1704+F1706+F1707+F1708</f>
        <v>82664.100000000006</v>
      </c>
      <c r="G1703" s="711">
        <f t="shared" ref="G1703:J1703" si="185">G1704+G1706+G1707+G1708</f>
        <v>104076.6</v>
      </c>
      <c r="H1703" s="711">
        <f>H1704+H1706+H1707+H1708+H1709</f>
        <v>256297.2</v>
      </c>
      <c r="I1703" s="711">
        <f t="shared" si="185"/>
        <v>107999.89720000001</v>
      </c>
      <c r="J1703" s="711">
        <f t="shared" si="185"/>
        <v>108305.4969944</v>
      </c>
      <c r="K1703" s="257" t="s">
        <v>2421</v>
      </c>
      <c r="L1703" s="210" t="s">
        <v>35</v>
      </c>
      <c r="M1703" s="921">
        <v>98.4</v>
      </c>
      <c r="N1703" s="921">
        <v>98.6</v>
      </c>
      <c r="O1703" s="921">
        <v>98.8</v>
      </c>
      <c r="P1703" s="921">
        <v>98.9</v>
      </c>
      <c r="Q1703" s="921">
        <v>99</v>
      </c>
    </row>
    <row r="1704" spans="2:17" ht="30" x14ac:dyDescent="0.25">
      <c r="B1704" s="218"/>
      <c r="C1704" s="1882" t="s">
        <v>5</v>
      </c>
      <c r="D1704" s="87"/>
      <c r="E1704" s="1883" t="s">
        <v>2422</v>
      </c>
      <c r="F1704" s="1885">
        <v>0</v>
      </c>
      <c r="G1704" s="1885">
        <v>0</v>
      </c>
      <c r="H1704" s="1885">
        <v>71684.100000000006</v>
      </c>
      <c r="I1704" s="1885">
        <f>H1704*100.1%</f>
        <v>71755.784100000004</v>
      </c>
      <c r="J1704" s="1885">
        <f>I1704*100.2%</f>
        <v>71899.295668200008</v>
      </c>
      <c r="K1704" s="1374" t="s">
        <v>2423</v>
      </c>
      <c r="L1704" s="1367" t="s">
        <v>173</v>
      </c>
      <c r="M1704" s="1367">
        <v>336</v>
      </c>
      <c r="N1704" s="1375" t="s">
        <v>2424</v>
      </c>
      <c r="O1704" s="1375" t="s">
        <v>2425</v>
      </c>
      <c r="P1704" s="717" t="s">
        <v>2426</v>
      </c>
      <c r="Q1704" s="717" t="s">
        <v>2427</v>
      </c>
    </row>
    <row r="1705" spans="2:17" ht="30" x14ac:dyDescent="0.25">
      <c r="B1705" s="218"/>
      <c r="C1705" s="1882"/>
      <c r="D1705" s="87"/>
      <c r="E1705" s="1884"/>
      <c r="F1705" s="1886"/>
      <c r="G1705" s="1886"/>
      <c r="H1705" s="1886"/>
      <c r="I1705" s="1886"/>
      <c r="J1705" s="1886"/>
      <c r="K1705" s="1374" t="s">
        <v>2428</v>
      </c>
      <c r="L1705" s="1367" t="s">
        <v>173</v>
      </c>
      <c r="M1705" s="1367">
        <v>118</v>
      </c>
      <c r="N1705" s="1375" t="s">
        <v>2429</v>
      </c>
      <c r="O1705" s="1375" t="s">
        <v>2430</v>
      </c>
      <c r="P1705" s="717" t="s">
        <v>2431</v>
      </c>
      <c r="Q1705" s="717" t="s">
        <v>1528</v>
      </c>
    </row>
    <row r="1706" spans="2:17" ht="30" x14ac:dyDescent="0.25">
      <c r="B1706" s="218"/>
      <c r="C1706" s="717" t="s">
        <v>7</v>
      </c>
      <c r="D1706" s="87"/>
      <c r="E1706" s="1376" t="s">
        <v>2432</v>
      </c>
      <c r="F1706" s="1377">
        <v>82664.100000000006</v>
      </c>
      <c r="G1706" s="1377">
        <v>104076.6</v>
      </c>
      <c r="H1706" s="673">
        <v>28603.1</v>
      </c>
      <c r="I1706" s="1377">
        <f>H1706*100.1%</f>
        <v>28631.703099999995</v>
      </c>
      <c r="J1706" s="1377">
        <f>I1706*100.2%</f>
        <v>28688.966506199995</v>
      </c>
      <c r="K1706" s="1374" t="s">
        <v>2433</v>
      </c>
      <c r="L1706" s="660" t="s">
        <v>173</v>
      </c>
      <c r="M1706" s="660">
        <v>23896</v>
      </c>
      <c r="N1706" s="660">
        <v>10596</v>
      </c>
      <c r="O1706" s="416">
        <v>11451</v>
      </c>
      <c r="P1706" s="665">
        <v>11977</v>
      </c>
      <c r="Q1706" s="665">
        <v>11341</v>
      </c>
    </row>
    <row r="1707" spans="2:17" x14ac:dyDescent="0.25">
      <c r="B1707" s="218"/>
      <c r="C1707" s="717" t="s">
        <v>9</v>
      </c>
      <c r="D1707" s="87"/>
      <c r="E1707" s="765" t="s">
        <v>2434</v>
      </c>
      <c r="F1707" s="1377">
        <v>0</v>
      </c>
      <c r="G1707" s="1377">
        <v>0</v>
      </c>
      <c r="H1707" s="673">
        <v>2410</v>
      </c>
      <c r="I1707" s="1377">
        <f>H1707*100.1%</f>
        <v>2412.41</v>
      </c>
      <c r="J1707" s="1377">
        <f>I1707*100.2%</f>
        <v>2417.2348199999997</v>
      </c>
      <c r="K1707" s="841" t="s">
        <v>2435</v>
      </c>
      <c r="L1707" s="1367" t="s">
        <v>173</v>
      </c>
      <c r="M1707" s="1367">
        <v>27</v>
      </c>
      <c r="N1707" s="1367">
        <v>25</v>
      </c>
      <c r="O1707" s="1375" t="s">
        <v>354</v>
      </c>
      <c r="P1707" s="705" t="s">
        <v>347</v>
      </c>
      <c r="Q1707" s="705" t="s">
        <v>345</v>
      </c>
    </row>
    <row r="1708" spans="2:17" ht="30" x14ac:dyDescent="0.25">
      <c r="B1708" s="218"/>
      <c r="C1708" s="717" t="s">
        <v>11</v>
      </c>
      <c r="D1708" s="87"/>
      <c r="E1708" s="765" t="s">
        <v>2436</v>
      </c>
      <c r="F1708" s="1377">
        <v>0</v>
      </c>
      <c r="G1708" s="1377">
        <v>0</v>
      </c>
      <c r="H1708" s="1377">
        <v>5100</v>
      </c>
      <c r="I1708" s="1377">
        <v>5200</v>
      </c>
      <c r="J1708" s="1377">
        <v>5300</v>
      </c>
      <c r="K1708" s="841" t="s">
        <v>2437</v>
      </c>
      <c r="L1708" s="784" t="s">
        <v>173</v>
      </c>
      <c r="M1708" s="784">
        <v>683</v>
      </c>
      <c r="N1708" s="784">
        <v>670</v>
      </c>
      <c r="O1708" s="669">
        <v>680</v>
      </c>
      <c r="P1708" s="1346">
        <v>685</v>
      </c>
      <c r="Q1708" s="1346">
        <v>690</v>
      </c>
    </row>
    <row r="1709" spans="2:17" x14ac:dyDescent="0.25">
      <c r="B1709" s="218"/>
      <c r="C1709" s="717" t="s">
        <v>127</v>
      </c>
      <c r="D1709" s="87"/>
      <c r="E1709" s="765" t="s">
        <v>2438</v>
      </c>
      <c r="F1709" s="1377"/>
      <c r="G1709" s="1377"/>
      <c r="H1709" s="1377">
        <v>148500</v>
      </c>
      <c r="I1709" s="1377"/>
      <c r="J1709" s="1377"/>
      <c r="K1709" s="841"/>
      <c r="L1709" s="784"/>
      <c r="M1709" s="784"/>
      <c r="N1709" s="784"/>
      <c r="O1709" s="669"/>
      <c r="P1709" s="1346"/>
      <c r="Q1709" s="1346"/>
    </row>
    <row r="1710" spans="2:17" x14ac:dyDescent="0.25">
      <c r="B1710" s="924" t="s">
        <v>508</v>
      </c>
      <c r="C1710" s="87"/>
      <c r="D1710" s="87"/>
      <c r="E1710" s="257" t="s">
        <v>2439</v>
      </c>
      <c r="F1710" s="711">
        <f t="shared" ref="F1710" si="186">F1711</f>
        <v>32767.7</v>
      </c>
      <c r="G1710" s="711">
        <f>G1711</f>
        <v>32767.7</v>
      </c>
      <c r="H1710" s="711">
        <f>H1711</f>
        <v>33381.199999999997</v>
      </c>
      <c r="I1710" s="711">
        <f>I1711</f>
        <v>33381.199999999997</v>
      </c>
      <c r="J1710" s="711">
        <f>J1711</f>
        <v>33381.299999999996</v>
      </c>
      <c r="K1710" s="765"/>
      <c r="L1710" s="704"/>
      <c r="M1710" s="704"/>
      <c r="N1710" s="218"/>
      <c r="O1710" s="218"/>
      <c r="P1710" s="218"/>
      <c r="Q1710" s="218"/>
    </row>
    <row r="1711" spans="2:17" x14ac:dyDescent="0.25">
      <c r="B1711" s="218"/>
      <c r="C1711" s="717" t="s">
        <v>5</v>
      </c>
      <c r="D1711" s="87"/>
      <c r="E1711" s="765" t="s">
        <v>2440</v>
      </c>
      <c r="F1711" s="706">
        <v>32767.7</v>
      </c>
      <c r="G1711" s="706">
        <v>32767.7</v>
      </c>
      <c r="H1711" s="706">
        <v>33381.199999999997</v>
      </c>
      <c r="I1711" s="706">
        <v>33381.199999999997</v>
      </c>
      <c r="J1711" s="706">
        <f>33381.2+0.1</f>
        <v>33381.299999999996</v>
      </c>
      <c r="K1711" s="659" t="s">
        <v>2441</v>
      </c>
      <c r="L1711" s="704" t="s">
        <v>1937</v>
      </c>
      <c r="M1711" s="704">
        <v>157.6</v>
      </c>
      <c r="N1711" s="704">
        <v>239.4</v>
      </c>
      <c r="O1711" s="704">
        <v>239.4</v>
      </c>
      <c r="P1711" s="704">
        <v>294.10000000000002</v>
      </c>
      <c r="Q1711" s="704">
        <v>294.10000000000002</v>
      </c>
    </row>
    <row r="1712" spans="2:17" x14ac:dyDescent="0.25">
      <c r="B1712" s="924" t="s">
        <v>601</v>
      </c>
      <c r="C1712" s="87"/>
      <c r="D1712" s="87"/>
      <c r="E1712" s="257" t="s">
        <v>2357</v>
      </c>
      <c r="F1712" s="711">
        <f>F1713</f>
        <v>0</v>
      </c>
      <c r="G1712" s="711">
        <f>G1713</f>
        <v>727679</v>
      </c>
      <c r="H1712" s="711">
        <f>H1713</f>
        <v>423000</v>
      </c>
      <c r="I1712" s="711">
        <f>I1713</f>
        <v>855600</v>
      </c>
      <c r="J1712" s="711">
        <f>J1713</f>
        <v>880840</v>
      </c>
      <c r="K1712" s="684"/>
      <c r="L1712" s="210"/>
      <c r="M1712" s="210"/>
      <c r="N1712" s="210"/>
      <c r="O1712" s="210"/>
      <c r="P1712" s="210"/>
      <c r="Q1712" s="210"/>
    </row>
    <row r="1713" spans="2:17" x14ac:dyDescent="0.25">
      <c r="B1713" s="218"/>
      <c r="C1713" s="717" t="s">
        <v>5</v>
      </c>
      <c r="D1713" s="87"/>
      <c r="E1713" s="765" t="s">
        <v>2442</v>
      </c>
      <c r="F1713" s="706">
        <v>0</v>
      </c>
      <c r="G1713" s="706">
        <v>727679</v>
      </c>
      <c r="H1713" s="706">
        <v>423000</v>
      </c>
      <c r="I1713" s="706">
        <v>855600</v>
      </c>
      <c r="J1713" s="706">
        <v>880840</v>
      </c>
      <c r="K1713" s="684"/>
      <c r="L1713" s="704" t="s">
        <v>190</v>
      </c>
      <c r="M1713" s="210"/>
      <c r="N1713" s="210"/>
      <c r="O1713" s="210"/>
      <c r="P1713" s="210"/>
      <c r="Q1713" s="210"/>
    </row>
    <row r="1714" spans="2:17" x14ac:dyDescent="0.25">
      <c r="B1714" s="1869" t="s">
        <v>85</v>
      </c>
      <c r="C1714" s="1870"/>
      <c r="D1714" s="1870"/>
      <c r="E1714" s="1871"/>
      <c r="F1714" s="1378">
        <f>F1691+F1693+F1703+F1710+F1712</f>
        <v>747893.39999999991</v>
      </c>
      <c r="G1714" s="1378">
        <f>G1691+G1693+G1703+G1710+G1712</f>
        <v>1522815.5</v>
      </c>
      <c r="H1714" s="1378">
        <f>H1691+H1693+H1703+H1710+H1712</f>
        <v>805485.7</v>
      </c>
      <c r="I1714" s="1378">
        <f>I1691+I1693+I1703+I1710+I1712</f>
        <v>1089885.2842000001</v>
      </c>
      <c r="J1714" s="1378">
        <f>J1691+J1693+J1703+J1710+J1712</f>
        <v>1115671.9369683999</v>
      </c>
      <c r="K1714" s="1379"/>
      <c r="L1714" s="229"/>
      <c r="M1714" s="229"/>
      <c r="N1714" s="229"/>
      <c r="O1714" s="229"/>
      <c r="P1714" s="229"/>
      <c r="Q1714" s="229"/>
    </row>
    <row r="1715" spans="2:17" x14ac:dyDescent="0.25">
      <c r="B1715" s="1872" t="s">
        <v>2443</v>
      </c>
      <c r="C1715" s="1873"/>
      <c r="D1715" s="1873"/>
      <c r="E1715" s="1873"/>
      <c r="F1715" s="1873"/>
      <c r="G1715" s="1873"/>
      <c r="H1715" s="1873"/>
      <c r="I1715" s="1873"/>
      <c r="J1715" s="1873"/>
      <c r="K1715" s="1873"/>
      <c r="L1715" s="1873"/>
      <c r="M1715" s="1873"/>
      <c r="N1715" s="1873"/>
      <c r="O1715" s="1873"/>
      <c r="P1715" s="1873"/>
      <c r="Q1715" s="1697"/>
    </row>
    <row r="1716" spans="2:17" ht="57" x14ac:dyDescent="0.25">
      <c r="B1716" s="856">
        <v>1</v>
      </c>
      <c r="C1716" s="1380"/>
      <c r="D1716" s="1380"/>
      <c r="E1716" s="684" t="s">
        <v>910</v>
      </c>
      <c r="F1716" s="683">
        <f>F1717+F1719</f>
        <v>5553.2000000000007</v>
      </c>
      <c r="G1716" s="683">
        <f>G1717+G1719</f>
        <v>7706.4</v>
      </c>
      <c r="H1716" s="683">
        <f>SUM(H1717:H1719)</f>
        <v>41205.9</v>
      </c>
      <c r="I1716" s="683">
        <f>I1717+I1719</f>
        <v>7809.2000000000007</v>
      </c>
      <c r="J1716" s="683">
        <f>J1717+J1719</f>
        <v>7780.9</v>
      </c>
      <c r="K1716" s="81" t="s">
        <v>2444</v>
      </c>
      <c r="L1716" s="846"/>
      <c r="M1716" s="846"/>
      <c r="N1716" s="846"/>
      <c r="O1716" s="846"/>
      <c r="P1716" s="846"/>
      <c r="Q1716" s="846"/>
    </row>
    <row r="1717" spans="2:17" ht="30" x14ac:dyDescent="0.25">
      <c r="B1717" s="1381"/>
      <c r="C1717" s="676">
        <v>1</v>
      </c>
      <c r="D1717" s="1380"/>
      <c r="E1717" s="693" t="s">
        <v>2445</v>
      </c>
      <c r="F1717" s="786">
        <v>1880.9</v>
      </c>
      <c r="G1717" s="786">
        <v>1880.9</v>
      </c>
      <c r="H1717" s="786">
        <v>3660.2</v>
      </c>
      <c r="I1717" s="786">
        <v>1880.9</v>
      </c>
      <c r="J1717" s="786">
        <v>1880.9</v>
      </c>
      <c r="K1717" s="841" t="s">
        <v>196</v>
      </c>
      <c r="L1717" s="29" t="s">
        <v>35</v>
      </c>
      <c r="M1717" s="22">
        <v>100</v>
      </c>
      <c r="N1717" s="22">
        <v>100</v>
      </c>
      <c r="O1717" s="22">
        <v>100</v>
      </c>
      <c r="P1717" s="22">
        <v>100</v>
      </c>
      <c r="Q1717" s="22">
        <v>100</v>
      </c>
    </row>
    <row r="1718" spans="2:17" x14ac:dyDescent="0.25">
      <c r="B1718" s="1381"/>
      <c r="C1718" s="676">
        <v>2</v>
      </c>
      <c r="D1718" s="1380"/>
      <c r="E1718" s="693" t="s">
        <v>8</v>
      </c>
      <c r="F1718" s="786"/>
      <c r="G1718" s="786"/>
      <c r="H1718" s="786">
        <v>94.2</v>
      </c>
      <c r="I1718" s="786"/>
      <c r="J1718" s="786"/>
      <c r="K1718" s="841"/>
      <c r="L1718" s="29"/>
      <c r="M1718" s="22"/>
      <c r="N1718" s="22"/>
      <c r="O1718" s="22"/>
      <c r="P1718" s="22"/>
      <c r="Q1718" s="22"/>
    </row>
    <row r="1719" spans="2:17" ht="30" x14ac:dyDescent="0.25">
      <c r="B1719" s="1381"/>
      <c r="C1719" s="676">
        <v>2</v>
      </c>
      <c r="D1719" s="1380"/>
      <c r="E1719" s="693" t="s">
        <v>14</v>
      </c>
      <c r="F1719" s="786">
        <v>3672.3</v>
      </c>
      <c r="G1719" s="786">
        <v>5825.5</v>
      </c>
      <c r="H1719" s="786">
        <v>37451.5</v>
      </c>
      <c r="I1719" s="786">
        <v>5928.3</v>
      </c>
      <c r="J1719" s="786">
        <v>5900</v>
      </c>
      <c r="K1719" s="841"/>
      <c r="L1719" s="29"/>
      <c r="M1719" s="29"/>
      <c r="N1719" s="29"/>
      <c r="O1719" s="29"/>
      <c r="P1719" s="29"/>
      <c r="Q1719" s="29"/>
    </row>
    <row r="1720" spans="2:17" ht="88.5" x14ac:dyDescent="0.25">
      <c r="B1720" s="856">
        <v>2</v>
      </c>
      <c r="C1720" s="1382"/>
      <c r="D1720" s="1020"/>
      <c r="E1720" s="682" t="s">
        <v>2446</v>
      </c>
      <c r="F1720" s="683">
        <f>F1721+F1722+F1723+F1724+F1725+F1726</f>
        <v>27397.5</v>
      </c>
      <c r="G1720" s="683">
        <f>G1721+G1722+G1723+G1724+G1725+G1726</f>
        <v>28464.5</v>
      </c>
      <c r="H1720" s="683">
        <v>0</v>
      </c>
      <c r="I1720" s="683">
        <f>I1721+I1722+I1723+I1724+I1725+I1726</f>
        <v>33419.25</v>
      </c>
      <c r="J1720" s="683">
        <f>J1721+J1722+J1723+J1724+J1725+J1726</f>
        <v>33498.1</v>
      </c>
      <c r="K1720" s="81" t="s">
        <v>2447</v>
      </c>
      <c r="L1720" s="22" t="s">
        <v>35</v>
      </c>
      <c r="M1720" s="22">
        <v>100</v>
      </c>
      <c r="N1720" s="22">
        <v>100</v>
      </c>
      <c r="O1720" s="22">
        <v>100</v>
      </c>
      <c r="P1720" s="22">
        <v>100</v>
      </c>
      <c r="Q1720" s="22">
        <v>100</v>
      </c>
    </row>
    <row r="1721" spans="2:17" ht="45" x14ac:dyDescent="0.25">
      <c r="B1721" s="1381"/>
      <c r="C1721" s="676">
        <v>1</v>
      </c>
      <c r="D1721" s="1383"/>
      <c r="E1721" s="308" t="s">
        <v>2448</v>
      </c>
      <c r="F1721" s="786">
        <v>3245</v>
      </c>
      <c r="G1721" s="786">
        <v>3245</v>
      </c>
      <c r="H1721" s="786">
        <v>0</v>
      </c>
      <c r="I1721" s="786">
        <v>3245.3</v>
      </c>
      <c r="J1721" s="786">
        <v>3245</v>
      </c>
      <c r="K1721" s="841" t="s">
        <v>191</v>
      </c>
      <c r="L1721" s="29" t="s">
        <v>116</v>
      </c>
      <c r="M1721" s="361" t="s">
        <v>2449</v>
      </c>
      <c r="N1721" s="361" t="s">
        <v>2450</v>
      </c>
      <c r="O1721" s="361" t="s">
        <v>2451</v>
      </c>
      <c r="P1721" s="361" t="s">
        <v>347</v>
      </c>
      <c r="Q1721" s="361" t="s">
        <v>347</v>
      </c>
    </row>
    <row r="1722" spans="2:17" ht="45" x14ac:dyDescent="0.25">
      <c r="B1722" s="1381"/>
      <c r="C1722" s="676">
        <v>2</v>
      </c>
      <c r="D1722" s="1383"/>
      <c r="E1722" s="692" t="s">
        <v>2452</v>
      </c>
      <c r="F1722" s="786">
        <v>2414.5</v>
      </c>
      <c r="G1722" s="786">
        <v>2414.5</v>
      </c>
      <c r="H1722" s="786">
        <v>0</v>
      </c>
      <c r="I1722" s="786">
        <v>2414.35</v>
      </c>
      <c r="J1722" s="786">
        <v>2414.5</v>
      </c>
      <c r="K1722" s="841" t="s">
        <v>2453</v>
      </c>
      <c r="L1722" s="29" t="s">
        <v>116</v>
      </c>
      <c r="M1722" s="29">
        <v>3044</v>
      </c>
      <c r="N1722" s="29">
        <v>3257</v>
      </c>
      <c r="O1722" s="29">
        <v>215</v>
      </c>
      <c r="P1722" s="29">
        <v>150</v>
      </c>
      <c r="Q1722" s="29">
        <v>110</v>
      </c>
    </row>
    <row r="1723" spans="2:17" ht="45" x14ac:dyDescent="0.25">
      <c r="B1723" s="1381"/>
      <c r="C1723" s="676">
        <v>3</v>
      </c>
      <c r="D1723" s="1383"/>
      <c r="E1723" s="692" t="s">
        <v>2454</v>
      </c>
      <c r="F1723" s="786">
        <v>3720</v>
      </c>
      <c r="G1723" s="786">
        <v>3720</v>
      </c>
      <c r="H1723" s="786">
        <v>0</v>
      </c>
      <c r="I1723" s="786">
        <v>3720.1</v>
      </c>
      <c r="J1723" s="786">
        <v>3720</v>
      </c>
      <c r="K1723" s="1384" t="s">
        <v>2455</v>
      </c>
      <c r="L1723" s="29" t="s">
        <v>116</v>
      </c>
      <c r="M1723" s="29">
        <v>599</v>
      </c>
      <c r="N1723" s="29">
        <v>312</v>
      </c>
      <c r="O1723" s="29">
        <v>610</v>
      </c>
      <c r="P1723" s="29">
        <v>650</v>
      </c>
      <c r="Q1723" s="29">
        <v>680</v>
      </c>
    </row>
    <row r="1724" spans="2:17" ht="45" x14ac:dyDescent="0.25">
      <c r="B1724" s="1381"/>
      <c r="C1724" s="676">
        <v>4</v>
      </c>
      <c r="D1724" s="1383"/>
      <c r="E1724" s="692" t="s">
        <v>2456</v>
      </c>
      <c r="F1724" s="786">
        <v>2362.5</v>
      </c>
      <c r="G1724" s="786">
        <v>2362.5</v>
      </c>
      <c r="H1724" s="786">
        <v>0</v>
      </c>
      <c r="I1724" s="786">
        <v>2362.5</v>
      </c>
      <c r="J1724" s="786">
        <v>2362.5</v>
      </c>
      <c r="K1724" s="841" t="s">
        <v>2457</v>
      </c>
      <c r="L1724" s="29" t="s">
        <v>192</v>
      </c>
      <c r="M1724" s="29">
        <v>428</v>
      </c>
      <c r="N1724" s="29">
        <v>63</v>
      </c>
      <c r="O1724" s="29">
        <v>65</v>
      </c>
      <c r="P1724" s="29">
        <v>55</v>
      </c>
      <c r="Q1724" s="29">
        <v>40</v>
      </c>
    </row>
    <row r="1725" spans="2:17" ht="60" x14ac:dyDescent="0.25">
      <c r="B1725" s="1381"/>
      <c r="C1725" s="676">
        <v>5</v>
      </c>
      <c r="D1725" s="1383"/>
      <c r="E1725" s="692" t="s">
        <v>2458</v>
      </c>
      <c r="F1725" s="786">
        <v>2853.3</v>
      </c>
      <c r="G1725" s="786">
        <v>2853.3</v>
      </c>
      <c r="H1725" s="786">
        <v>0</v>
      </c>
      <c r="I1725" s="786">
        <v>2853.3</v>
      </c>
      <c r="J1725" s="786">
        <v>2853.3</v>
      </c>
      <c r="K1725" s="841" t="s">
        <v>2459</v>
      </c>
      <c r="L1725" s="29" t="s">
        <v>40</v>
      </c>
      <c r="M1725" s="29">
        <v>51</v>
      </c>
      <c r="N1725" s="29">
        <v>154</v>
      </c>
      <c r="O1725" s="29">
        <v>58</v>
      </c>
      <c r="P1725" s="29">
        <v>55</v>
      </c>
      <c r="Q1725" s="29">
        <v>60</v>
      </c>
    </row>
    <row r="1726" spans="2:17" ht="60" x14ac:dyDescent="0.25">
      <c r="B1726" s="1381"/>
      <c r="C1726" s="676">
        <v>6</v>
      </c>
      <c r="D1726" s="1383"/>
      <c r="E1726" s="918" t="s">
        <v>2460</v>
      </c>
      <c r="F1726" s="786">
        <v>12802.2</v>
      </c>
      <c r="G1726" s="786">
        <v>13869.2</v>
      </c>
      <c r="H1726" s="786">
        <v>0</v>
      </c>
      <c r="I1726" s="786">
        <v>18823.7</v>
      </c>
      <c r="J1726" s="786">
        <v>18902.8</v>
      </c>
      <c r="K1726" s="841" t="s">
        <v>2461</v>
      </c>
      <c r="L1726" s="29" t="s">
        <v>116</v>
      </c>
      <c r="M1726" s="29">
        <v>61.5</v>
      </c>
      <c r="N1726" s="29">
        <v>61.5</v>
      </c>
      <c r="O1726" s="29">
        <v>65.5</v>
      </c>
      <c r="P1726" s="29">
        <v>61.5</v>
      </c>
      <c r="Q1726" s="29">
        <v>61.5</v>
      </c>
    </row>
    <row r="1727" spans="2:17" x14ac:dyDescent="0.25">
      <c r="B1727" s="1693" t="s">
        <v>2462</v>
      </c>
      <c r="C1727" s="1693"/>
      <c r="D1727" s="1693"/>
      <c r="E1727" s="1693"/>
      <c r="F1727" s="1008">
        <f>F1716+F1720</f>
        <v>32950.699999999997</v>
      </c>
      <c r="G1727" s="1008">
        <f>G1716+G1720</f>
        <v>36170.9</v>
      </c>
      <c r="H1727" s="1008">
        <f>H1716+H1720</f>
        <v>41205.9</v>
      </c>
      <c r="I1727" s="1008">
        <f>I1716+I1720</f>
        <v>41228.449999999997</v>
      </c>
      <c r="J1727" s="1008">
        <f>J1716+J1720</f>
        <v>41279</v>
      </c>
      <c r="K1727" s="1385"/>
      <c r="L1727" s="1385"/>
      <c r="M1727" s="1385"/>
      <c r="N1727" s="1385"/>
      <c r="O1727" s="1385"/>
      <c r="P1727" s="1385"/>
      <c r="Q1727" s="1385"/>
    </row>
    <row r="1728" spans="2:17" x14ac:dyDescent="0.25">
      <c r="B1728" s="1872" t="s">
        <v>2463</v>
      </c>
      <c r="C1728" s="1873"/>
      <c r="D1728" s="1873"/>
      <c r="E1728" s="1873"/>
      <c r="F1728" s="1873"/>
      <c r="G1728" s="1873"/>
      <c r="H1728" s="1873"/>
      <c r="I1728" s="1873"/>
      <c r="J1728" s="1873"/>
      <c r="K1728" s="1873"/>
      <c r="L1728" s="1873"/>
      <c r="M1728" s="1873"/>
      <c r="N1728" s="1873"/>
      <c r="O1728" s="1873"/>
      <c r="P1728" s="1873"/>
      <c r="Q1728" s="1697"/>
    </row>
    <row r="1729" spans="2:17" ht="73.5" x14ac:dyDescent="0.25">
      <c r="B1729" s="1019">
        <v>1</v>
      </c>
      <c r="C1729" s="1020"/>
      <c r="D1729" s="1021"/>
      <c r="E1729" s="682" t="s">
        <v>1620</v>
      </c>
      <c r="F1729" s="873">
        <f>F1730+F1731+F1732+F1733</f>
        <v>5769.6</v>
      </c>
      <c r="G1729" s="873">
        <f>G1730+G1731+G1732+G1733</f>
        <v>5269.6</v>
      </c>
      <c r="H1729" s="873">
        <f>H1730+H1731+H1732+H1733</f>
        <v>3443</v>
      </c>
      <c r="I1729" s="873">
        <f>I1730+I1731+I1732+I1733</f>
        <v>3452.9</v>
      </c>
      <c r="J1729" s="873">
        <f>J1730+J1731+J1732+J1733</f>
        <v>3475.5</v>
      </c>
      <c r="K1729" s="684" t="s">
        <v>34</v>
      </c>
      <c r="L1729" s="262" t="s">
        <v>35</v>
      </c>
      <c r="M1729" s="262"/>
      <c r="N1729" s="262"/>
      <c r="O1729" s="262"/>
      <c r="P1729" s="262"/>
      <c r="Q1729" s="809"/>
    </row>
    <row r="1730" spans="2:17" x14ac:dyDescent="0.25">
      <c r="B1730" s="1019"/>
      <c r="C1730" s="676">
        <v>1</v>
      </c>
      <c r="D1730" s="1020"/>
      <c r="E1730" s="424" t="s">
        <v>6</v>
      </c>
      <c r="F1730" s="786">
        <f>3841.8+500</f>
        <v>4341.8</v>
      </c>
      <c r="G1730" s="786">
        <v>3841.8</v>
      </c>
      <c r="H1730" s="786">
        <f>3171.6</f>
        <v>3171.6</v>
      </c>
      <c r="I1730" s="786">
        <f>3171.6+9.9+150</f>
        <v>3331.5</v>
      </c>
      <c r="J1730" s="786">
        <f>3171.6+32.5</f>
        <v>3204.1</v>
      </c>
      <c r="K1730" s="659" t="s">
        <v>36</v>
      </c>
      <c r="L1730" s="660" t="s">
        <v>37</v>
      </c>
      <c r="M1730" s="262"/>
      <c r="N1730" s="262"/>
      <c r="O1730" s="262"/>
      <c r="P1730" s="262"/>
      <c r="Q1730" s="262"/>
    </row>
    <row r="1731" spans="2:17" ht="30" x14ac:dyDescent="0.25">
      <c r="B1731" s="1019"/>
      <c r="C1731" s="676">
        <v>2</v>
      </c>
      <c r="D1731" s="1020"/>
      <c r="E1731" s="666" t="s">
        <v>8</v>
      </c>
      <c r="F1731" s="786"/>
      <c r="G1731" s="786"/>
      <c r="H1731" s="786"/>
      <c r="I1731" s="786"/>
      <c r="J1731" s="786"/>
      <c r="K1731" s="659" t="s">
        <v>38</v>
      </c>
      <c r="L1731" s="660" t="s">
        <v>35</v>
      </c>
      <c r="M1731" s="262"/>
      <c r="N1731" s="262"/>
      <c r="O1731" s="262"/>
      <c r="P1731" s="262"/>
      <c r="Q1731" s="262"/>
    </row>
    <row r="1732" spans="2:17" ht="30" x14ac:dyDescent="0.25">
      <c r="B1732" s="1019"/>
      <c r="C1732" s="676">
        <v>3</v>
      </c>
      <c r="D1732" s="1020"/>
      <c r="E1732" s="666" t="s">
        <v>10</v>
      </c>
      <c r="F1732" s="786"/>
      <c r="G1732" s="786"/>
      <c r="H1732" s="786"/>
      <c r="I1732" s="786"/>
      <c r="J1732" s="786"/>
      <c r="K1732" s="659" t="s">
        <v>39</v>
      </c>
      <c r="L1732" s="660" t="s">
        <v>35</v>
      </c>
      <c r="M1732" s="262"/>
      <c r="N1732" s="262"/>
      <c r="O1732" s="262"/>
      <c r="P1732" s="262"/>
      <c r="Q1732" s="262"/>
    </row>
    <row r="1733" spans="2:17" ht="45" x14ac:dyDescent="0.25">
      <c r="B1733" s="1019"/>
      <c r="C1733" s="676">
        <v>6</v>
      </c>
      <c r="D1733" s="1020"/>
      <c r="E1733" s="693" t="s">
        <v>14</v>
      </c>
      <c r="F1733" s="786">
        <v>1427.8</v>
      </c>
      <c r="G1733" s="786">
        <v>1427.8</v>
      </c>
      <c r="H1733" s="786">
        <f>121.4+150</f>
        <v>271.39999999999998</v>
      </c>
      <c r="I1733" s="786">
        <f>121.4</f>
        <v>121.4</v>
      </c>
      <c r="J1733" s="786">
        <f>121.4+150</f>
        <v>271.39999999999998</v>
      </c>
      <c r="K1733" s="659" t="s">
        <v>41</v>
      </c>
      <c r="L1733" s="660" t="s">
        <v>35</v>
      </c>
      <c r="M1733" s="262"/>
      <c r="N1733" s="262"/>
      <c r="O1733" s="262"/>
      <c r="P1733" s="262"/>
      <c r="Q1733" s="262"/>
    </row>
    <row r="1734" spans="2:17" ht="85.5" x14ac:dyDescent="0.25">
      <c r="B1734" s="680" t="s">
        <v>467</v>
      </c>
      <c r="C1734" s="661"/>
      <c r="D1734" s="681"/>
      <c r="E1734" s="684" t="s">
        <v>2464</v>
      </c>
      <c r="F1734" s="973">
        <v>6132.9</v>
      </c>
      <c r="G1734" s="973">
        <v>6132.9</v>
      </c>
      <c r="H1734" s="973">
        <f>7959.5</f>
        <v>7959.5</v>
      </c>
      <c r="I1734" s="973">
        <f>7959.5</f>
        <v>7959.5</v>
      </c>
      <c r="J1734" s="973">
        <f>7959.2</f>
        <v>7959.2</v>
      </c>
      <c r="K1734" s="682" t="s">
        <v>2465</v>
      </c>
      <c r="L1734" s="693" t="s">
        <v>2466</v>
      </c>
      <c r="M1734" s="1386" t="s">
        <v>2467</v>
      </c>
      <c r="N1734" s="1386" t="s">
        <v>2467</v>
      </c>
      <c r="O1734" s="693" t="s">
        <v>190</v>
      </c>
      <c r="P1734" s="693" t="s">
        <v>190</v>
      </c>
      <c r="Q1734" s="693" t="s">
        <v>190</v>
      </c>
    </row>
    <row r="1735" spans="2:17" ht="45" x14ac:dyDescent="0.25">
      <c r="B1735" s="971"/>
      <c r="C1735" s="756" t="s">
        <v>5</v>
      </c>
      <c r="D1735" s="1050"/>
      <c r="E1735" s="678" t="s">
        <v>2468</v>
      </c>
      <c r="F1735" s="753">
        <v>6132.9</v>
      </c>
      <c r="G1735" s="753">
        <v>6132.9</v>
      </c>
      <c r="H1735" s="753">
        <f>7959.5</f>
        <v>7959.5</v>
      </c>
      <c r="I1735" s="753">
        <f>7959.5</f>
        <v>7959.5</v>
      </c>
      <c r="J1735" s="753">
        <f>7959.2</f>
        <v>7959.2</v>
      </c>
      <c r="K1735" s="678" t="s">
        <v>2469</v>
      </c>
      <c r="L1735" s="678" t="s">
        <v>279</v>
      </c>
      <c r="M1735" s="678">
        <v>2</v>
      </c>
      <c r="N1735" s="678">
        <v>1</v>
      </c>
      <c r="O1735" s="678" t="s">
        <v>190</v>
      </c>
      <c r="P1735" s="678" t="s">
        <v>190</v>
      </c>
      <c r="Q1735" s="678" t="s">
        <v>190</v>
      </c>
    </row>
    <row r="1736" spans="2:17" x14ac:dyDescent="0.25">
      <c r="B1736" s="1693" t="s">
        <v>2462</v>
      </c>
      <c r="C1736" s="1693"/>
      <c r="D1736" s="1693"/>
      <c r="E1736" s="1693"/>
      <c r="F1736" s="1008">
        <f>SUM(F1729+F1734)</f>
        <v>11902.5</v>
      </c>
      <c r="G1736" s="1008">
        <f>SUM(G1729+G1734)</f>
        <v>11402.5</v>
      </c>
      <c r="H1736" s="1008">
        <f>SUM(H1729+H1734)</f>
        <v>11402.5</v>
      </c>
      <c r="I1736" s="1008">
        <f>SUM(I1729+I1734)</f>
        <v>11412.4</v>
      </c>
      <c r="J1736" s="1008">
        <f>SUM(J1729+J1734)</f>
        <v>11434.7</v>
      </c>
      <c r="K1736" s="1387"/>
      <c r="L1736" s="1387"/>
      <c r="M1736" s="1387"/>
      <c r="N1736" s="1387"/>
      <c r="O1736" s="1387"/>
      <c r="P1736" s="1387"/>
      <c r="Q1736" s="1387"/>
    </row>
    <row r="1737" spans="2:17" x14ac:dyDescent="0.25">
      <c r="B1737" s="1710" t="s">
        <v>2470</v>
      </c>
      <c r="C1737" s="1710"/>
      <c r="D1737" s="1710"/>
      <c r="E1737" s="1710"/>
      <c r="F1737" s="1710"/>
      <c r="G1737" s="1710"/>
      <c r="H1737" s="1710"/>
      <c r="I1737" s="1710"/>
      <c r="J1737" s="1710"/>
      <c r="K1737" s="1710"/>
      <c r="L1737" s="1710"/>
      <c r="M1737" s="1710"/>
      <c r="N1737" s="1710"/>
      <c r="O1737" s="1710"/>
      <c r="P1737" s="1710"/>
      <c r="Q1737" s="1710"/>
    </row>
    <row r="1738" spans="2:17" ht="74.25" x14ac:dyDescent="0.25">
      <c r="B1738" s="1019">
        <v>1</v>
      </c>
      <c r="C1738" s="1020"/>
      <c r="D1738" s="1020"/>
      <c r="E1738" s="693" t="s">
        <v>2471</v>
      </c>
      <c r="F1738" s="683">
        <f>F1739+F1740</f>
        <v>3248.6000000000004</v>
      </c>
      <c r="G1738" s="683">
        <f>G1739+G1740</f>
        <v>3210.7</v>
      </c>
      <c r="H1738" s="683">
        <f>H1739+H1740</f>
        <v>3536.6</v>
      </c>
      <c r="I1738" s="683">
        <f>I1739+I1740</f>
        <v>3213.5</v>
      </c>
      <c r="J1738" s="683">
        <f>J1739+J1740</f>
        <v>3219.7999999999997</v>
      </c>
      <c r="K1738" s="659" t="s">
        <v>34</v>
      </c>
      <c r="L1738" s="660" t="s">
        <v>35</v>
      </c>
      <c r="M1738" s="25">
        <v>29</v>
      </c>
      <c r="N1738" s="25">
        <f>N1739+N1740</f>
        <v>29</v>
      </c>
      <c r="O1738" s="25">
        <f>O1739+O1740</f>
        <v>29</v>
      </c>
      <c r="P1738" s="25">
        <f>P1739+P1740</f>
        <v>29</v>
      </c>
      <c r="Q1738" s="25">
        <f>Q1739+Q1740</f>
        <v>29</v>
      </c>
    </row>
    <row r="1739" spans="2:17" ht="30" x14ac:dyDescent="0.25">
      <c r="B1739" s="1388"/>
      <c r="C1739" s="676">
        <v>1</v>
      </c>
      <c r="D1739" s="1020"/>
      <c r="E1739" s="424" t="s">
        <v>2472</v>
      </c>
      <c r="F1739" s="786">
        <v>2275.9</v>
      </c>
      <c r="G1739" s="786">
        <v>2275</v>
      </c>
      <c r="H1739" s="786">
        <f>2275+47.5+7.1</f>
        <v>2329.6</v>
      </c>
      <c r="I1739" s="786">
        <v>2329.6</v>
      </c>
      <c r="J1739" s="786">
        <f>2329.6+0.2</f>
        <v>2329.7999999999997</v>
      </c>
      <c r="K1739" s="659" t="s">
        <v>36</v>
      </c>
      <c r="L1739" s="660" t="s">
        <v>37</v>
      </c>
      <c r="M1739" s="25"/>
      <c r="N1739" s="25"/>
      <c r="O1739" s="29"/>
      <c r="P1739" s="29"/>
      <c r="Q1739" s="29"/>
    </row>
    <row r="1740" spans="2:17" ht="30" x14ac:dyDescent="0.25">
      <c r="B1740" s="1388"/>
      <c r="C1740" s="676">
        <v>2</v>
      </c>
      <c r="D1740" s="1020"/>
      <c r="E1740" s="666" t="s">
        <v>8</v>
      </c>
      <c r="F1740" s="786">
        <v>972.7</v>
      </c>
      <c r="G1740" s="786">
        <v>935.7</v>
      </c>
      <c r="H1740" s="786">
        <f>935.7+271.3</f>
        <v>1207</v>
      </c>
      <c r="I1740" s="786">
        <v>883.9</v>
      </c>
      <c r="J1740" s="786">
        <v>890</v>
      </c>
      <c r="K1740" s="659" t="s">
        <v>38</v>
      </c>
      <c r="L1740" s="660" t="s">
        <v>35</v>
      </c>
      <c r="M1740" s="25">
        <v>29</v>
      </c>
      <c r="N1740" s="25">
        <v>29</v>
      </c>
      <c r="O1740" s="29">
        <v>29</v>
      </c>
      <c r="P1740" s="29">
        <v>29</v>
      </c>
      <c r="Q1740" s="29">
        <v>29</v>
      </c>
    </row>
    <row r="1741" spans="2:17" x14ac:dyDescent="0.25">
      <c r="B1741" s="1874" t="s">
        <v>85</v>
      </c>
      <c r="C1741" s="1874"/>
      <c r="D1741" s="1874"/>
      <c r="E1741" s="1874"/>
      <c r="F1741" s="1008">
        <f>F1738</f>
        <v>3248.6000000000004</v>
      </c>
      <c r="G1741" s="1008">
        <f>G1738</f>
        <v>3210.7</v>
      </c>
      <c r="H1741" s="1008">
        <f>H1738</f>
        <v>3536.6</v>
      </c>
      <c r="I1741" s="1008">
        <f>I1738</f>
        <v>3213.5</v>
      </c>
      <c r="J1741" s="1008">
        <f>J1738</f>
        <v>3219.7999999999997</v>
      </c>
      <c r="K1741" s="1389"/>
      <c r="L1741" s="1875"/>
      <c r="M1741" s="1875"/>
      <c r="N1741" s="1875"/>
      <c r="O1741" s="1875"/>
      <c r="P1741" s="1875"/>
      <c r="Q1741" s="1875"/>
    </row>
    <row r="1742" spans="2:17" ht="15.75" thickBot="1" x14ac:dyDescent="0.3">
      <c r="B1742" s="1722" t="s">
        <v>2473</v>
      </c>
      <c r="C1742" s="1698"/>
      <c r="D1742" s="1698"/>
      <c r="E1742" s="1698"/>
      <c r="F1742" s="1698"/>
      <c r="G1742" s="1698"/>
      <c r="H1742" s="1698"/>
      <c r="I1742" s="1698"/>
      <c r="J1742" s="1698"/>
      <c r="K1742" s="1698"/>
      <c r="L1742" s="1698"/>
      <c r="M1742" s="1698"/>
      <c r="N1742" s="1698"/>
      <c r="O1742" s="1698"/>
      <c r="P1742" s="1698"/>
      <c r="Q1742" s="1698"/>
    </row>
    <row r="1743" spans="2:17" ht="73.5" x14ac:dyDescent="0.25">
      <c r="B1743" s="1044">
        <v>1</v>
      </c>
      <c r="C1743" s="674"/>
      <c r="D1743" s="1045"/>
      <c r="E1743" s="1046" t="s">
        <v>2474</v>
      </c>
      <c r="F1743" s="683">
        <f>F1744</f>
        <v>3010.2</v>
      </c>
      <c r="G1743" s="873">
        <v>3010.2</v>
      </c>
      <c r="H1743" s="873">
        <v>3010.2</v>
      </c>
      <c r="I1743" s="683">
        <v>3023.3</v>
      </c>
      <c r="J1743" s="873">
        <v>3049.7</v>
      </c>
      <c r="K1743" s="807" t="s">
        <v>34</v>
      </c>
      <c r="L1743" s="809" t="s">
        <v>35</v>
      </c>
      <c r="M1743" s="809">
        <v>20</v>
      </c>
      <c r="N1743" s="809">
        <v>20</v>
      </c>
      <c r="O1743" s="809">
        <v>20</v>
      </c>
      <c r="P1743" s="809">
        <v>20</v>
      </c>
      <c r="Q1743" s="809">
        <v>20</v>
      </c>
    </row>
    <row r="1744" spans="2:17" ht="30" x14ac:dyDescent="0.25">
      <c r="B1744" s="1313"/>
      <c r="C1744" s="1048">
        <v>1</v>
      </c>
      <c r="D1744" s="674"/>
      <c r="E1744" s="1049" t="s">
        <v>2475</v>
      </c>
      <c r="F1744" s="786">
        <v>3010.2</v>
      </c>
      <c r="G1744" s="786">
        <v>3010.2</v>
      </c>
      <c r="H1744" s="786">
        <v>3010.2</v>
      </c>
      <c r="I1744" s="786">
        <v>3023.3</v>
      </c>
      <c r="J1744" s="754">
        <v>3049.7</v>
      </c>
      <c r="K1744" s="659" t="s">
        <v>2476</v>
      </c>
      <c r="L1744" s="660" t="s">
        <v>35</v>
      </c>
      <c r="M1744" s="660">
        <v>100</v>
      </c>
      <c r="N1744" s="660">
        <v>100</v>
      </c>
      <c r="O1744" s="660">
        <v>100</v>
      </c>
      <c r="P1744" s="660">
        <v>100</v>
      </c>
      <c r="Q1744" s="660">
        <v>100</v>
      </c>
    </row>
    <row r="1745" spans="2:17" ht="104.25" x14ac:dyDescent="0.25">
      <c r="B1745" s="1313">
        <v>2</v>
      </c>
      <c r="C1745" s="1390"/>
      <c r="D1745" s="674"/>
      <c r="E1745" s="1391" t="s">
        <v>2477</v>
      </c>
      <c r="F1745" s="683">
        <f>F1746</f>
        <v>12034</v>
      </c>
      <c r="G1745" s="683">
        <v>12034</v>
      </c>
      <c r="H1745" s="683">
        <v>12034</v>
      </c>
      <c r="I1745" s="683">
        <v>12034</v>
      </c>
      <c r="J1745" s="683">
        <v>12037</v>
      </c>
      <c r="K1745" s="419" t="s">
        <v>2478</v>
      </c>
      <c r="L1745" s="693"/>
      <c r="M1745" s="262">
        <v>30</v>
      </c>
      <c r="N1745" s="262">
        <v>30</v>
      </c>
      <c r="O1745" s="262">
        <v>30</v>
      </c>
      <c r="P1745" s="262">
        <v>30</v>
      </c>
      <c r="Q1745" s="262">
        <v>30</v>
      </c>
    </row>
    <row r="1746" spans="2:17" ht="104.25" x14ac:dyDescent="0.25">
      <c r="B1746" s="1047"/>
      <c r="C1746" s="1392">
        <v>1</v>
      </c>
      <c r="D1746" s="1393"/>
      <c r="E1746" s="1394" t="s">
        <v>2479</v>
      </c>
      <c r="F1746" s="753">
        <v>12034</v>
      </c>
      <c r="G1746" s="753">
        <v>12034</v>
      </c>
      <c r="H1746" s="753">
        <v>12034</v>
      </c>
      <c r="I1746" s="753">
        <v>12034</v>
      </c>
      <c r="J1746" s="753">
        <v>12037</v>
      </c>
      <c r="K1746" s="668" t="s">
        <v>2480</v>
      </c>
      <c r="L1746" s="678"/>
      <c r="M1746" s="784">
        <v>30</v>
      </c>
      <c r="N1746" s="784">
        <v>30</v>
      </c>
      <c r="O1746" s="784">
        <v>30</v>
      </c>
      <c r="P1746" s="784">
        <v>30</v>
      </c>
      <c r="Q1746" s="784">
        <v>30</v>
      </c>
    </row>
    <row r="1747" spans="2:17" x14ac:dyDescent="0.25">
      <c r="B1747" s="1693" t="s">
        <v>2462</v>
      </c>
      <c r="C1747" s="1693"/>
      <c r="D1747" s="1693"/>
      <c r="E1747" s="1693"/>
      <c r="F1747" s="1008">
        <f>SUM(F1745+F1743)</f>
        <v>15044.2</v>
      </c>
      <c r="G1747" s="1008">
        <f>SUM(G1745+G1743)</f>
        <v>15044.2</v>
      </c>
      <c r="H1747" s="1008">
        <f>SUM(H1745+H1743)</f>
        <v>15044.2</v>
      </c>
      <c r="I1747" s="1008">
        <f>SUM(I1745+I1743)</f>
        <v>15057.3</v>
      </c>
      <c r="J1747" s="1008">
        <f>SUM(J1745+J1743)</f>
        <v>15086.7</v>
      </c>
      <c r="K1747" s="1389"/>
      <c r="L1747" s="1709"/>
      <c r="M1747" s="1709"/>
      <c r="N1747" s="1709"/>
      <c r="O1747" s="1709"/>
      <c r="P1747" s="1709"/>
      <c r="Q1747" s="1709"/>
    </row>
    <row r="1748" spans="2:17" x14ac:dyDescent="0.25">
      <c r="B1748" s="1696" t="s">
        <v>2481</v>
      </c>
      <c r="C1748" s="1697"/>
      <c r="D1748" s="1697"/>
      <c r="E1748" s="1697"/>
      <c r="F1748" s="1697"/>
      <c r="G1748" s="1697"/>
      <c r="H1748" s="1697"/>
      <c r="I1748" s="1697"/>
      <c r="J1748" s="1697"/>
      <c r="K1748" s="1697"/>
      <c r="L1748" s="1697"/>
      <c r="M1748" s="1697"/>
      <c r="N1748" s="1697"/>
      <c r="O1748" s="1697"/>
      <c r="P1748" s="1697"/>
      <c r="Q1748" s="1697"/>
    </row>
    <row r="1749" spans="2:17" ht="73.5" x14ac:dyDescent="0.25">
      <c r="B1749" s="519">
        <v>1</v>
      </c>
      <c r="C1749" s="1027"/>
      <c r="D1749" s="1395"/>
      <c r="E1749" s="365" t="s">
        <v>2474</v>
      </c>
      <c r="F1749" s="873">
        <f>SUM(F1750:F1754)</f>
        <v>13024.8</v>
      </c>
      <c r="G1749" s="873">
        <f>SUM(G1750:G1754)</f>
        <v>13194.699999999999</v>
      </c>
      <c r="H1749" s="873">
        <f>SUM(H1750:H1754)</f>
        <v>19366.8</v>
      </c>
      <c r="I1749" s="873">
        <f>SUM(I1750:I1754)</f>
        <v>19402.400000000001</v>
      </c>
      <c r="J1749" s="873">
        <f>SUM(J1750:J1754)</f>
        <v>19482.100000000002</v>
      </c>
      <c r="K1749" s="354"/>
      <c r="L1749" s="360" t="s">
        <v>35</v>
      </c>
      <c r="M1749" s="360"/>
      <c r="N1749" s="360"/>
      <c r="O1749" s="360"/>
      <c r="P1749" s="360"/>
      <c r="Q1749" s="360"/>
    </row>
    <row r="1750" spans="2:17" ht="30" x14ac:dyDescent="0.25">
      <c r="B1750" s="1396"/>
      <c r="C1750" s="1013">
        <v>1</v>
      </c>
      <c r="D1750" s="520"/>
      <c r="E1750" s="1397" t="s">
        <v>6</v>
      </c>
      <c r="F1750" s="1059">
        <v>2689.5</v>
      </c>
      <c r="G1750" s="786">
        <f>3379.4</f>
        <v>3379.4</v>
      </c>
      <c r="H1750" s="786">
        <v>5282.8</v>
      </c>
      <c r="I1750" s="786">
        <f>5282.8+35.6</f>
        <v>5318.4000000000005</v>
      </c>
      <c r="J1750" s="786">
        <f>5282.8+115.3</f>
        <v>5398.1</v>
      </c>
      <c r="K1750" s="344" t="s">
        <v>2482</v>
      </c>
      <c r="L1750" s="329" t="s">
        <v>35</v>
      </c>
      <c r="M1750" s="329">
        <v>100</v>
      </c>
      <c r="N1750" s="329">
        <v>100</v>
      </c>
      <c r="O1750" s="329">
        <v>100</v>
      </c>
      <c r="P1750" s="329">
        <v>100</v>
      </c>
      <c r="Q1750" s="329">
        <v>100</v>
      </c>
    </row>
    <row r="1751" spans="2:17" ht="30" x14ac:dyDescent="0.25">
      <c r="B1751" s="1396"/>
      <c r="C1751" s="1013">
        <v>2</v>
      </c>
      <c r="D1751" s="520"/>
      <c r="E1751" s="1179" t="s">
        <v>8</v>
      </c>
      <c r="F1751" s="1059">
        <v>3636.5</v>
      </c>
      <c r="G1751" s="786">
        <f>3424.5</f>
        <v>3424.5</v>
      </c>
      <c r="H1751" s="786">
        <v>1695.8</v>
      </c>
      <c r="I1751" s="786">
        <v>1695.8</v>
      </c>
      <c r="J1751" s="786">
        <v>1695.8</v>
      </c>
      <c r="K1751" s="344" t="s">
        <v>38</v>
      </c>
      <c r="L1751" s="329" t="s">
        <v>35</v>
      </c>
      <c r="M1751" s="329">
        <v>100</v>
      </c>
      <c r="N1751" s="329">
        <v>100</v>
      </c>
      <c r="O1751" s="329">
        <v>100</v>
      </c>
      <c r="P1751" s="329">
        <v>100</v>
      </c>
      <c r="Q1751" s="329">
        <v>100</v>
      </c>
    </row>
    <row r="1752" spans="2:17" ht="30" x14ac:dyDescent="0.25">
      <c r="B1752" s="1396"/>
      <c r="C1752" s="1013">
        <v>5</v>
      </c>
      <c r="D1752" s="520"/>
      <c r="E1752" s="1179" t="s">
        <v>13</v>
      </c>
      <c r="F1752" s="1059">
        <v>535.29999999999995</v>
      </c>
      <c r="G1752" s="786">
        <f>600</f>
        <v>600</v>
      </c>
      <c r="H1752" s="786">
        <v>5623.6</v>
      </c>
      <c r="I1752" s="786">
        <v>5623.6</v>
      </c>
      <c r="J1752" s="786">
        <v>5623.6</v>
      </c>
      <c r="K1752" s="344" t="s">
        <v>2483</v>
      </c>
      <c r="L1752" s="329" t="s">
        <v>40</v>
      </c>
      <c r="M1752" s="329" t="s">
        <v>2484</v>
      </c>
      <c r="N1752" s="329" t="s">
        <v>2484</v>
      </c>
      <c r="O1752" s="329" t="s">
        <v>2484</v>
      </c>
      <c r="P1752" s="329" t="s">
        <v>2484</v>
      </c>
      <c r="Q1752" s="329" t="s">
        <v>2484</v>
      </c>
    </row>
    <row r="1753" spans="2:17" ht="45" x14ac:dyDescent="0.25">
      <c r="B1753" s="1396"/>
      <c r="C1753" s="1013">
        <v>6</v>
      </c>
      <c r="D1753" s="520"/>
      <c r="E1753" s="328" t="s">
        <v>14</v>
      </c>
      <c r="F1753" s="1059">
        <v>3634</v>
      </c>
      <c r="G1753" s="786">
        <f>3989</f>
        <v>3989</v>
      </c>
      <c r="H1753" s="786">
        <v>5733.4</v>
      </c>
      <c r="I1753" s="786">
        <v>5733.4</v>
      </c>
      <c r="J1753" s="786">
        <v>5733.4</v>
      </c>
      <c r="K1753" s="344" t="s">
        <v>41</v>
      </c>
      <c r="L1753" s="329" t="s">
        <v>35</v>
      </c>
      <c r="M1753" s="329">
        <v>41.6</v>
      </c>
      <c r="N1753" s="329">
        <v>41.6</v>
      </c>
      <c r="O1753" s="329">
        <v>41.6</v>
      </c>
      <c r="P1753" s="329">
        <v>41.6</v>
      </c>
      <c r="Q1753" s="329">
        <v>41.6</v>
      </c>
    </row>
    <row r="1754" spans="2:17" ht="45" x14ac:dyDescent="0.25">
      <c r="B1754" s="1396"/>
      <c r="C1754" s="1013">
        <v>7</v>
      </c>
      <c r="D1754" s="520"/>
      <c r="E1754" s="328" t="s">
        <v>464</v>
      </c>
      <c r="F1754" s="1059">
        <v>2529.5</v>
      </c>
      <c r="G1754" s="786">
        <f>1801.8</f>
        <v>1801.8</v>
      </c>
      <c r="H1754" s="786">
        <v>1031.2</v>
      </c>
      <c r="I1754" s="786">
        <v>1031.2</v>
      </c>
      <c r="J1754" s="786">
        <v>1031.2</v>
      </c>
      <c r="K1754" s="344" t="s">
        <v>2485</v>
      </c>
      <c r="L1754" s="329" t="s">
        <v>40</v>
      </c>
      <c r="M1754" s="329" t="s">
        <v>2484</v>
      </c>
      <c r="N1754" s="329" t="s">
        <v>2484</v>
      </c>
      <c r="O1754" s="329" t="s">
        <v>2484</v>
      </c>
      <c r="P1754" s="329" t="s">
        <v>2484</v>
      </c>
      <c r="Q1754" s="329" t="s">
        <v>2484</v>
      </c>
    </row>
    <row r="1755" spans="2:17" ht="28.5" x14ac:dyDescent="0.25">
      <c r="B1755" s="521" t="s">
        <v>467</v>
      </c>
      <c r="C1755" s="1017"/>
      <c r="D1755" s="1017"/>
      <c r="E1755" s="354" t="s">
        <v>2486</v>
      </c>
      <c r="F1755" s="683">
        <f>SUM(F1750:F1754)</f>
        <v>13024.8</v>
      </c>
      <c r="G1755" s="683">
        <f>SUM(G1756:G1760)</f>
        <v>14008.4</v>
      </c>
      <c r="H1755" s="683">
        <f>SUM(H1756:H1760)</f>
        <v>21472.9</v>
      </c>
      <c r="I1755" s="683">
        <f>SUM(I1756:I1760)</f>
        <v>21472.9</v>
      </c>
      <c r="J1755" s="683">
        <f>SUM(J1756:J1760)</f>
        <v>21472.9</v>
      </c>
      <c r="K1755" s="328"/>
      <c r="L1755" s="328"/>
      <c r="M1755" s="328"/>
      <c r="N1755" s="1398"/>
      <c r="O1755" s="1398"/>
      <c r="P1755" s="1398"/>
      <c r="Q1755" s="1398"/>
    </row>
    <row r="1756" spans="2:17" ht="105" x14ac:dyDescent="0.25">
      <c r="B1756" s="1016"/>
      <c r="C1756" s="505" t="s">
        <v>5</v>
      </c>
      <c r="D1756" s="1017"/>
      <c r="E1756" s="616" t="s">
        <v>2487</v>
      </c>
      <c r="F1756" s="753">
        <v>7506.1</v>
      </c>
      <c r="G1756" s="786">
        <f>7432.6</f>
        <v>7432.6</v>
      </c>
      <c r="H1756" s="786">
        <v>9194.5</v>
      </c>
      <c r="I1756" s="786">
        <v>9194.5</v>
      </c>
      <c r="J1756" s="786">
        <v>9194.5</v>
      </c>
      <c r="K1756" s="328" t="s">
        <v>2488</v>
      </c>
      <c r="L1756" s="328" t="s">
        <v>173</v>
      </c>
      <c r="M1756" s="328" t="s">
        <v>190</v>
      </c>
      <c r="N1756" s="328" t="s">
        <v>190</v>
      </c>
      <c r="O1756" s="328" t="s">
        <v>190</v>
      </c>
      <c r="P1756" s="328" t="s">
        <v>190</v>
      </c>
      <c r="Q1756" s="328" t="s">
        <v>190</v>
      </c>
    </row>
    <row r="1757" spans="2:17" ht="75" x14ac:dyDescent="0.25">
      <c r="B1757" s="1016"/>
      <c r="C1757" s="505" t="s">
        <v>7</v>
      </c>
      <c r="D1757" s="1017"/>
      <c r="E1757" s="616" t="s">
        <v>2489</v>
      </c>
      <c r="F1757" s="753">
        <v>1605.5</v>
      </c>
      <c r="G1757" s="786">
        <f>1801.9</f>
        <v>1801.9</v>
      </c>
      <c r="H1757" s="786">
        <v>2703.2</v>
      </c>
      <c r="I1757" s="786">
        <v>2703.2</v>
      </c>
      <c r="J1757" s="786">
        <v>2703.2</v>
      </c>
      <c r="K1757" s="328" t="s">
        <v>2490</v>
      </c>
      <c r="L1757" s="328" t="s">
        <v>2491</v>
      </c>
      <c r="M1757" s="328" t="s">
        <v>190</v>
      </c>
      <c r="N1757" s="328" t="s">
        <v>190</v>
      </c>
      <c r="O1757" s="328" t="s">
        <v>190</v>
      </c>
      <c r="P1757" s="328" t="s">
        <v>190</v>
      </c>
      <c r="Q1757" s="328" t="s">
        <v>190</v>
      </c>
    </row>
    <row r="1758" spans="2:17" ht="105" x14ac:dyDescent="0.25">
      <c r="B1758" s="1016"/>
      <c r="C1758" s="505" t="s">
        <v>9</v>
      </c>
      <c r="D1758" s="1017"/>
      <c r="E1758" s="616" t="s">
        <v>2492</v>
      </c>
      <c r="F1758" s="753">
        <v>2237.6999999999998</v>
      </c>
      <c r="G1758" s="786">
        <f>2071</f>
        <v>2071</v>
      </c>
      <c r="H1758" s="786">
        <v>3973.8</v>
      </c>
      <c r="I1758" s="786">
        <v>3973.8</v>
      </c>
      <c r="J1758" s="786">
        <v>3973.8</v>
      </c>
      <c r="K1758" s="328" t="s">
        <v>2493</v>
      </c>
      <c r="L1758" s="328" t="s">
        <v>35</v>
      </c>
      <c r="M1758" s="328">
        <v>100</v>
      </c>
      <c r="N1758" s="328">
        <v>100</v>
      </c>
      <c r="O1758" s="328">
        <v>100</v>
      </c>
      <c r="P1758" s="328">
        <v>100</v>
      </c>
      <c r="Q1758" s="328">
        <v>100</v>
      </c>
    </row>
    <row r="1759" spans="2:17" ht="60" x14ac:dyDescent="0.25">
      <c r="B1759" s="1016"/>
      <c r="C1759" s="505" t="s">
        <v>11</v>
      </c>
      <c r="D1759" s="1017"/>
      <c r="E1759" s="616" t="s">
        <v>2494</v>
      </c>
      <c r="F1759" s="753">
        <v>1426.4</v>
      </c>
      <c r="G1759" s="786">
        <f>1351.4</f>
        <v>1351.4</v>
      </c>
      <c r="H1759" s="786">
        <v>1585.2</v>
      </c>
      <c r="I1759" s="786">
        <v>1585.2</v>
      </c>
      <c r="J1759" s="786">
        <v>1585.2</v>
      </c>
      <c r="K1759" s="328" t="s">
        <v>2495</v>
      </c>
      <c r="L1759" s="328" t="s">
        <v>173</v>
      </c>
      <c r="M1759" s="328" t="s">
        <v>190</v>
      </c>
      <c r="N1759" s="328" t="s">
        <v>190</v>
      </c>
      <c r="O1759" s="328" t="s">
        <v>190</v>
      </c>
      <c r="P1759" s="328" t="s">
        <v>190</v>
      </c>
      <c r="Q1759" s="328" t="s">
        <v>190</v>
      </c>
    </row>
    <row r="1760" spans="2:17" ht="45" x14ac:dyDescent="0.25">
      <c r="B1760" s="358"/>
      <c r="C1760" s="533" t="s">
        <v>127</v>
      </c>
      <c r="D1760" s="353"/>
      <c r="E1760" s="616" t="s">
        <v>2496</v>
      </c>
      <c r="F1760" s="753">
        <v>1402.6</v>
      </c>
      <c r="G1760" s="786">
        <f>1351.5</f>
        <v>1351.5</v>
      </c>
      <c r="H1760" s="786">
        <v>4016.2</v>
      </c>
      <c r="I1760" s="786">
        <v>4016.2</v>
      </c>
      <c r="J1760" s="786">
        <v>4016.2</v>
      </c>
      <c r="K1760" s="356" t="s">
        <v>2497</v>
      </c>
      <c r="L1760" s="356" t="s">
        <v>173</v>
      </c>
      <c r="M1760" s="356" t="s">
        <v>190</v>
      </c>
      <c r="N1760" s="356" t="s">
        <v>190</v>
      </c>
      <c r="O1760" s="356" t="s">
        <v>190</v>
      </c>
      <c r="P1760" s="356" t="s">
        <v>190</v>
      </c>
      <c r="Q1760" s="356" t="s">
        <v>190</v>
      </c>
    </row>
    <row r="1761" spans="2:17" x14ac:dyDescent="0.25">
      <c r="B1761" s="1693" t="s">
        <v>2462</v>
      </c>
      <c r="C1761" s="1693"/>
      <c r="D1761" s="1693"/>
      <c r="E1761" s="1693"/>
      <c r="F1761" s="1399">
        <f>SUM(F1755+F1749)</f>
        <v>26049.599999999999</v>
      </c>
      <c r="G1761" s="1399">
        <f>SUM(G1755+G1749)</f>
        <v>27203.1</v>
      </c>
      <c r="H1761" s="1399">
        <f>SUM(H1755+H1749)</f>
        <v>40839.699999999997</v>
      </c>
      <c r="I1761" s="1399">
        <f>SUM(I1755+I1749)</f>
        <v>40875.300000000003</v>
      </c>
      <c r="J1761" s="1399">
        <f>SUM(J1755+J1749)</f>
        <v>40955</v>
      </c>
      <c r="K1761" s="1400"/>
      <c r="L1761" s="1739"/>
      <c r="M1761" s="1739"/>
      <c r="N1761" s="1739"/>
      <c r="O1761" s="1739"/>
      <c r="P1761" s="1739"/>
      <c r="Q1761" s="1739"/>
    </row>
    <row r="1762" spans="2:17" x14ac:dyDescent="0.25">
      <c r="B1762" s="1696" t="s">
        <v>2498</v>
      </c>
      <c r="C1762" s="1697"/>
      <c r="D1762" s="1697"/>
      <c r="E1762" s="1697"/>
      <c r="F1762" s="1697"/>
      <c r="G1762" s="1697"/>
      <c r="H1762" s="1697"/>
      <c r="I1762" s="1697"/>
      <c r="J1762" s="1697"/>
      <c r="K1762" s="1697"/>
      <c r="L1762" s="1697"/>
      <c r="M1762" s="1697"/>
      <c r="N1762" s="1697"/>
      <c r="O1762" s="1697"/>
      <c r="P1762" s="1697"/>
      <c r="Q1762" s="1697"/>
    </row>
    <row r="1763" spans="2:17" ht="73.5" x14ac:dyDescent="0.25">
      <c r="B1763" s="1401">
        <v>1</v>
      </c>
      <c r="C1763" s="674"/>
      <c r="D1763" s="1045"/>
      <c r="E1763" s="1046" t="s">
        <v>2474</v>
      </c>
      <c r="F1763" s="1046"/>
      <c r="G1763" s="873">
        <f>G1764+G1765+G1766+G1767+G1769+G1770+G1774+G1772</f>
        <v>54423.259999999995</v>
      </c>
      <c r="H1763" s="873">
        <f>SUM(H1764:H1774)</f>
        <v>54073.9</v>
      </c>
      <c r="I1763" s="873">
        <f>I1764+I1765+I1766+I1767+I1769+I1770+I1774+I1772</f>
        <v>53293.399999999994</v>
      </c>
      <c r="J1763" s="873">
        <f>J1764+J1765+J1766+J1767+J1769+J1770+J1774+J1772</f>
        <v>53393.399999999994</v>
      </c>
      <c r="K1763" s="807" t="s">
        <v>34</v>
      </c>
      <c r="L1763" s="809" t="s">
        <v>35</v>
      </c>
      <c r="M1763" s="809"/>
      <c r="N1763" s="809"/>
      <c r="O1763" s="809"/>
      <c r="P1763" s="1402"/>
      <c r="Q1763" s="1403"/>
    </row>
    <row r="1764" spans="2:17" ht="30" x14ac:dyDescent="0.25">
      <c r="B1764" s="1404"/>
      <c r="C1764" s="1048">
        <v>1</v>
      </c>
      <c r="D1764" s="674"/>
      <c r="E1764" s="1405" t="s">
        <v>6</v>
      </c>
      <c r="F1764" s="1405"/>
      <c r="G1764" s="786">
        <v>4367.17</v>
      </c>
      <c r="H1764" s="786">
        <v>6973.5</v>
      </c>
      <c r="I1764" s="786">
        <v>5263.1</v>
      </c>
      <c r="J1764" s="786">
        <f>5263.1+15</f>
        <v>5278.1</v>
      </c>
      <c r="K1764" s="659" t="s">
        <v>36</v>
      </c>
      <c r="L1764" s="660" t="s">
        <v>37</v>
      </c>
      <c r="M1764" s="660">
        <v>31.6</v>
      </c>
      <c r="N1764" s="660" t="s">
        <v>2499</v>
      </c>
      <c r="O1764" s="660" t="s">
        <v>2499</v>
      </c>
      <c r="P1764" s="1348" t="s">
        <v>2499</v>
      </c>
      <c r="Q1764" s="1406" t="s">
        <v>2499</v>
      </c>
    </row>
    <row r="1765" spans="2:17" ht="30" x14ac:dyDescent="0.25">
      <c r="B1765" s="1404"/>
      <c r="C1765" s="675">
        <v>2</v>
      </c>
      <c r="D1765" s="674"/>
      <c r="E1765" s="493" t="s">
        <v>8</v>
      </c>
      <c r="F1765" s="493"/>
      <c r="G1765" s="786">
        <v>3874.57</v>
      </c>
      <c r="H1765" s="786">
        <v>3021.1</v>
      </c>
      <c r="I1765" s="786">
        <v>4247.5</v>
      </c>
      <c r="J1765" s="786">
        <f>4247.5+10+5</f>
        <v>4262.5</v>
      </c>
      <c r="K1765" s="659" t="s">
        <v>38</v>
      </c>
      <c r="L1765" s="660" t="s">
        <v>35</v>
      </c>
      <c r="M1765" s="660">
        <v>100</v>
      </c>
      <c r="N1765" s="660">
        <v>100</v>
      </c>
      <c r="O1765" s="660">
        <v>100</v>
      </c>
      <c r="P1765" s="1348">
        <v>100</v>
      </c>
      <c r="Q1765" s="1406">
        <v>100</v>
      </c>
    </row>
    <row r="1766" spans="2:17" ht="45" x14ac:dyDescent="0.25">
      <c r="B1766" s="1404"/>
      <c r="C1766" s="675">
        <v>3</v>
      </c>
      <c r="D1766" s="674"/>
      <c r="E1766" s="493" t="s">
        <v>10</v>
      </c>
      <c r="F1766" s="493"/>
      <c r="G1766" s="786">
        <v>3025.66</v>
      </c>
      <c r="H1766" s="786">
        <v>4518</v>
      </c>
      <c r="I1766" s="786">
        <v>3223.6</v>
      </c>
      <c r="J1766" s="786">
        <f>3223.6+10+5</f>
        <v>3238.6</v>
      </c>
      <c r="K1766" s="423" t="s">
        <v>2500</v>
      </c>
      <c r="L1766" s="660" t="s">
        <v>40</v>
      </c>
      <c r="M1766" s="660">
        <v>32</v>
      </c>
      <c r="N1766" s="660">
        <v>30</v>
      </c>
      <c r="O1766" s="660">
        <v>28</v>
      </c>
      <c r="P1766" s="1348">
        <v>28</v>
      </c>
      <c r="Q1766" s="1406">
        <v>28</v>
      </c>
    </row>
    <row r="1767" spans="2:17" ht="90" x14ac:dyDescent="0.25">
      <c r="B1767" s="1404"/>
      <c r="C1767" s="675">
        <v>4</v>
      </c>
      <c r="D1767" s="674"/>
      <c r="E1767" s="1407" t="s">
        <v>2501</v>
      </c>
      <c r="F1767" s="1405"/>
      <c r="G1767" s="786">
        <v>3122.66</v>
      </c>
      <c r="H1767" s="786">
        <v>4461.3</v>
      </c>
      <c r="I1767" s="786">
        <v>3320.6</v>
      </c>
      <c r="J1767" s="786">
        <f>3320.6+10+5</f>
        <v>3335.6</v>
      </c>
      <c r="K1767" s="659" t="s">
        <v>2502</v>
      </c>
      <c r="L1767" s="660"/>
      <c r="M1767" s="660">
        <v>100</v>
      </c>
      <c r="N1767" s="660">
        <v>100</v>
      </c>
      <c r="O1767" s="660">
        <v>100</v>
      </c>
      <c r="P1767" s="1348">
        <v>100</v>
      </c>
      <c r="Q1767" s="1406">
        <v>100</v>
      </c>
    </row>
    <row r="1768" spans="2:17" ht="30" x14ac:dyDescent="0.25">
      <c r="B1768" s="1404"/>
      <c r="C1768" s="675">
        <v>5</v>
      </c>
      <c r="D1768" s="674"/>
      <c r="E1768" s="1407" t="s">
        <v>13</v>
      </c>
      <c r="F1768" s="1405"/>
      <c r="G1768" s="786"/>
      <c r="H1768" s="786">
        <v>5254.4</v>
      </c>
      <c r="I1768" s="786"/>
      <c r="J1768" s="786"/>
      <c r="K1768" s="659"/>
      <c r="L1768" s="660"/>
      <c r="M1768" s="660"/>
      <c r="N1768" s="660"/>
      <c r="O1768" s="660"/>
      <c r="P1768" s="1348"/>
      <c r="Q1768" s="1406"/>
    </row>
    <row r="1769" spans="2:17" ht="30" x14ac:dyDescent="0.25">
      <c r="B1769" s="1404"/>
      <c r="C1769" s="675">
        <v>6</v>
      </c>
      <c r="D1769" s="674"/>
      <c r="E1769" s="514" t="s">
        <v>14</v>
      </c>
      <c r="F1769" s="514"/>
      <c r="G1769" s="786">
        <v>12920.5</v>
      </c>
      <c r="H1769" s="786">
        <v>7230.4</v>
      </c>
      <c r="I1769" s="786">
        <v>12568.3</v>
      </c>
      <c r="J1769" s="786">
        <f>12568.3+10+15</f>
        <v>12593.3</v>
      </c>
      <c r="K1769" s="659"/>
      <c r="L1769" s="660"/>
      <c r="M1769" s="660"/>
      <c r="N1769" s="660"/>
      <c r="O1769" s="660"/>
      <c r="P1769" s="1348"/>
      <c r="Q1769" s="1406"/>
    </row>
    <row r="1770" spans="2:17" ht="60" x14ac:dyDescent="0.25">
      <c r="B1770" s="1865"/>
      <c r="C1770" s="1829">
        <v>41</v>
      </c>
      <c r="D1770" s="1831"/>
      <c r="E1770" s="1867" t="s">
        <v>2503</v>
      </c>
      <c r="F1770" s="1831"/>
      <c r="G1770" s="1823">
        <v>1067.9100000000001</v>
      </c>
      <c r="H1770" s="1823">
        <v>2853.2</v>
      </c>
      <c r="I1770" s="1823">
        <v>1015.8</v>
      </c>
      <c r="J1770" s="1823">
        <v>1015.8</v>
      </c>
      <c r="K1770" s="659" t="str">
        <f>'[3]приложение 2019'!$M$14</f>
        <v>количество мероприятий реализованных по итогам исполнения  детализированного плана по демонтажу системной коррупции в сфере антимонопольного регулирования</v>
      </c>
      <c r="L1770" s="660" t="s">
        <v>35</v>
      </c>
      <c r="M1770" s="660">
        <v>90</v>
      </c>
      <c r="N1770" s="660">
        <v>100</v>
      </c>
      <c r="O1770" s="660">
        <v>100</v>
      </c>
      <c r="P1770" s="1348">
        <v>100</v>
      </c>
      <c r="Q1770" s="1406">
        <v>100</v>
      </c>
    </row>
    <row r="1771" spans="2:17" ht="45" x14ac:dyDescent="0.25">
      <c r="B1771" s="1866"/>
      <c r="C1771" s="1830"/>
      <c r="D1771" s="1832"/>
      <c r="E1771" s="1868"/>
      <c r="F1771" s="1832"/>
      <c r="G1771" s="1824"/>
      <c r="H1771" s="1824"/>
      <c r="I1771" s="1824"/>
      <c r="J1771" s="1824"/>
      <c r="K1771" s="659" t="str">
        <f>'[3]приложение 2019'!$M$15</f>
        <v>количество реализованных мероприятий по итогам исполнения ведомственного плана мероприятий по противодействию коррупции</v>
      </c>
      <c r="L1771" s="660" t="s">
        <v>35</v>
      </c>
      <c r="M1771" s="660">
        <v>100</v>
      </c>
      <c r="N1771" s="660">
        <v>100</v>
      </c>
      <c r="O1771" s="660">
        <v>100</v>
      </c>
      <c r="P1771" s="1348">
        <v>100</v>
      </c>
      <c r="Q1771" s="1406">
        <v>100</v>
      </c>
    </row>
    <row r="1772" spans="2:17" ht="45" x14ac:dyDescent="0.25">
      <c r="B1772" s="1865"/>
      <c r="C1772" s="1829">
        <v>7</v>
      </c>
      <c r="D1772" s="1831"/>
      <c r="E1772" s="1845" t="s">
        <v>2504</v>
      </c>
      <c r="F1772" s="784"/>
      <c r="G1772" s="1823">
        <v>764.14</v>
      </c>
      <c r="H1772" s="1823">
        <v>0</v>
      </c>
      <c r="I1772" s="1823">
        <v>871.5</v>
      </c>
      <c r="J1772" s="1823">
        <v>871.5</v>
      </c>
      <c r="K1772" s="659" t="s">
        <v>2505</v>
      </c>
      <c r="L1772" s="660" t="s">
        <v>40</v>
      </c>
      <c r="M1772" s="660"/>
      <c r="N1772" s="660"/>
      <c r="O1772" s="660"/>
      <c r="P1772" s="1348"/>
      <c r="Q1772" s="1406"/>
    </row>
    <row r="1773" spans="2:17" ht="30" x14ac:dyDescent="0.25">
      <c r="B1773" s="1866"/>
      <c r="C1773" s="1830"/>
      <c r="D1773" s="1832"/>
      <c r="E1773" s="1852"/>
      <c r="F1773" s="785"/>
      <c r="G1773" s="1824"/>
      <c r="H1773" s="1824"/>
      <c r="I1773" s="1824"/>
      <c r="J1773" s="1824"/>
      <c r="K1773" s="659" t="s">
        <v>2506</v>
      </c>
      <c r="L1773" s="660" t="s">
        <v>40</v>
      </c>
      <c r="M1773" s="660"/>
      <c r="N1773" s="660"/>
      <c r="O1773" s="660"/>
      <c r="P1773" s="1348"/>
      <c r="Q1773" s="1406"/>
    </row>
    <row r="1774" spans="2:17" ht="45" x14ac:dyDescent="0.25">
      <c r="B1774" s="1404"/>
      <c r="C1774" s="676">
        <v>25</v>
      </c>
      <c r="D1774" s="674"/>
      <c r="E1774" s="514" t="s">
        <v>2507</v>
      </c>
      <c r="F1774" s="514"/>
      <c r="G1774" s="786">
        <v>25280.65</v>
      </c>
      <c r="H1774" s="786">
        <v>19762</v>
      </c>
      <c r="I1774" s="786">
        <f>22773+10</f>
        <v>22783</v>
      </c>
      <c r="J1774" s="786">
        <f>22773+10+15</f>
        <v>22798</v>
      </c>
      <c r="K1774" s="659" t="str">
        <f>'[3]приложение 2019'!$M$16</f>
        <v>Среднее количество сотрудников региональных представительств на область КР</v>
      </c>
      <c r="L1774" s="660" t="s">
        <v>203</v>
      </c>
      <c r="M1774" s="660" t="s">
        <v>2508</v>
      </c>
      <c r="N1774" s="660" t="s">
        <v>2508</v>
      </c>
      <c r="O1774" s="660" t="s">
        <v>2508</v>
      </c>
      <c r="P1774" s="1348" t="s">
        <v>2508</v>
      </c>
      <c r="Q1774" s="1406" t="s">
        <v>2508</v>
      </c>
    </row>
    <row r="1775" spans="2:17" ht="88.5" x14ac:dyDescent="0.25">
      <c r="B1775" s="1408" t="s">
        <v>467</v>
      </c>
      <c r="C1775" s="1050"/>
      <c r="D1775" s="1050"/>
      <c r="E1775" s="1409" t="s">
        <v>2509</v>
      </c>
      <c r="F1775" s="1409"/>
      <c r="G1775" s="683">
        <f>G1776+G1778+G1781+G1782+G1788</f>
        <v>18380.379999999997</v>
      </c>
      <c r="H1775" s="683">
        <f>SUM(H1776:H1791)</f>
        <v>18729.7</v>
      </c>
      <c r="I1775" s="683">
        <f>I1776+I1778+I1781+I1782+I1788</f>
        <v>19573.699999999997</v>
      </c>
      <c r="J1775" s="683">
        <f>J1776+J1778+J1781+J1782+J1788</f>
        <v>19615.73</v>
      </c>
      <c r="K1775" s="1410" t="s">
        <v>2510</v>
      </c>
      <c r="L1775" s="660" t="s">
        <v>40</v>
      </c>
      <c r="M1775" s="452"/>
      <c r="N1775" s="452"/>
      <c r="O1775" s="452"/>
      <c r="P1775" s="1411"/>
      <c r="Q1775" s="1412"/>
    </row>
    <row r="1776" spans="2:17" ht="30" x14ac:dyDescent="0.25">
      <c r="B1776" s="1842"/>
      <c r="C1776" s="1805" t="s">
        <v>5</v>
      </c>
      <c r="D1776" s="1805"/>
      <c r="E1776" s="1845" t="s">
        <v>2511</v>
      </c>
      <c r="F1776" s="784"/>
      <c r="G1776" s="1823">
        <v>5394.57</v>
      </c>
      <c r="H1776" s="1823">
        <v>6325.5</v>
      </c>
      <c r="I1776" s="1823">
        <f>3835.86+1500+5</f>
        <v>5340.8600000000006</v>
      </c>
      <c r="J1776" s="1823">
        <f>3835.86+1500+5+10+1</f>
        <v>5351.8600000000006</v>
      </c>
      <c r="K1776" s="693" t="str">
        <f>'[3]приложение 2019'!$M$18</f>
        <v>Увеличение удельного веса проверенных субъектов от запланированного</v>
      </c>
      <c r="L1776" s="660" t="s">
        <v>35</v>
      </c>
      <c r="M1776" s="435">
        <v>89</v>
      </c>
      <c r="N1776" s="435">
        <v>86</v>
      </c>
      <c r="O1776" s="435">
        <v>90</v>
      </c>
      <c r="P1776" s="1413">
        <v>90</v>
      </c>
      <c r="Q1776" s="1414">
        <v>90</v>
      </c>
    </row>
    <row r="1777" spans="2:17" ht="30" x14ac:dyDescent="0.25">
      <c r="B1777" s="1848"/>
      <c r="C1777" s="1806"/>
      <c r="D1777" s="1806"/>
      <c r="E1777" s="1852"/>
      <c r="F1777" s="785"/>
      <c r="G1777" s="1824"/>
      <c r="H1777" s="1824"/>
      <c r="I1777" s="1824"/>
      <c r="J1777" s="1824"/>
      <c r="K1777" s="693" t="s">
        <v>2512</v>
      </c>
      <c r="L1777" s="660" t="s">
        <v>35</v>
      </c>
      <c r="M1777" s="435">
        <v>70</v>
      </c>
      <c r="N1777" s="435">
        <v>75</v>
      </c>
      <c r="O1777" s="435">
        <v>80</v>
      </c>
      <c r="P1777" s="1413">
        <v>82</v>
      </c>
      <c r="Q1777" s="1414">
        <v>82</v>
      </c>
    </row>
    <row r="1778" spans="2:17" ht="45" x14ac:dyDescent="0.25">
      <c r="B1778" s="1842"/>
      <c r="C1778" s="1805" t="s">
        <v>7</v>
      </c>
      <c r="D1778" s="1805"/>
      <c r="E1778" s="1856" t="s">
        <v>2513</v>
      </c>
      <c r="F1778" s="1859"/>
      <c r="G1778" s="1862">
        <v>2292.39</v>
      </c>
      <c r="H1778" s="1823">
        <v>0</v>
      </c>
      <c r="I1778" s="1823">
        <f>1714.65+1000+3</f>
        <v>2717.65</v>
      </c>
      <c r="J1778" s="1823">
        <f>1714.65+1000+3+10+1</f>
        <v>2728.65</v>
      </c>
      <c r="K1778" s="693" t="str">
        <f>'[3]приложение 2019'!$M$20</f>
        <v xml:space="preserve">Количество проведенных анализов состояния конкуренции 
</v>
      </c>
      <c r="L1778" s="660" t="s">
        <v>40</v>
      </c>
      <c r="M1778" s="435">
        <v>35</v>
      </c>
      <c r="N1778" s="786" t="s">
        <v>2514</v>
      </c>
      <c r="O1778" s="786" t="s">
        <v>2514</v>
      </c>
      <c r="P1778" s="1415" t="s">
        <v>2514</v>
      </c>
      <c r="Q1778" s="1416" t="s">
        <v>2514</v>
      </c>
    </row>
    <row r="1779" spans="2:17" ht="30" x14ac:dyDescent="0.25">
      <c r="B1779" s="1843"/>
      <c r="C1779" s="1844"/>
      <c r="D1779" s="1844"/>
      <c r="E1779" s="1857"/>
      <c r="F1779" s="1860"/>
      <c r="G1779" s="1863"/>
      <c r="H1779" s="1847"/>
      <c r="I1779" s="1847"/>
      <c r="J1779" s="1847"/>
      <c r="K1779" s="693" t="s">
        <v>2515</v>
      </c>
      <c r="L1779" s="660" t="s">
        <v>40</v>
      </c>
      <c r="M1779" s="435">
        <v>1</v>
      </c>
      <c r="N1779" s="435">
        <v>1</v>
      </c>
      <c r="O1779" s="435">
        <v>1</v>
      </c>
      <c r="P1779" s="1413">
        <v>1</v>
      </c>
      <c r="Q1779" s="1414">
        <v>1</v>
      </c>
    </row>
    <row r="1780" spans="2:17" ht="60" x14ac:dyDescent="0.25">
      <c r="B1780" s="1843"/>
      <c r="C1780" s="1844"/>
      <c r="D1780" s="1844"/>
      <c r="E1780" s="1857"/>
      <c r="F1780" s="1860"/>
      <c r="G1780" s="1863"/>
      <c r="H1780" s="1847"/>
      <c r="I1780" s="1847"/>
      <c r="J1780" s="1847"/>
      <c r="K1780" s="693" t="s">
        <v>2516</v>
      </c>
      <c r="L1780" s="660" t="s">
        <v>40</v>
      </c>
      <c r="M1780" s="435">
        <v>11</v>
      </c>
      <c r="N1780" s="435">
        <v>12</v>
      </c>
      <c r="O1780" s="435">
        <v>13</v>
      </c>
      <c r="P1780" s="1413">
        <v>14</v>
      </c>
      <c r="Q1780" s="1414">
        <v>14</v>
      </c>
    </row>
    <row r="1781" spans="2:17" ht="45" x14ac:dyDescent="0.25">
      <c r="B1781" s="1848"/>
      <c r="C1781" s="1806"/>
      <c r="D1781" s="1806"/>
      <c r="E1781" s="1858"/>
      <c r="F1781" s="1861"/>
      <c r="G1781" s="1864"/>
      <c r="H1781" s="1824"/>
      <c r="I1781" s="1824"/>
      <c r="J1781" s="1824"/>
      <c r="K1781" s="693" t="s">
        <v>2517</v>
      </c>
      <c r="L1781" s="660" t="s">
        <v>40</v>
      </c>
      <c r="M1781" s="786" t="s">
        <v>1816</v>
      </c>
      <c r="N1781" s="786" t="s">
        <v>1816</v>
      </c>
      <c r="O1781" s="786" t="s">
        <v>1816</v>
      </c>
      <c r="P1781" s="1415" t="s">
        <v>1816</v>
      </c>
      <c r="Q1781" s="1416" t="s">
        <v>1816</v>
      </c>
    </row>
    <row r="1782" spans="2:17" ht="60" x14ac:dyDescent="0.25">
      <c r="B1782" s="1842"/>
      <c r="C1782" s="1849" t="s">
        <v>9</v>
      </c>
      <c r="D1782" s="1805"/>
      <c r="E1782" s="1845" t="s">
        <v>2518</v>
      </c>
      <c r="F1782" s="784"/>
      <c r="G1782" s="1823">
        <v>5356.62</v>
      </c>
      <c r="H1782" s="1823">
        <v>0</v>
      </c>
      <c r="I1782" s="1823">
        <f>3766.22+2000+2</f>
        <v>5768.2199999999993</v>
      </c>
      <c r="J1782" s="1823">
        <f>3766.22+2000+2+10+1</f>
        <v>5779.2199999999993</v>
      </c>
      <c r="K1782" s="693" t="s">
        <v>2519</v>
      </c>
      <c r="L1782" s="660" t="s">
        <v>35</v>
      </c>
      <c r="M1782" s="435">
        <v>99</v>
      </c>
      <c r="N1782" s="435">
        <v>90</v>
      </c>
      <c r="O1782" s="435">
        <v>90</v>
      </c>
      <c r="P1782" s="1413">
        <v>90</v>
      </c>
      <c r="Q1782" s="1414">
        <v>90</v>
      </c>
    </row>
    <row r="1783" spans="2:17" ht="45" x14ac:dyDescent="0.25">
      <c r="B1783" s="1843"/>
      <c r="C1783" s="1850"/>
      <c r="D1783" s="1844"/>
      <c r="E1783" s="1846"/>
      <c r="F1783" s="499"/>
      <c r="G1783" s="1847"/>
      <c r="H1783" s="1847"/>
      <c r="I1783" s="1847"/>
      <c r="J1783" s="1847"/>
      <c r="K1783" s="693" t="s">
        <v>2520</v>
      </c>
      <c r="L1783" s="660" t="s">
        <v>35</v>
      </c>
      <c r="M1783" s="435">
        <v>100</v>
      </c>
      <c r="N1783" s="435">
        <v>90</v>
      </c>
      <c r="O1783" s="435">
        <v>90</v>
      </c>
      <c r="P1783" s="1413">
        <v>90</v>
      </c>
      <c r="Q1783" s="1414">
        <v>90</v>
      </c>
    </row>
    <row r="1784" spans="2:17" ht="60" x14ac:dyDescent="0.25">
      <c r="B1784" s="1843"/>
      <c r="C1784" s="1850"/>
      <c r="D1784" s="1844"/>
      <c r="E1784" s="1846"/>
      <c r="F1784" s="499"/>
      <c r="G1784" s="1847"/>
      <c r="H1784" s="1847"/>
      <c r="I1784" s="1847"/>
      <c r="J1784" s="1847"/>
      <c r="K1784" s="693" t="s">
        <v>2516</v>
      </c>
      <c r="L1784" s="660" t="s">
        <v>35</v>
      </c>
      <c r="M1784" s="435">
        <v>100</v>
      </c>
      <c r="N1784" s="435">
        <v>80</v>
      </c>
      <c r="O1784" s="435">
        <v>80</v>
      </c>
      <c r="P1784" s="1413">
        <v>80</v>
      </c>
      <c r="Q1784" s="1414">
        <v>80</v>
      </c>
    </row>
    <row r="1785" spans="2:17" ht="45" x14ac:dyDescent="0.25">
      <c r="B1785" s="1843"/>
      <c r="C1785" s="1850"/>
      <c r="D1785" s="1844"/>
      <c r="E1785" s="1846"/>
      <c r="F1785" s="499"/>
      <c r="G1785" s="1847"/>
      <c r="H1785" s="1847"/>
      <c r="I1785" s="1847"/>
      <c r="J1785" s="1847"/>
      <c r="K1785" s="693" t="s">
        <v>2517</v>
      </c>
      <c r="L1785" s="660" t="s">
        <v>35</v>
      </c>
      <c r="M1785" s="435">
        <v>100</v>
      </c>
      <c r="N1785" s="435">
        <v>90</v>
      </c>
      <c r="O1785" s="435">
        <v>90</v>
      </c>
      <c r="P1785" s="1413">
        <v>90</v>
      </c>
      <c r="Q1785" s="1414">
        <v>90</v>
      </c>
    </row>
    <row r="1786" spans="2:17" ht="60" x14ac:dyDescent="0.25">
      <c r="B1786" s="1843"/>
      <c r="C1786" s="1850"/>
      <c r="D1786" s="1844"/>
      <c r="E1786" s="1846"/>
      <c r="F1786" s="499"/>
      <c r="G1786" s="1847"/>
      <c r="H1786" s="1847"/>
      <c r="I1786" s="1847"/>
      <c r="J1786" s="1847"/>
      <c r="K1786" s="693" t="s">
        <v>2521</v>
      </c>
      <c r="L1786" s="660" t="s">
        <v>35</v>
      </c>
      <c r="M1786" s="435">
        <v>100</v>
      </c>
      <c r="N1786" s="435">
        <v>90</v>
      </c>
      <c r="O1786" s="435">
        <v>90</v>
      </c>
      <c r="P1786" s="1413">
        <v>90</v>
      </c>
      <c r="Q1786" s="1414">
        <v>90</v>
      </c>
    </row>
    <row r="1787" spans="2:17" ht="45" x14ac:dyDescent="0.25">
      <c r="B1787" s="1848"/>
      <c r="C1787" s="1851"/>
      <c r="D1787" s="1806"/>
      <c r="E1787" s="1852"/>
      <c r="F1787" s="785"/>
      <c r="G1787" s="1824"/>
      <c r="H1787" s="1824"/>
      <c r="I1787" s="1824"/>
      <c r="J1787" s="1824"/>
      <c r="K1787" s="693" t="s">
        <v>2522</v>
      </c>
      <c r="L1787" s="660" t="s">
        <v>35</v>
      </c>
      <c r="M1787" s="665">
        <v>100</v>
      </c>
      <c r="N1787" s="1853" t="s">
        <v>2523</v>
      </c>
      <c r="O1787" s="1854"/>
      <c r="P1787" s="1854"/>
      <c r="Q1787" s="1855"/>
    </row>
    <row r="1788" spans="2:17" ht="30" x14ac:dyDescent="0.25">
      <c r="B1788" s="1842"/>
      <c r="C1788" s="1805" t="s">
        <v>11</v>
      </c>
      <c r="D1788" s="1805"/>
      <c r="E1788" s="1845" t="s">
        <v>2524</v>
      </c>
      <c r="F1788" s="784"/>
      <c r="G1788" s="1823">
        <v>5336.8</v>
      </c>
      <c r="H1788" s="1823">
        <v>6155.1</v>
      </c>
      <c r="I1788" s="1823">
        <f>3746.57+2000+0.4</f>
        <v>5746.9699999999993</v>
      </c>
      <c r="J1788" s="1823">
        <v>5756</v>
      </c>
      <c r="K1788" s="693" t="s">
        <v>2525</v>
      </c>
      <c r="L1788" s="660" t="s">
        <v>40</v>
      </c>
      <c r="M1788" s="660" t="s">
        <v>1816</v>
      </c>
      <c r="N1788" s="660" t="s">
        <v>1816</v>
      </c>
      <c r="O1788" s="660" t="s">
        <v>1816</v>
      </c>
      <c r="P1788" s="1348" t="s">
        <v>1816</v>
      </c>
      <c r="Q1788" s="1406" t="s">
        <v>1816</v>
      </c>
    </row>
    <row r="1789" spans="2:17" ht="30" x14ac:dyDescent="0.25">
      <c r="B1789" s="1843"/>
      <c r="C1789" s="1844"/>
      <c r="D1789" s="1844"/>
      <c r="E1789" s="1846"/>
      <c r="F1789" s="499"/>
      <c r="G1789" s="1847"/>
      <c r="H1789" s="1847"/>
      <c r="I1789" s="1847"/>
      <c r="J1789" s="1847"/>
      <c r="K1789" s="693" t="s">
        <v>2526</v>
      </c>
      <c r="L1789" s="660" t="s">
        <v>40</v>
      </c>
      <c r="M1789" s="786" t="s">
        <v>1816</v>
      </c>
      <c r="N1789" s="786" t="s">
        <v>1816</v>
      </c>
      <c r="O1789" s="786" t="s">
        <v>1816</v>
      </c>
      <c r="P1789" s="1415" t="s">
        <v>1816</v>
      </c>
      <c r="Q1789" s="1416" t="s">
        <v>1816</v>
      </c>
    </row>
    <row r="1790" spans="2:17" ht="30" x14ac:dyDescent="0.25">
      <c r="B1790" s="1843"/>
      <c r="C1790" s="1844"/>
      <c r="D1790" s="1844"/>
      <c r="E1790" s="1846"/>
      <c r="F1790" s="499"/>
      <c r="G1790" s="1847"/>
      <c r="H1790" s="1847"/>
      <c r="I1790" s="1847"/>
      <c r="J1790" s="1847"/>
      <c r="K1790" s="678" t="s">
        <v>2527</v>
      </c>
      <c r="L1790" s="784" t="s">
        <v>40</v>
      </c>
      <c r="M1790" s="753">
        <v>800</v>
      </c>
      <c r="N1790" s="753" t="s">
        <v>1816</v>
      </c>
      <c r="O1790" s="753" t="s">
        <v>1816</v>
      </c>
      <c r="P1790" s="1347" t="s">
        <v>1816</v>
      </c>
      <c r="Q1790" s="1417" t="s">
        <v>1816</v>
      </c>
    </row>
    <row r="1791" spans="2:17" ht="30" x14ac:dyDescent="0.25">
      <c r="B1791" s="680"/>
      <c r="C1791" s="661" t="s">
        <v>127</v>
      </c>
      <c r="D1791" s="661"/>
      <c r="E1791" s="718" t="s">
        <v>2528</v>
      </c>
      <c r="F1791" s="660"/>
      <c r="G1791" s="786"/>
      <c r="H1791" s="786">
        <v>6249.1</v>
      </c>
      <c r="I1791" s="786"/>
      <c r="J1791" s="786"/>
      <c r="K1791" s="693"/>
      <c r="L1791" s="784"/>
      <c r="M1791" s="753"/>
      <c r="N1791" s="753"/>
      <c r="O1791" s="753"/>
      <c r="P1791" s="1347"/>
      <c r="Q1791" s="1417"/>
    </row>
    <row r="1792" spans="2:17" x14ac:dyDescent="0.25">
      <c r="B1792" s="1809" t="s">
        <v>85</v>
      </c>
      <c r="C1792" s="1810"/>
      <c r="D1792" s="1810"/>
      <c r="E1792" s="1810"/>
      <c r="F1792" s="1418"/>
      <c r="G1792" s="1325">
        <f>SUM(G1763+G1775)</f>
        <v>72803.639999999985</v>
      </c>
      <c r="H1792" s="1325">
        <f>SUM(H1763+H1775)</f>
        <v>72803.600000000006</v>
      </c>
      <c r="I1792" s="1325">
        <f>SUM(I1763+I1775)</f>
        <v>72867.099999999991</v>
      </c>
      <c r="J1792" s="1325">
        <f>SUM(J1763+J1775)</f>
        <v>73009.12999999999</v>
      </c>
      <c r="K1792" s="1419"/>
      <c r="L1792" s="1825"/>
      <c r="M1792" s="1825"/>
      <c r="N1792" s="1825"/>
      <c r="O1792" s="1825"/>
      <c r="P1792" s="1825"/>
      <c r="Q1792" s="1826"/>
    </row>
    <row r="1793" spans="2:17" ht="15.75" thickBot="1" x14ac:dyDescent="0.3">
      <c r="B1793" s="1696" t="s">
        <v>2529</v>
      </c>
      <c r="C1793" s="1697"/>
      <c r="D1793" s="1697"/>
      <c r="E1793" s="1697"/>
      <c r="F1793" s="1697"/>
      <c r="G1793" s="1697"/>
      <c r="H1793" s="1697"/>
      <c r="I1793" s="1697"/>
      <c r="J1793" s="1697"/>
      <c r="K1793" s="1697"/>
      <c r="L1793" s="1697"/>
      <c r="M1793" s="1697"/>
      <c r="N1793" s="1697"/>
      <c r="O1793" s="1697"/>
      <c r="P1793" s="1697"/>
      <c r="Q1793" s="1697"/>
    </row>
    <row r="1794" spans="2:17" ht="73.5" x14ac:dyDescent="0.25">
      <c r="B1794" s="1044">
        <v>1</v>
      </c>
      <c r="C1794" s="674"/>
      <c r="D1794" s="1045"/>
      <c r="E1794" s="849" t="s">
        <v>2530</v>
      </c>
      <c r="F1794" s="917">
        <f>SUM(F1795:F1803)</f>
        <v>12711.9</v>
      </c>
      <c r="G1794" s="917">
        <f>SUM(G1795:G1803)</f>
        <v>15723.7</v>
      </c>
      <c r="H1794" s="917">
        <f>SUM(H1795:H1803)</f>
        <v>19123.7</v>
      </c>
      <c r="I1794" s="917">
        <f>SUM(I1795:I1803)</f>
        <v>16332.8</v>
      </c>
      <c r="J1794" s="917">
        <f>SUM(J1795:J1803)</f>
        <v>16332.8</v>
      </c>
      <c r="K1794" s="807" t="s">
        <v>34</v>
      </c>
      <c r="L1794" s="809" t="s">
        <v>35</v>
      </c>
      <c r="M1794" s="785">
        <v>51.2</v>
      </c>
      <c r="N1794" s="785">
        <v>42.5</v>
      </c>
      <c r="O1794" s="785">
        <v>36.1</v>
      </c>
      <c r="P1794" s="785">
        <v>36.6</v>
      </c>
      <c r="Q1794" s="785">
        <v>36.9</v>
      </c>
    </row>
    <row r="1795" spans="2:17" x14ac:dyDescent="0.25">
      <c r="B1795" s="1047"/>
      <c r="C1795" s="1048">
        <v>1</v>
      </c>
      <c r="D1795" s="674"/>
      <c r="E1795" s="1049" t="s">
        <v>6</v>
      </c>
      <c r="F1795" s="786">
        <v>2801.8</v>
      </c>
      <c r="G1795" s="786">
        <v>5109</v>
      </c>
      <c r="H1795" s="786">
        <v>6109</v>
      </c>
      <c r="I1795" s="786">
        <v>5109</v>
      </c>
      <c r="J1795" s="786">
        <v>5109</v>
      </c>
      <c r="K1795" s="659" t="s">
        <v>36</v>
      </c>
      <c r="L1795" s="660" t="s">
        <v>37</v>
      </c>
      <c r="M1795" s="660"/>
      <c r="N1795" s="660">
        <v>100</v>
      </c>
      <c r="O1795" s="660">
        <v>100</v>
      </c>
      <c r="P1795" s="660">
        <v>100</v>
      </c>
      <c r="Q1795" s="660">
        <v>100</v>
      </c>
    </row>
    <row r="1796" spans="2:17" ht="30" x14ac:dyDescent="0.25">
      <c r="B1796" s="1047"/>
      <c r="C1796" s="675">
        <v>2</v>
      </c>
      <c r="D1796" s="674"/>
      <c r="E1796" s="493" t="s">
        <v>8</v>
      </c>
      <c r="F1796" s="786">
        <v>1773</v>
      </c>
      <c r="G1796" s="786">
        <v>2000</v>
      </c>
      <c r="H1796" s="786">
        <v>2000</v>
      </c>
      <c r="I1796" s="786">
        <v>2000</v>
      </c>
      <c r="J1796" s="786">
        <v>2000</v>
      </c>
      <c r="K1796" s="659" t="s">
        <v>38</v>
      </c>
      <c r="L1796" s="660" t="s">
        <v>35</v>
      </c>
      <c r="M1796" s="660">
        <v>100</v>
      </c>
      <c r="N1796" s="660">
        <v>100</v>
      </c>
      <c r="O1796" s="660">
        <v>100</v>
      </c>
      <c r="P1796" s="660">
        <v>100</v>
      </c>
      <c r="Q1796" s="660">
        <v>100</v>
      </c>
    </row>
    <row r="1797" spans="2:17" ht="45" x14ac:dyDescent="0.25">
      <c r="B1797" s="1827"/>
      <c r="C1797" s="1829">
        <v>3</v>
      </c>
      <c r="D1797" s="1831"/>
      <c r="E1797" s="694" t="s">
        <v>10</v>
      </c>
      <c r="F1797" s="753">
        <v>2594</v>
      </c>
      <c r="G1797" s="753">
        <v>2726.6</v>
      </c>
      <c r="H1797" s="753">
        <v>2726.6</v>
      </c>
      <c r="I1797" s="753">
        <v>2726.6</v>
      </c>
      <c r="J1797" s="753">
        <v>2726.6</v>
      </c>
      <c r="K1797" s="774" t="s">
        <v>2531</v>
      </c>
      <c r="L1797" s="660" t="s">
        <v>35</v>
      </c>
      <c r="M1797" s="660">
        <v>74.400000000000006</v>
      </c>
      <c r="N1797" s="660">
        <v>75</v>
      </c>
      <c r="O1797" s="660">
        <v>75</v>
      </c>
      <c r="P1797" s="660">
        <v>75</v>
      </c>
      <c r="Q1797" s="660">
        <v>75</v>
      </c>
    </row>
    <row r="1798" spans="2:17" ht="45" x14ac:dyDescent="0.25">
      <c r="B1798" s="1828"/>
      <c r="C1798" s="1830"/>
      <c r="D1798" s="1832"/>
      <c r="E1798" s="1420"/>
      <c r="F1798" s="754"/>
      <c r="G1798" s="754"/>
      <c r="H1798" s="754"/>
      <c r="I1798" s="754"/>
      <c r="J1798" s="754"/>
      <c r="K1798" s="774" t="s">
        <v>1113</v>
      </c>
      <c r="L1798" s="660" t="s">
        <v>35</v>
      </c>
      <c r="M1798" s="660">
        <v>4.5</v>
      </c>
      <c r="N1798" s="660">
        <v>5</v>
      </c>
      <c r="O1798" s="660">
        <v>5</v>
      </c>
      <c r="P1798" s="660">
        <v>5</v>
      </c>
      <c r="Q1798" s="660">
        <v>5</v>
      </c>
    </row>
    <row r="1799" spans="2:17" x14ac:dyDescent="0.25">
      <c r="B1799" s="1827"/>
      <c r="C1799" s="1829">
        <v>4</v>
      </c>
      <c r="D1799" s="1833"/>
      <c r="E1799" s="1835" t="s">
        <v>12</v>
      </c>
      <c r="F1799" s="1823">
        <v>2079</v>
      </c>
      <c r="G1799" s="1823">
        <v>2250</v>
      </c>
      <c r="H1799" s="1823">
        <v>2250</v>
      </c>
      <c r="I1799" s="1823">
        <v>2250</v>
      </c>
      <c r="J1799" s="1837">
        <v>2250</v>
      </c>
      <c r="K1799" s="1838" t="s">
        <v>2532</v>
      </c>
      <c r="L1799" s="1840" t="s">
        <v>40</v>
      </c>
      <c r="M1799" s="1840">
        <v>1267</v>
      </c>
      <c r="N1799" s="1840">
        <v>1270</v>
      </c>
      <c r="O1799" s="1840">
        <v>1270</v>
      </c>
      <c r="P1799" s="1840">
        <v>1270</v>
      </c>
      <c r="Q1799" s="1840">
        <v>1270</v>
      </c>
    </row>
    <row r="1800" spans="2:17" x14ac:dyDescent="0.25">
      <c r="B1800" s="1828"/>
      <c r="C1800" s="1830"/>
      <c r="D1800" s="1834"/>
      <c r="E1800" s="1836"/>
      <c r="F1800" s="1824"/>
      <c r="G1800" s="1824"/>
      <c r="H1800" s="1824"/>
      <c r="I1800" s="1824"/>
      <c r="J1800" s="1837"/>
      <c r="K1800" s="1839"/>
      <c r="L1800" s="1841"/>
      <c r="M1800" s="1841"/>
      <c r="N1800" s="1841"/>
      <c r="O1800" s="1841"/>
      <c r="P1800" s="1841"/>
      <c r="Q1800" s="1841"/>
    </row>
    <row r="1801" spans="2:17" ht="30" x14ac:dyDescent="0.25">
      <c r="B1801" s="1047"/>
      <c r="C1801" s="675">
        <v>5</v>
      </c>
      <c r="D1801" s="674"/>
      <c r="E1801" s="1421" t="s">
        <v>13</v>
      </c>
      <c r="F1801" s="786">
        <v>349</v>
      </c>
      <c r="G1801" s="786">
        <v>449</v>
      </c>
      <c r="H1801" s="786">
        <v>449</v>
      </c>
      <c r="I1801" s="786">
        <v>449</v>
      </c>
      <c r="J1801" s="786">
        <v>449</v>
      </c>
      <c r="K1801" s="659" t="s">
        <v>2533</v>
      </c>
      <c r="L1801" s="660" t="s">
        <v>40</v>
      </c>
      <c r="M1801" s="660">
        <v>55</v>
      </c>
      <c r="N1801" s="511">
        <v>60</v>
      </c>
      <c r="O1801" s="660">
        <v>60</v>
      </c>
      <c r="P1801" s="660">
        <v>60</v>
      </c>
      <c r="Q1801" s="660">
        <v>60</v>
      </c>
    </row>
    <row r="1802" spans="2:17" ht="30" x14ac:dyDescent="0.25">
      <c r="B1802" s="1047"/>
      <c r="C1802" s="676">
        <v>7</v>
      </c>
      <c r="D1802" s="674"/>
      <c r="E1802" s="693" t="s">
        <v>464</v>
      </c>
      <c r="F1802" s="786">
        <v>486</v>
      </c>
      <c r="G1802" s="786">
        <v>490</v>
      </c>
      <c r="H1802" s="786">
        <v>490</v>
      </c>
      <c r="I1802" s="786">
        <v>490</v>
      </c>
      <c r="J1802" s="786">
        <v>490</v>
      </c>
      <c r="K1802" s="659" t="s">
        <v>2534</v>
      </c>
      <c r="L1802" s="660" t="s">
        <v>35</v>
      </c>
      <c r="M1802" s="660">
        <v>100</v>
      </c>
      <c r="N1802" s="660">
        <v>100</v>
      </c>
      <c r="O1802" s="660">
        <v>100</v>
      </c>
      <c r="P1802" s="660">
        <v>100</v>
      </c>
      <c r="Q1802" s="660">
        <v>100</v>
      </c>
    </row>
    <row r="1803" spans="2:17" ht="45" x14ac:dyDescent="0.25">
      <c r="B1803" s="1047"/>
      <c r="C1803" s="1048">
        <v>6</v>
      </c>
      <c r="D1803" s="1393"/>
      <c r="E1803" s="693" t="s">
        <v>14</v>
      </c>
      <c r="F1803" s="786">
        <v>2629.1</v>
      </c>
      <c r="G1803" s="786">
        <v>2699.1</v>
      </c>
      <c r="H1803" s="786">
        <v>5099.1000000000004</v>
      </c>
      <c r="I1803" s="786">
        <v>3308.2</v>
      </c>
      <c r="J1803" s="786">
        <v>3308.2</v>
      </c>
      <c r="K1803" s="659" t="s">
        <v>41</v>
      </c>
      <c r="L1803" s="660" t="s">
        <v>35</v>
      </c>
      <c r="M1803" s="660">
        <v>20</v>
      </c>
      <c r="N1803" s="660">
        <v>20</v>
      </c>
      <c r="O1803" s="660">
        <v>20</v>
      </c>
      <c r="P1803" s="660">
        <v>20</v>
      </c>
      <c r="Q1803" s="660">
        <v>20</v>
      </c>
    </row>
    <row r="1804" spans="2:17" ht="44.25" x14ac:dyDescent="0.25">
      <c r="B1804" s="971" t="s">
        <v>467</v>
      </c>
      <c r="C1804" s="1050"/>
      <c r="D1804" s="1050"/>
      <c r="E1804" s="849" t="s">
        <v>2535</v>
      </c>
      <c r="F1804" s="672">
        <f>SUM(F1805:F1813)</f>
        <v>61065.1</v>
      </c>
      <c r="G1804" s="672">
        <f>SUM(G1805:G1813)</f>
        <v>75615.600000000006</v>
      </c>
      <c r="H1804" s="672">
        <f>SUM(H1805:H1813)</f>
        <v>82173.600000000006</v>
      </c>
      <c r="I1804" s="672">
        <f>SUM(I1805:I1813)</f>
        <v>75111.199999999997</v>
      </c>
      <c r="J1804" s="672">
        <f>SUM(J1805:J1813)</f>
        <v>75354.899999999994</v>
      </c>
      <c r="K1804" s="693"/>
      <c r="L1804" s="693"/>
      <c r="M1804" s="693"/>
      <c r="N1804" s="452"/>
      <c r="O1804" s="452"/>
      <c r="P1804" s="452"/>
      <c r="Q1804" s="452"/>
    </row>
    <row r="1805" spans="2:17" ht="75" x14ac:dyDescent="0.25">
      <c r="B1805" s="405"/>
      <c r="C1805" s="661" t="s">
        <v>5</v>
      </c>
      <c r="D1805" s="681"/>
      <c r="E1805" s="817" t="s">
        <v>2536</v>
      </c>
      <c r="F1805" s="786">
        <v>2274</v>
      </c>
      <c r="G1805" s="786">
        <v>2500</v>
      </c>
      <c r="H1805" s="786">
        <v>2500</v>
      </c>
      <c r="I1805" s="786">
        <v>2500</v>
      </c>
      <c r="J1805" s="786">
        <v>2500</v>
      </c>
      <c r="K1805" s="35" t="s">
        <v>2537</v>
      </c>
      <c r="L1805" s="660" t="s">
        <v>116</v>
      </c>
      <c r="M1805" s="1422" t="s">
        <v>2538</v>
      </c>
      <c r="N1805" s="1422" t="s">
        <v>2539</v>
      </c>
      <c r="O1805" s="1422" t="s">
        <v>2540</v>
      </c>
      <c r="P1805" s="1422" t="s">
        <v>2540</v>
      </c>
      <c r="Q1805" s="1422" t="s">
        <v>2540</v>
      </c>
    </row>
    <row r="1806" spans="2:17" ht="75" x14ac:dyDescent="0.25">
      <c r="B1806" s="677"/>
      <c r="C1806" s="756" t="s">
        <v>7</v>
      </c>
      <c r="D1806" s="1050"/>
      <c r="E1806" s="817" t="s">
        <v>2541</v>
      </c>
      <c r="F1806" s="753">
        <v>2563</v>
      </c>
      <c r="G1806" s="786">
        <v>2800</v>
      </c>
      <c r="H1806" s="786">
        <v>2800</v>
      </c>
      <c r="I1806" s="786">
        <v>2221.5</v>
      </c>
      <c r="J1806" s="786">
        <v>2221.5</v>
      </c>
      <c r="K1806" s="817" t="s">
        <v>2542</v>
      </c>
      <c r="L1806" s="1355" t="s">
        <v>40</v>
      </c>
      <c r="M1806" s="1423" t="s">
        <v>2543</v>
      </c>
      <c r="N1806" s="693" t="s">
        <v>2544</v>
      </c>
      <c r="O1806" s="693" t="s">
        <v>2545</v>
      </c>
      <c r="P1806" s="693" t="s">
        <v>2546</v>
      </c>
      <c r="Q1806" s="693" t="s">
        <v>2546</v>
      </c>
    </row>
    <row r="1807" spans="2:17" ht="75" x14ac:dyDescent="0.25">
      <c r="B1807" s="677"/>
      <c r="C1807" s="756" t="s">
        <v>9</v>
      </c>
      <c r="D1807" s="1050"/>
      <c r="E1807" s="817" t="s">
        <v>2547</v>
      </c>
      <c r="F1807" s="753">
        <v>7484</v>
      </c>
      <c r="G1807" s="786">
        <v>19484</v>
      </c>
      <c r="H1807" s="786">
        <v>19334</v>
      </c>
      <c r="I1807" s="786">
        <v>19484</v>
      </c>
      <c r="J1807" s="786">
        <v>19484</v>
      </c>
      <c r="K1807" s="817" t="s">
        <v>2548</v>
      </c>
      <c r="L1807" s="693" t="s">
        <v>40</v>
      </c>
      <c r="M1807" s="660" t="s">
        <v>2549</v>
      </c>
      <c r="N1807" s="660" t="s">
        <v>2549</v>
      </c>
      <c r="O1807" s="660" t="s">
        <v>2549</v>
      </c>
      <c r="P1807" s="660" t="s">
        <v>2549</v>
      </c>
      <c r="Q1807" s="660" t="s">
        <v>2549</v>
      </c>
    </row>
    <row r="1808" spans="2:17" ht="60" x14ac:dyDescent="0.25">
      <c r="B1808" s="677"/>
      <c r="C1808" s="756" t="s">
        <v>11</v>
      </c>
      <c r="D1808" s="1050"/>
      <c r="E1808" s="817" t="s">
        <v>2550</v>
      </c>
      <c r="F1808" s="759">
        <v>1450</v>
      </c>
      <c r="G1808" s="761">
        <v>1836.8</v>
      </c>
      <c r="H1808" s="761">
        <v>1836.8</v>
      </c>
      <c r="I1808" s="761">
        <v>1836.8</v>
      </c>
      <c r="J1808" s="761">
        <v>1836.8</v>
      </c>
      <c r="K1808" s="1424" t="s">
        <v>2551</v>
      </c>
      <c r="L1808" s="693" t="s">
        <v>40</v>
      </c>
      <c r="M1808" s="513" t="s">
        <v>2552</v>
      </c>
      <c r="N1808" s="1425" t="s">
        <v>2553</v>
      </c>
      <c r="O1808" s="1425" t="s">
        <v>2553</v>
      </c>
      <c r="P1808" s="1425" t="s">
        <v>2553</v>
      </c>
      <c r="Q1808" s="1425" t="s">
        <v>2553</v>
      </c>
    </row>
    <row r="1809" spans="2:17" ht="45" x14ac:dyDescent="0.25">
      <c r="B1809" s="677"/>
      <c r="C1809" s="756" t="s">
        <v>127</v>
      </c>
      <c r="D1809" s="1050"/>
      <c r="E1809" s="1344" t="s">
        <v>2554</v>
      </c>
      <c r="F1809" s="753">
        <v>2847</v>
      </c>
      <c r="G1809" s="786">
        <v>3011</v>
      </c>
      <c r="H1809" s="786">
        <v>3011</v>
      </c>
      <c r="I1809" s="786">
        <v>1435.1</v>
      </c>
      <c r="J1809" s="786">
        <v>1330.8</v>
      </c>
      <c r="K1809" s="918" t="s">
        <v>2555</v>
      </c>
      <c r="L1809" s="678" t="s">
        <v>40</v>
      </c>
      <c r="M1809" s="1426">
        <v>2</v>
      </c>
      <c r="N1809" s="695">
        <v>4</v>
      </c>
      <c r="O1809" s="695">
        <v>4</v>
      </c>
      <c r="P1809" s="695">
        <v>4</v>
      </c>
      <c r="Q1809" s="695">
        <v>4</v>
      </c>
    </row>
    <row r="1810" spans="2:17" ht="45" x14ac:dyDescent="0.25">
      <c r="B1810" s="1803"/>
      <c r="C1810" s="1805" t="s">
        <v>129</v>
      </c>
      <c r="D1810" s="1805"/>
      <c r="E1810" s="1821" t="s">
        <v>2556</v>
      </c>
      <c r="F1810" s="1823">
        <v>30136.5</v>
      </c>
      <c r="G1810" s="1823">
        <v>27225</v>
      </c>
      <c r="H1810" s="1823">
        <v>29975</v>
      </c>
      <c r="I1810" s="1823">
        <v>27375</v>
      </c>
      <c r="J1810" s="1823">
        <v>27375</v>
      </c>
      <c r="K1810" s="817" t="s">
        <v>2557</v>
      </c>
      <c r="L1810" s="678" t="s">
        <v>40</v>
      </c>
      <c r="M1810" s="404" t="s">
        <v>2558</v>
      </c>
      <c r="N1810" s="404" t="s">
        <v>2559</v>
      </c>
      <c r="O1810" s="404" t="s">
        <v>2559</v>
      </c>
      <c r="P1810" s="404" t="s">
        <v>2559</v>
      </c>
      <c r="Q1810" s="404" t="s">
        <v>2559</v>
      </c>
    </row>
    <row r="1811" spans="2:17" ht="30" x14ac:dyDescent="0.25">
      <c r="B1811" s="1804"/>
      <c r="C1811" s="1806"/>
      <c r="D1811" s="1806"/>
      <c r="E1811" s="1822"/>
      <c r="F1811" s="1824"/>
      <c r="G1811" s="1824"/>
      <c r="H1811" s="1824"/>
      <c r="I1811" s="1824"/>
      <c r="J1811" s="1824"/>
      <c r="K1811" s="817" t="s">
        <v>2560</v>
      </c>
      <c r="L1811" s="678" t="s">
        <v>2561</v>
      </c>
      <c r="M1811" s="1426">
        <v>62.3</v>
      </c>
      <c r="N1811" s="404">
        <v>60</v>
      </c>
      <c r="O1811" s="404">
        <v>60</v>
      </c>
      <c r="P1811" s="404">
        <v>60</v>
      </c>
      <c r="Q1811" s="404">
        <v>60</v>
      </c>
    </row>
    <row r="1812" spans="2:17" ht="45" x14ac:dyDescent="0.25">
      <c r="B1812" s="1803"/>
      <c r="C1812" s="1805" t="s">
        <v>131</v>
      </c>
      <c r="D1812" s="1805"/>
      <c r="E1812" s="1807" t="s">
        <v>2562</v>
      </c>
      <c r="F1812" s="755">
        <v>14310.6</v>
      </c>
      <c r="G1812" s="755">
        <v>18758.8</v>
      </c>
      <c r="H1812" s="755">
        <v>22716.799999999999</v>
      </c>
      <c r="I1812" s="755">
        <v>20258.8</v>
      </c>
      <c r="J1812" s="755">
        <v>20606.8</v>
      </c>
      <c r="K1812" s="659" t="s">
        <v>2563</v>
      </c>
      <c r="L1812" s="693" t="s">
        <v>116</v>
      </c>
      <c r="M1812" s="1427">
        <v>44694</v>
      </c>
      <c r="N1812" s="1428">
        <v>45000</v>
      </c>
      <c r="O1812" s="1429">
        <v>45000</v>
      </c>
      <c r="P1812" s="1429">
        <v>45000</v>
      </c>
      <c r="Q1812" s="1429">
        <v>45000</v>
      </c>
    </row>
    <row r="1813" spans="2:17" x14ac:dyDescent="0.25">
      <c r="B1813" s="1804"/>
      <c r="C1813" s="1806"/>
      <c r="D1813" s="1806"/>
      <c r="E1813" s="1808"/>
      <c r="F1813" s="755"/>
      <c r="G1813" s="755"/>
      <c r="H1813" s="755"/>
      <c r="I1813" s="755"/>
      <c r="J1813" s="755"/>
      <c r="K1813" s="763" t="s">
        <v>2564</v>
      </c>
      <c r="L1813" s="1430" t="s">
        <v>35</v>
      </c>
      <c r="M1813" s="1431">
        <v>100</v>
      </c>
      <c r="N1813" s="1432">
        <v>100</v>
      </c>
      <c r="O1813" s="1433">
        <v>100</v>
      </c>
      <c r="P1813" s="1433">
        <v>100</v>
      </c>
      <c r="Q1813" s="1433">
        <v>100</v>
      </c>
    </row>
    <row r="1814" spans="2:17" x14ac:dyDescent="0.25">
      <c r="B1814" s="1809" t="s">
        <v>85</v>
      </c>
      <c r="C1814" s="1810"/>
      <c r="D1814" s="1810"/>
      <c r="E1814" s="1810"/>
      <c r="F1814" s="322">
        <f>SUM(F1794+F1804)</f>
        <v>73777</v>
      </c>
      <c r="G1814" s="322">
        <f>SUM(G1794+G1804)</f>
        <v>91339.3</v>
      </c>
      <c r="H1814" s="322">
        <f>SUM(H1794+H1804)</f>
        <v>101297.3</v>
      </c>
      <c r="I1814" s="322">
        <f>SUM(I1794+I1804)</f>
        <v>91444</v>
      </c>
      <c r="J1814" s="322">
        <f>SUM(J1794+J1804)</f>
        <v>91687.7</v>
      </c>
      <c r="K1814" s="1434"/>
      <c r="L1814" s="693"/>
      <c r="M1814" s="1435"/>
      <c r="N1814" s="398"/>
      <c r="O1814" s="1436"/>
      <c r="P1814" s="1436"/>
      <c r="Q1814" s="1436"/>
    </row>
    <row r="1815" spans="2:17" x14ac:dyDescent="0.25">
      <c r="B1815" s="1712" t="s">
        <v>2565</v>
      </c>
      <c r="C1815" s="1712"/>
      <c r="D1815" s="1712"/>
      <c r="E1815" s="1712"/>
      <c r="F1815" s="1712"/>
      <c r="G1815" s="1712"/>
      <c r="H1815" s="1712"/>
      <c r="I1815" s="1712"/>
      <c r="J1815" s="1712"/>
      <c r="K1815" s="1712"/>
      <c r="L1815" s="1712"/>
      <c r="M1815" s="1712"/>
      <c r="N1815" s="1712"/>
      <c r="O1815" s="1712"/>
      <c r="P1815" s="1712"/>
      <c r="Q1815" s="1712"/>
    </row>
    <row r="1816" spans="2:17" ht="73.5" x14ac:dyDescent="0.25">
      <c r="B1816" s="1437">
        <v>1</v>
      </c>
      <c r="C1816" s="1438"/>
      <c r="D1816" s="1439"/>
      <c r="E1816" s="1440" t="s">
        <v>1620</v>
      </c>
      <c r="F1816" s="1441">
        <v>23857.7</v>
      </c>
      <c r="G1816" s="1441">
        <v>25998.300000000003</v>
      </c>
      <c r="H1816" s="1441">
        <v>15232.600000000002</v>
      </c>
      <c r="I1816" s="1441">
        <v>20376.2</v>
      </c>
      <c r="J1816" s="1441">
        <v>20621.2</v>
      </c>
      <c r="K1816" s="1442" t="s">
        <v>34</v>
      </c>
      <c r="L1816" s="1443" t="s">
        <v>35</v>
      </c>
      <c r="M1816" s="1444">
        <v>34.4</v>
      </c>
      <c r="N1816" s="1443">
        <v>34.4</v>
      </c>
      <c r="O1816" s="1443">
        <v>34.4</v>
      </c>
      <c r="P1816" s="1443">
        <v>34.4</v>
      </c>
      <c r="Q1816" s="1443">
        <v>34.4</v>
      </c>
    </row>
    <row r="1817" spans="2:17" ht="45" x14ac:dyDescent="0.25">
      <c r="B1817" s="1811"/>
      <c r="C1817" s="1813">
        <v>1</v>
      </c>
      <c r="D1817" s="1815"/>
      <c r="E1817" s="1817" t="s">
        <v>2566</v>
      </c>
      <c r="F1817" s="1819">
        <v>23857.7</v>
      </c>
      <c r="G1817" s="1819">
        <v>25998.300000000003</v>
      </c>
      <c r="H1817" s="1819">
        <v>15232.600000000002</v>
      </c>
      <c r="I1817" s="1819">
        <v>20376.2</v>
      </c>
      <c r="J1817" s="1819">
        <v>20621.2</v>
      </c>
      <c r="K1817" s="1445" t="s">
        <v>2567</v>
      </c>
      <c r="L1817" s="1446" t="s">
        <v>35</v>
      </c>
      <c r="M1817" s="1447">
        <v>100</v>
      </c>
      <c r="N1817" s="1447">
        <v>100</v>
      </c>
      <c r="O1817" s="1447">
        <v>100</v>
      </c>
      <c r="P1817" s="1447">
        <v>100</v>
      </c>
      <c r="Q1817" s="1447">
        <v>100</v>
      </c>
    </row>
    <row r="1818" spans="2:17" ht="30" x14ac:dyDescent="0.25">
      <c r="B1818" s="1812"/>
      <c r="C1818" s="1814"/>
      <c r="D1818" s="1816"/>
      <c r="E1818" s="1818"/>
      <c r="F1818" s="1820"/>
      <c r="G1818" s="1820"/>
      <c r="H1818" s="1820"/>
      <c r="I1818" s="1820"/>
      <c r="J1818" s="1820"/>
      <c r="K1818" s="1445" t="s">
        <v>2568</v>
      </c>
      <c r="L1818" s="1446" t="s">
        <v>35</v>
      </c>
      <c r="M1818" s="1447">
        <v>20</v>
      </c>
      <c r="N1818" s="1447">
        <v>25</v>
      </c>
      <c r="O1818" s="1447">
        <v>30</v>
      </c>
      <c r="P1818" s="1447">
        <v>35</v>
      </c>
      <c r="Q1818" s="1447">
        <v>35</v>
      </c>
    </row>
    <row r="1819" spans="2:17" ht="88.5" x14ac:dyDescent="0.25">
      <c r="B1819" s="1448">
        <v>2</v>
      </c>
      <c r="C1819" s="1449"/>
      <c r="D1819" s="1449"/>
      <c r="E1819" s="1450" t="s">
        <v>2569</v>
      </c>
      <c r="F1819" s="1451">
        <f>SUM(F1820:F1822)</f>
        <v>210484.30000000002</v>
      </c>
      <c r="G1819" s="1451">
        <f>SUM(G1820:G1822)</f>
        <v>437028.7</v>
      </c>
      <c r="H1819" s="1451">
        <f>SUM(H1820:H1822)</f>
        <v>647984.19999999995</v>
      </c>
      <c r="I1819" s="1451">
        <f>SUM(I1820:I1822)</f>
        <v>402635.30000000005</v>
      </c>
      <c r="J1819" s="1451">
        <f>SUM(J1820:J1822)</f>
        <v>402373.7</v>
      </c>
      <c r="K1819" s="1450" t="s">
        <v>2570</v>
      </c>
      <c r="L1819" s="1452" t="s">
        <v>677</v>
      </c>
      <c r="M1819" s="1453">
        <v>90</v>
      </c>
      <c r="N1819" s="1453">
        <v>90</v>
      </c>
      <c r="O1819" s="1453">
        <v>90</v>
      </c>
      <c r="P1819" s="1453">
        <v>90</v>
      </c>
      <c r="Q1819" s="1453">
        <v>90</v>
      </c>
    </row>
    <row r="1820" spans="2:17" ht="30" x14ac:dyDescent="0.25">
      <c r="B1820" s="1454"/>
      <c r="C1820" s="1455">
        <v>1</v>
      </c>
      <c r="D1820" s="1456"/>
      <c r="E1820" s="1457" t="s">
        <v>2571</v>
      </c>
      <c r="F1820" s="1458">
        <v>176560.9</v>
      </c>
      <c r="G1820" s="1458">
        <v>215505.3</v>
      </c>
      <c r="H1820" s="1458">
        <v>247808.2</v>
      </c>
      <c r="I1820" s="1458">
        <v>341017.30000000005</v>
      </c>
      <c r="J1820" s="1458">
        <v>345101.2</v>
      </c>
      <c r="K1820" s="1445" t="s">
        <v>2572</v>
      </c>
      <c r="L1820" s="1452" t="s">
        <v>2573</v>
      </c>
      <c r="M1820" s="1459">
        <v>662.3</v>
      </c>
      <c r="N1820" s="1459">
        <v>662.3</v>
      </c>
      <c r="O1820" s="1459">
        <v>662.3</v>
      </c>
      <c r="P1820" s="1459">
        <v>662.3</v>
      </c>
      <c r="Q1820" s="1459">
        <v>662.3</v>
      </c>
    </row>
    <row r="1821" spans="2:17" ht="30" x14ac:dyDescent="0.25">
      <c r="B1821" s="1448"/>
      <c r="C1821" s="1460">
        <v>2</v>
      </c>
      <c r="D1821" s="1449"/>
      <c r="E1821" s="1461" t="s">
        <v>2574</v>
      </c>
      <c r="F1821" s="1462">
        <v>10398.700000000001</v>
      </c>
      <c r="G1821" s="1462">
        <v>197998.7</v>
      </c>
      <c r="H1821" s="1458">
        <v>357381.80000000005</v>
      </c>
      <c r="I1821" s="1458">
        <v>12212.2</v>
      </c>
      <c r="J1821" s="1458">
        <v>6516.7</v>
      </c>
      <c r="K1821" s="1445" t="s">
        <v>2575</v>
      </c>
      <c r="L1821" s="1452" t="s">
        <v>2573</v>
      </c>
      <c r="M1821" s="1459">
        <v>6000</v>
      </c>
      <c r="N1821" s="1459">
        <v>6000</v>
      </c>
      <c r="O1821" s="1459">
        <v>6200</v>
      </c>
      <c r="P1821" s="1459">
        <v>6300</v>
      </c>
      <c r="Q1821" s="1459">
        <v>6360</v>
      </c>
    </row>
    <row r="1822" spans="2:17" ht="105" x14ac:dyDescent="0.25">
      <c r="B1822" s="1454"/>
      <c r="C1822" s="1463">
        <v>3</v>
      </c>
      <c r="D1822" s="1464"/>
      <c r="E1822" s="1465" t="s">
        <v>2576</v>
      </c>
      <c r="F1822" s="1466">
        <v>23524.7</v>
      </c>
      <c r="G1822" s="1467">
        <v>23524.7</v>
      </c>
      <c r="H1822" s="1458">
        <v>42794.200000000004</v>
      </c>
      <c r="I1822" s="1458">
        <v>49405.8</v>
      </c>
      <c r="J1822" s="1458">
        <v>50755.8</v>
      </c>
      <c r="K1822" s="1468" t="s">
        <v>2577</v>
      </c>
      <c r="L1822" s="1446" t="s">
        <v>40</v>
      </c>
      <c r="M1822" s="1447">
        <v>880.4</v>
      </c>
      <c r="N1822" s="1447">
        <v>895.2</v>
      </c>
      <c r="O1822" s="1447">
        <v>900</v>
      </c>
      <c r="P1822" s="1447">
        <v>950.1</v>
      </c>
      <c r="Q1822" s="1447">
        <v>981.4</v>
      </c>
    </row>
    <row r="1823" spans="2:17" ht="73.5" x14ac:dyDescent="0.25">
      <c r="B1823" s="1448">
        <v>3</v>
      </c>
      <c r="C1823" s="1449"/>
      <c r="D1823" s="1449"/>
      <c r="E1823" s="1469" t="s">
        <v>2578</v>
      </c>
      <c r="F1823" s="1470">
        <f>SUM(F1824)</f>
        <v>26940.7</v>
      </c>
      <c r="G1823" s="1470">
        <f>SUM(G1824)</f>
        <v>32538</v>
      </c>
      <c r="H1823" s="1470">
        <f>SUM(H1824)</f>
        <v>58728</v>
      </c>
      <c r="I1823" s="1470">
        <f>SUM(I1824)</f>
        <v>61583.899999999994</v>
      </c>
      <c r="J1823" s="1470">
        <f>SUM(J1824)</f>
        <v>62302.6</v>
      </c>
      <c r="K1823" s="1471" t="s">
        <v>2579</v>
      </c>
      <c r="L1823" s="1472"/>
      <c r="M1823" s="1449"/>
      <c r="N1823" s="1449"/>
      <c r="O1823" s="1449"/>
      <c r="P1823" s="1449"/>
      <c r="Q1823" s="1449"/>
    </row>
    <row r="1824" spans="2:17" ht="210" x14ac:dyDescent="0.25">
      <c r="B1824" s="1795"/>
      <c r="C1824" s="1786">
        <v>1</v>
      </c>
      <c r="D1824" s="1797"/>
      <c r="E1824" s="1799" t="s">
        <v>2580</v>
      </c>
      <c r="F1824" s="1801">
        <v>26940.7</v>
      </c>
      <c r="G1824" s="1801">
        <v>32538</v>
      </c>
      <c r="H1824" s="1801">
        <v>58728</v>
      </c>
      <c r="I1824" s="1801">
        <v>61583.899999999994</v>
      </c>
      <c r="J1824" s="1801">
        <v>62302.6</v>
      </c>
      <c r="K1824" s="1445" t="s">
        <v>2581</v>
      </c>
      <c r="L1824" s="1452" t="s">
        <v>2582</v>
      </c>
      <c r="M1824" s="1473">
        <v>1191.3999999999999</v>
      </c>
      <c r="N1824" s="1473">
        <v>1192.8</v>
      </c>
      <c r="O1824" s="1473">
        <v>1198.8</v>
      </c>
      <c r="P1824" s="1473">
        <v>1194.9999999999998</v>
      </c>
      <c r="Q1824" s="1473">
        <v>1194.9999999999998</v>
      </c>
    </row>
    <row r="1825" spans="2:17" ht="75" x14ac:dyDescent="0.25">
      <c r="B1825" s="1796"/>
      <c r="C1825" s="1787"/>
      <c r="D1825" s="1798"/>
      <c r="E1825" s="1800"/>
      <c r="F1825" s="1802"/>
      <c r="G1825" s="1802"/>
      <c r="H1825" s="1802"/>
      <c r="I1825" s="1802"/>
      <c r="J1825" s="1802"/>
      <c r="K1825" s="1445" t="s">
        <v>2583</v>
      </c>
      <c r="L1825" s="1452" t="s">
        <v>35</v>
      </c>
      <c r="M1825" s="1474">
        <v>100</v>
      </c>
      <c r="N1825" s="1474">
        <v>100</v>
      </c>
      <c r="O1825" s="1474">
        <v>100</v>
      </c>
      <c r="P1825" s="1474">
        <v>100</v>
      </c>
      <c r="Q1825" s="1474">
        <v>100</v>
      </c>
    </row>
    <row r="1826" spans="2:17" ht="73.5" x14ac:dyDescent="0.25">
      <c r="B1826" s="1475">
        <v>4</v>
      </c>
      <c r="C1826" s="1476"/>
      <c r="D1826" s="1477"/>
      <c r="E1826" s="1445" t="s">
        <v>2584</v>
      </c>
      <c r="F1826" s="1478">
        <f>SUM(F1827:F1828)</f>
        <v>4338.3999999999996</v>
      </c>
      <c r="G1826" s="1478">
        <f>SUM(G1827:G1828)</f>
        <v>4338.3999999999996</v>
      </c>
      <c r="H1826" s="1478">
        <f>SUM(H1827:H1828)</f>
        <v>6852.1</v>
      </c>
      <c r="I1826" s="1478">
        <f>SUM(I1827:I1828)</f>
        <v>7550.1</v>
      </c>
      <c r="J1826" s="1478">
        <f>SUM(J1827:J1828)</f>
        <v>7756.6</v>
      </c>
      <c r="K1826" s="1479" t="s">
        <v>2585</v>
      </c>
      <c r="L1826" s="1480" t="s">
        <v>35</v>
      </c>
      <c r="M1826" s="1481"/>
      <c r="N1826" s="1481"/>
      <c r="O1826" s="1481"/>
      <c r="P1826" s="1481"/>
      <c r="Q1826" s="1481"/>
    </row>
    <row r="1827" spans="2:17" ht="60" x14ac:dyDescent="0.25">
      <c r="B1827" s="1475"/>
      <c r="C1827" s="1482">
        <v>1</v>
      </c>
      <c r="D1827" s="1483"/>
      <c r="E1827" s="1484" t="s">
        <v>2586</v>
      </c>
      <c r="F1827" s="1467">
        <v>3096.8</v>
      </c>
      <c r="G1827" s="1467">
        <v>3096.7999999999997</v>
      </c>
      <c r="H1827" s="1467">
        <v>5610.5</v>
      </c>
      <c r="I1827" s="1467">
        <v>6308.5</v>
      </c>
      <c r="J1827" s="1467">
        <v>6515</v>
      </c>
      <c r="K1827" s="1485" t="s">
        <v>2587</v>
      </c>
      <c r="L1827" s="1486" t="s">
        <v>35</v>
      </c>
      <c r="M1827" s="1474">
        <v>30.7</v>
      </c>
      <c r="N1827" s="1474">
        <v>30.7</v>
      </c>
      <c r="O1827" s="1474">
        <v>30.7</v>
      </c>
      <c r="P1827" s="1474">
        <v>30.7</v>
      </c>
      <c r="Q1827" s="1474">
        <v>30.7</v>
      </c>
    </row>
    <row r="1828" spans="2:17" ht="30" x14ac:dyDescent="0.25">
      <c r="B1828" s="1784"/>
      <c r="C1828" s="1786">
        <v>2</v>
      </c>
      <c r="D1828" s="1788"/>
      <c r="E1828" s="1484" t="s">
        <v>2588</v>
      </c>
      <c r="F1828" s="1467">
        <v>1241.5999999999999</v>
      </c>
      <c r="G1828" s="1487">
        <v>1241.5999999999999</v>
      </c>
      <c r="H1828" s="1467">
        <v>1241.6000000000001</v>
      </c>
      <c r="I1828" s="1488">
        <v>1241.6000000000001</v>
      </c>
      <c r="J1828" s="1467">
        <v>1241.6000000000001</v>
      </c>
      <c r="K1828" s="1489" t="s">
        <v>2589</v>
      </c>
      <c r="L1828" s="1490" t="s">
        <v>35</v>
      </c>
      <c r="M1828" s="1474">
        <v>20</v>
      </c>
      <c r="N1828" s="1474">
        <v>20</v>
      </c>
      <c r="O1828" s="1474">
        <v>20</v>
      </c>
      <c r="P1828" s="1474">
        <v>20</v>
      </c>
      <c r="Q1828" s="1474">
        <v>20</v>
      </c>
    </row>
    <row r="1829" spans="2:17" x14ac:dyDescent="0.25">
      <c r="B1829" s="1785"/>
      <c r="C1829" s="1787"/>
      <c r="D1829" s="1789"/>
      <c r="E1829" s="1491"/>
      <c r="F1829" s="1492"/>
      <c r="G1829" s="1493"/>
      <c r="H1829" s="1493"/>
      <c r="I1829" s="1494"/>
      <c r="J1829" s="1495"/>
      <c r="K1829" s="1496" t="s">
        <v>2590</v>
      </c>
      <c r="L1829" s="1486" t="s">
        <v>40</v>
      </c>
      <c r="M1829" s="1474">
        <v>4</v>
      </c>
      <c r="N1829" s="1474">
        <v>4</v>
      </c>
      <c r="O1829" s="1474">
        <v>4</v>
      </c>
      <c r="P1829" s="1474">
        <v>4</v>
      </c>
      <c r="Q1829" s="1474">
        <v>4</v>
      </c>
    </row>
    <row r="1830" spans="2:17" x14ac:dyDescent="0.25">
      <c r="B1830" s="1693" t="s">
        <v>2462</v>
      </c>
      <c r="C1830" s="1693"/>
      <c r="D1830" s="1693"/>
      <c r="E1830" s="1693"/>
      <c r="F1830" s="1497">
        <f>SUM(F1816+F1819+F1823+F1826)</f>
        <v>265621.10000000003</v>
      </c>
      <c r="G1830" s="1497">
        <f>SUM(G1816+G1819+G1823+G1826)</f>
        <v>499903.4</v>
      </c>
      <c r="H1830" s="1497">
        <f>SUM(H1816+H1819+H1823+H1826)</f>
        <v>728796.89999999991</v>
      </c>
      <c r="I1830" s="1497">
        <f>SUM(I1816+I1819+I1823+I1826)</f>
        <v>492145.5</v>
      </c>
      <c r="J1830" s="1497">
        <f>SUM(J1816+J1819+J1823+J1826)</f>
        <v>493054.1</v>
      </c>
      <c r="K1830" s="1498"/>
      <c r="L1830" s="1498"/>
      <c r="M1830" s="1498"/>
      <c r="N1830" s="1498"/>
      <c r="O1830" s="1498"/>
      <c r="P1830" s="1498"/>
      <c r="Q1830" s="1498"/>
    </row>
    <row r="1831" spans="2:17" x14ac:dyDescent="0.25">
      <c r="B1831" s="1712" t="s">
        <v>2591</v>
      </c>
      <c r="C1831" s="1712"/>
      <c r="D1831" s="1712"/>
      <c r="E1831" s="1712"/>
      <c r="F1831" s="1712"/>
      <c r="G1831" s="1712"/>
      <c r="H1831" s="1712"/>
      <c r="I1831" s="1712"/>
      <c r="J1831" s="1712"/>
      <c r="K1831" s="1712"/>
      <c r="L1831" s="1712"/>
      <c r="M1831" s="1712"/>
      <c r="N1831" s="1712"/>
      <c r="O1831" s="1712"/>
      <c r="P1831" s="1712"/>
      <c r="Q1831" s="1712"/>
    </row>
    <row r="1832" spans="2:17" ht="57" x14ac:dyDescent="0.25">
      <c r="B1832" s="1499">
        <v>1</v>
      </c>
      <c r="C1832" s="1500"/>
      <c r="D1832" s="1501"/>
      <c r="E1832" s="1502" t="s">
        <v>2592</v>
      </c>
      <c r="F1832" s="1503">
        <v>131377.29999999999</v>
      </c>
      <c r="G1832" s="1503">
        <f>SUM(G1833:G1840)</f>
        <v>58167</v>
      </c>
      <c r="H1832" s="1503">
        <f t="shared" ref="H1832:J1832" si="187">SUM(H1833:H1840)</f>
        <v>58167</v>
      </c>
      <c r="I1832" s="1503">
        <f t="shared" si="187"/>
        <v>58217.7</v>
      </c>
      <c r="J1832" s="1503">
        <f t="shared" si="187"/>
        <v>58331.199999999997</v>
      </c>
      <c r="K1832" s="1502" t="s">
        <v>34</v>
      </c>
      <c r="L1832" s="1504" t="s">
        <v>35</v>
      </c>
      <c r="M1832" s="1504"/>
      <c r="N1832" s="1504"/>
      <c r="O1832" s="1504"/>
      <c r="P1832" s="1504"/>
      <c r="Q1832" s="1505"/>
    </row>
    <row r="1833" spans="2:17" x14ac:dyDescent="0.25">
      <c r="B1833" s="1790"/>
      <c r="C1833" s="1773">
        <v>1</v>
      </c>
      <c r="D1833" s="1775"/>
      <c r="E1833" s="1777" t="s">
        <v>2593</v>
      </c>
      <c r="F1833" s="1780">
        <v>15786.6</v>
      </c>
      <c r="G1833" s="1780">
        <v>29548.9</v>
      </c>
      <c r="H1833" s="1780">
        <v>29548.9</v>
      </c>
      <c r="I1833" s="1782">
        <v>29599.599999999999</v>
      </c>
      <c r="J1833" s="1782">
        <v>29714.5</v>
      </c>
      <c r="K1833" s="1506" t="s">
        <v>36</v>
      </c>
      <c r="L1833" s="1507" t="s">
        <v>37</v>
      </c>
      <c r="M1833" s="1507">
        <v>0.63</v>
      </c>
      <c r="N1833" s="1507">
        <v>0.65</v>
      </c>
      <c r="O1833" s="1507">
        <v>0.66</v>
      </c>
      <c r="P1833" s="1508">
        <v>0.7</v>
      </c>
      <c r="Q1833" s="1509">
        <v>0.75</v>
      </c>
    </row>
    <row r="1834" spans="2:17" ht="30" x14ac:dyDescent="0.25">
      <c r="B1834" s="1790"/>
      <c r="C1834" s="1773"/>
      <c r="D1834" s="1775"/>
      <c r="E1834" s="1791"/>
      <c r="F1834" s="1781"/>
      <c r="G1834" s="1781"/>
      <c r="H1834" s="1781"/>
      <c r="I1834" s="1783"/>
      <c r="J1834" s="1783"/>
      <c r="K1834" s="1506" t="s">
        <v>38</v>
      </c>
      <c r="L1834" s="1507" t="s">
        <v>35</v>
      </c>
      <c r="M1834" s="1507">
        <v>78.400000000000006</v>
      </c>
      <c r="N1834" s="1510">
        <v>100</v>
      </c>
      <c r="O1834" s="1510">
        <v>100</v>
      </c>
      <c r="P1834" s="1511">
        <v>100</v>
      </c>
      <c r="Q1834" s="1512">
        <v>100</v>
      </c>
    </row>
    <row r="1835" spans="2:17" ht="45" x14ac:dyDescent="0.25">
      <c r="B1835" s="1790"/>
      <c r="C1835" s="1773"/>
      <c r="D1835" s="1775"/>
      <c r="E1835" s="1792"/>
      <c r="F1835" s="1793"/>
      <c r="G1835" s="1793"/>
      <c r="H1835" s="1793"/>
      <c r="I1835" s="1794"/>
      <c r="J1835" s="1794"/>
      <c r="K1835" s="1513" t="s">
        <v>2594</v>
      </c>
      <c r="L1835" s="1510" t="s">
        <v>35</v>
      </c>
      <c r="M1835" s="1510">
        <v>100</v>
      </c>
      <c r="N1835" s="1510">
        <v>100</v>
      </c>
      <c r="O1835" s="1510">
        <v>100</v>
      </c>
      <c r="P1835" s="1510">
        <v>100</v>
      </c>
      <c r="Q1835" s="1514">
        <v>100</v>
      </c>
    </row>
    <row r="1836" spans="2:17" ht="60" x14ac:dyDescent="0.25">
      <c r="B1836" s="1771"/>
      <c r="C1836" s="1773">
        <v>2</v>
      </c>
      <c r="D1836" s="1775"/>
      <c r="E1836" s="1777" t="s">
        <v>2595</v>
      </c>
      <c r="F1836" s="1779">
        <v>115590.7</v>
      </c>
      <c r="G1836" s="1780">
        <v>28618.1</v>
      </c>
      <c r="H1836" s="1780">
        <v>28618.1</v>
      </c>
      <c r="I1836" s="1780">
        <v>28618.1</v>
      </c>
      <c r="J1836" s="1782">
        <v>28616.7</v>
      </c>
      <c r="K1836" s="1515" t="s">
        <v>2596</v>
      </c>
      <c r="L1836" s="1516" t="s">
        <v>2597</v>
      </c>
      <c r="M1836" s="1517">
        <v>3022</v>
      </c>
      <c r="N1836" s="1517">
        <v>2700</v>
      </c>
      <c r="O1836" s="1517">
        <v>2800</v>
      </c>
      <c r="P1836" s="1517">
        <v>2900</v>
      </c>
      <c r="Q1836" s="1518">
        <v>2000</v>
      </c>
    </row>
    <row r="1837" spans="2:17" ht="45" x14ac:dyDescent="0.25">
      <c r="B1837" s="1772"/>
      <c r="C1837" s="1773"/>
      <c r="D1837" s="1775"/>
      <c r="E1837" s="1778"/>
      <c r="F1837" s="1779"/>
      <c r="G1837" s="1781"/>
      <c r="H1837" s="1781"/>
      <c r="I1837" s="1781"/>
      <c r="J1837" s="1783"/>
      <c r="K1837" s="1519" t="s">
        <v>2598</v>
      </c>
      <c r="L1837" s="1516" t="s">
        <v>2597</v>
      </c>
      <c r="M1837" s="1510">
        <v>375.1</v>
      </c>
      <c r="N1837" s="1520">
        <v>500</v>
      </c>
      <c r="O1837" s="1520">
        <v>515</v>
      </c>
      <c r="P1837" s="1520">
        <v>516</v>
      </c>
      <c r="Q1837" s="1521">
        <v>500</v>
      </c>
    </row>
    <row r="1838" spans="2:17" ht="30" x14ac:dyDescent="0.25">
      <c r="B1838" s="1772"/>
      <c r="C1838" s="1773"/>
      <c r="D1838" s="1775"/>
      <c r="E1838" s="1778"/>
      <c r="F1838" s="1779"/>
      <c r="G1838" s="1781"/>
      <c r="H1838" s="1781"/>
      <c r="I1838" s="1781"/>
      <c r="J1838" s="1783"/>
      <c r="K1838" s="1522" t="s">
        <v>2599</v>
      </c>
      <c r="L1838" s="1516" t="s">
        <v>2597</v>
      </c>
      <c r="M1838" s="1510">
        <v>177.6</v>
      </c>
      <c r="N1838" s="1520">
        <v>360</v>
      </c>
      <c r="O1838" s="1520">
        <v>360</v>
      </c>
      <c r="P1838" s="1520">
        <v>352</v>
      </c>
      <c r="Q1838" s="1521">
        <v>350</v>
      </c>
    </row>
    <row r="1839" spans="2:17" ht="30" x14ac:dyDescent="0.25">
      <c r="B1839" s="1772"/>
      <c r="C1839" s="1773"/>
      <c r="D1839" s="1775"/>
      <c r="E1839" s="1778"/>
      <c r="F1839" s="1779"/>
      <c r="G1839" s="1781"/>
      <c r="H1839" s="1781"/>
      <c r="I1839" s="1781"/>
      <c r="J1839" s="1783"/>
      <c r="K1839" s="1522" t="s">
        <v>2600</v>
      </c>
      <c r="L1839" s="1516" t="s">
        <v>2597</v>
      </c>
      <c r="M1839" s="1517">
        <v>167.5</v>
      </c>
      <c r="N1839" s="1520">
        <v>200</v>
      </c>
      <c r="O1839" s="1520">
        <v>200</v>
      </c>
      <c r="P1839" s="1520">
        <v>200</v>
      </c>
      <c r="Q1839" s="1521">
        <v>200</v>
      </c>
    </row>
    <row r="1840" spans="2:17" ht="45" x14ac:dyDescent="0.25">
      <c r="B1840" s="1772"/>
      <c r="C1840" s="1774"/>
      <c r="D1840" s="1776"/>
      <c r="E1840" s="1778"/>
      <c r="F1840" s="1779"/>
      <c r="G1840" s="1781"/>
      <c r="H1840" s="1781"/>
      <c r="I1840" s="1781"/>
      <c r="J1840" s="1783"/>
      <c r="K1840" s="1523" t="s">
        <v>2601</v>
      </c>
      <c r="L1840" s="1524" t="s">
        <v>35</v>
      </c>
      <c r="M1840" s="1525">
        <v>71.900000000000006</v>
      </c>
      <c r="N1840" s="1526">
        <v>75</v>
      </c>
      <c r="O1840" s="1526">
        <v>85</v>
      </c>
      <c r="P1840" s="1526">
        <v>90</v>
      </c>
      <c r="Q1840" s="1527">
        <v>100</v>
      </c>
    </row>
    <row r="1841" spans="2:17" x14ac:dyDescent="0.25">
      <c r="B1841" s="1528">
        <v>2</v>
      </c>
      <c r="C1841" s="1529"/>
      <c r="D1841" s="1530"/>
      <c r="E1841" s="1531" t="s">
        <v>260</v>
      </c>
      <c r="F1841" s="1532"/>
      <c r="G1841" s="1533">
        <v>46068</v>
      </c>
      <c r="H1841" s="1533">
        <f>H1842</f>
        <v>22560</v>
      </c>
      <c r="I1841" s="1533">
        <v>3565</v>
      </c>
      <c r="J1841" s="1533"/>
      <c r="K1841" s="1515"/>
      <c r="L1841" s="1507"/>
      <c r="M1841" s="1510"/>
      <c r="N1841" s="1520"/>
      <c r="O1841" s="1520"/>
      <c r="P1841" s="1520"/>
      <c r="Q1841" s="1520"/>
    </row>
    <row r="1842" spans="2:17" ht="30" x14ac:dyDescent="0.25">
      <c r="B1842" s="1528"/>
      <c r="C1842" s="1529">
        <v>1</v>
      </c>
      <c r="D1842" s="1530"/>
      <c r="E1842" s="1534" t="s">
        <v>261</v>
      </c>
      <c r="F1842" s="1532"/>
      <c r="G1842" s="1535">
        <v>46068</v>
      </c>
      <c r="H1842" s="1535">
        <f>8460+14100</f>
        <v>22560</v>
      </c>
      <c r="I1842" s="1535">
        <v>3565</v>
      </c>
      <c r="J1842" s="1536"/>
      <c r="K1842" s="1515"/>
      <c r="L1842" s="1507"/>
      <c r="M1842" s="1510"/>
      <c r="N1842" s="1520"/>
      <c r="O1842" s="1520"/>
      <c r="P1842" s="1520"/>
      <c r="Q1842" s="1520"/>
    </row>
    <row r="1843" spans="2:17" x14ac:dyDescent="0.25">
      <c r="B1843" s="1693" t="s">
        <v>2462</v>
      </c>
      <c r="C1843" s="1693"/>
      <c r="D1843" s="1693"/>
      <c r="E1843" s="1693"/>
      <c r="F1843" s="1537">
        <v>131377.29999999999</v>
      </c>
      <c r="G1843" s="1538">
        <f>SUM(G1832+G1841)</f>
        <v>104235</v>
      </c>
      <c r="H1843" s="1538">
        <f t="shared" ref="H1843:J1843" si="188">SUM(H1832+H1841)</f>
        <v>80727</v>
      </c>
      <c r="I1843" s="1538">
        <f t="shared" si="188"/>
        <v>61782.7</v>
      </c>
      <c r="J1843" s="1538">
        <f t="shared" si="188"/>
        <v>58331.199999999997</v>
      </c>
      <c r="K1843" s="1539"/>
      <c r="L1843" s="1539"/>
      <c r="M1843" s="1539"/>
      <c r="N1843" s="1539"/>
      <c r="O1843" s="1539"/>
      <c r="P1843" s="1539"/>
      <c r="Q1843" s="1539"/>
    </row>
    <row r="1844" spans="2:17" x14ac:dyDescent="0.25">
      <c r="B1844" s="1712" t="s">
        <v>2602</v>
      </c>
      <c r="C1844" s="1712"/>
      <c r="D1844" s="1712"/>
      <c r="E1844" s="1712"/>
      <c r="F1844" s="1712"/>
      <c r="G1844" s="1712"/>
      <c r="H1844" s="1712"/>
      <c r="I1844" s="1712"/>
      <c r="J1844" s="1712"/>
      <c r="K1844" s="1712"/>
      <c r="L1844" s="1712"/>
      <c r="M1844" s="1712"/>
      <c r="N1844" s="1712"/>
      <c r="O1844" s="1712"/>
      <c r="P1844" s="1712"/>
      <c r="Q1844" s="1712"/>
    </row>
    <row r="1845" spans="2:17" ht="73.5" x14ac:dyDescent="0.25">
      <c r="B1845" s="1540">
        <v>1</v>
      </c>
      <c r="C1845" s="1541"/>
      <c r="D1845" s="1542"/>
      <c r="E1845" s="1543" t="s">
        <v>1620</v>
      </c>
      <c r="F1845" s="1544">
        <f>SUM(F1846:F1852)</f>
        <v>43678.599999999991</v>
      </c>
      <c r="G1845" s="1544">
        <f>SUM(G1846:G1852)</f>
        <v>44066</v>
      </c>
      <c r="H1845" s="1544">
        <f>SUM(H1846:H1852)</f>
        <v>39050.600000000006</v>
      </c>
      <c r="I1845" s="1544">
        <f>SUM(I1846:I1852)</f>
        <v>39050.600000000006</v>
      </c>
      <c r="J1845" s="1544">
        <f>SUM(J1846:J1852)</f>
        <v>39050.600000000006</v>
      </c>
      <c r="K1845" s="1545" t="s">
        <v>34</v>
      </c>
      <c r="L1845" s="1546" t="s">
        <v>35</v>
      </c>
      <c r="M1845" s="1547">
        <v>15.761710911071614</v>
      </c>
      <c r="N1845" s="1547">
        <v>16.057784381707116</v>
      </c>
      <c r="O1845" s="1547">
        <v>16.057784381707116</v>
      </c>
      <c r="P1845" s="1547">
        <v>16.057784381707116</v>
      </c>
      <c r="Q1845" s="1547">
        <v>16.057784381707116</v>
      </c>
    </row>
    <row r="1846" spans="2:17" x14ac:dyDescent="0.25">
      <c r="B1846" s="1540"/>
      <c r="C1846" s="1548">
        <v>1</v>
      </c>
      <c r="D1846" s="1549"/>
      <c r="E1846" s="1550" t="s">
        <v>6</v>
      </c>
      <c r="F1846" s="1551">
        <v>6090.4</v>
      </c>
      <c r="G1846" s="1551">
        <v>4739</v>
      </c>
      <c r="H1846" s="1551">
        <v>4255.8</v>
      </c>
      <c r="I1846" s="1551">
        <v>4255.8</v>
      </c>
      <c r="J1846" s="1551">
        <v>4255.8</v>
      </c>
      <c r="K1846" s="1552" t="s">
        <v>36</v>
      </c>
      <c r="L1846" s="1553" t="s">
        <v>37</v>
      </c>
      <c r="M1846" s="1553">
        <v>0.62</v>
      </c>
      <c r="N1846" s="1553">
        <v>0.7</v>
      </c>
      <c r="O1846" s="1553">
        <v>0.7</v>
      </c>
      <c r="P1846" s="1553">
        <v>0.7</v>
      </c>
      <c r="Q1846" s="1553">
        <v>0.7</v>
      </c>
    </row>
    <row r="1847" spans="2:17" ht="30" x14ac:dyDescent="0.25">
      <c r="B1847" s="1540"/>
      <c r="C1847" s="1548">
        <v>2</v>
      </c>
      <c r="D1847" s="1549"/>
      <c r="E1847" s="1554" t="s">
        <v>8</v>
      </c>
      <c r="F1847" s="1551">
        <v>5854.4</v>
      </c>
      <c r="G1847" s="1551">
        <v>4505.1000000000004</v>
      </c>
      <c r="H1847" s="1551">
        <v>3358.3</v>
      </c>
      <c r="I1847" s="1551">
        <v>3358.3</v>
      </c>
      <c r="J1847" s="1551">
        <v>3358.3</v>
      </c>
      <c r="K1847" s="1552" t="s">
        <v>38</v>
      </c>
      <c r="L1847" s="1553" t="s">
        <v>35</v>
      </c>
      <c r="M1847" s="1553">
        <v>100</v>
      </c>
      <c r="N1847" s="1553">
        <v>100</v>
      </c>
      <c r="O1847" s="1553">
        <v>100</v>
      </c>
      <c r="P1847" s="1553">
        <v>100</v>
      </c>
      <c r="Q1847" s="1553">
        <v>100</v>
      </c>
    </row>
    <row r="1848" spans="2:17" ht="30" x14ac:dyDescent="0.25">
      <c r="B1848" s="1540"/>
      <c r="C1848" s="1548">
        <v>3</v>
      </c>
      <c r="D1848" s="1549"/>
      <c r="E1848" s="1554" t="s">
        <v>10</v>
      </c>
      <c r="F1848" s="1551">
        <v>5077.8999999999996</v>
      </c>
      <c r="G1848" s="1551">
        <v>3048.7</v>
      </c>
      <c r="H1848" s="1551">
        <v>2353.1</v>
      </c>
      <c r="I1848" s="1551">
        <v>2353.1</v>
      </c>
      <c r="J1848" s="1551">
        <v>2353.1</v>
      </c>
      <c r="K1848" s="1552" t="s">
        <v>39</v>
      </c>
      <c r="L1848" s="1553" t="s">
        <v>35</v>
      </c>
      <c r="M1848" s="1553" t="s">
        <v>169</v>
      </c>
      <c r="N1848" s="1553">
        <v>100</v>
      </c>
      <c r="O1848" s="1553">
        <v>100</v>
      </c>
      <c r="P1848" s="1553">
        <v>100</v>
      </c>
      <c r="Q1848" s="1553">
        <v>100</v>
      </c>
    </row>
    <row r="1849" spans="2:17" ht="30" x14ac:dyDescent="0.25">
      <c r="B1849" s="1540"/>
      <c r="C1849" s="1548">
        <v>4</v>
      </c>
      <c r="D1849" s="1549"/>
      <c r="E1849" s="1554" t="s">
        <v>12</v>
      </c>
      <c r="F1849" s="1551">
        <v>5105.3</v>
      </c>
      <c r="G1849" s="1551">
        <v>4441.3</v>
      </c>
      <c r="H1849" s="1551">
        <v>3441.2</v>
      </c>
      <c r="I1849" s="1551">
        <v>3441.2</v>
      </c>
      <c r="J1849" s="1551">
        <v>3441.2</v>
      </c>
      <c r="K1849" s="1552" t="s">
        <v>191</v>
      </c>
      <c r="L1849" s="1553" t="s">
        <v>192</v>
      </c>
      <c r="M1849" s="1553" t="s">
        <v>2603</v>
      </c>
      <c r="N1849" s="1553">
        <v>100</v>
      </c>
      <c r="O1849" s="1553">
        <v>100</v>
      </c>
      <c r="P1849" s="1553">
        <v>100</v>
      </c>
      <c r="Q1849" s="1553">
        <v>100</v>
      </c>
    </row>
    <row r="1850" spans="2:17" ht="30" x14ac:dyDescent="0.25">
      <c r="B1850" s="1540"/>
      <c r="C1850" s="1548">
        <v>6</v>
      </c>
      <c r="D1850" s="1549"/>
      <c r="E1850" s="1555" t="s">
        <v>14</v>
      </c>
      <c r="F1850" s="1551">
        <v>21550.6</v>
      </c>
      <c r="G1850" s="1551">
        <v>3413.3</v>
      </c>
      <c r="H1850" s="1551">
        <v>4208.8999999999996</v>
      </c>
      <c r="I1850" s="1551">
        <v>4208.8999999999996</v>
      </c>
      <c r="J1850" s="1551">
        <v>4208.8999999999996</v>
      </c>
      <c r="K1850" s="1552" t="s">
        <v>196</v>
      </c>
      <c r="L1850" s="1553" t="s">
        <v>35</v>
      </c>
      <c r="M1850" s="1556">
        <v>14.285714285714285</v>
      </c>
      <c r="N1850" s="1556">
        <v>14.634146341463413</v>
      </c>
      <c r="O1850" s="1556">
        <v>14.634146341463413</v>
      </c>
      <c r="P1850" s="1556">
        <v>14.634146341463413</v>
      </c>
      <c r="Q1850" s="1556">
        <v>14.634146341463413</v>
      </c>
    </row>
    <row r="1851" spans="2:17" ht="45" x14ac:dyDescent="0.25">
      <c r="B1851" s="1540"/>
      <c r="C1851" s="1548">
        <v>7</v>
      </c>
      <c r="D1851" s="1549"/>
      <c r="E1851" s="1555" t="s">
        <v>464</v>
      </c>
      <c r="F1851" s="1551"/>
      <c r="G1851" s="1551">
        <v>4879.7</v>
      </c>
      <c r="H1851" s="1551">
        <v>2836.8</v>
      </c>
      <c r="I1851" s="1551">
        <v>2836.8</v>
      </c>
      <c r="J1851" s="1551">
        <v>2836.8</v>
      </c>
      <c r="K1851" s="1552" t="s">
        <v>2604</v>
      </c>
      <c r="L1851" s="1553" t="s">
        <v>35</v>
      </c>
      <c r="M1851" s="1556">
        <v>85.5</v>
      </c>
      <c r="N1851" s="1556">
        <v>100</v>
      </c>
      <c r="O1851" s="1556">
        <v>100</v>
      </c>
      <c r="P1851" s="1556">
        <v>100</v>
      </c>
      <c r="Q1851" s="1556">
        <v>100</v>
      </c>
    </row>
    <row r="1852" spans="2:17" ht="30" x14ac:dyDescent="0.25">
      <c r="B1852" s="1540"/>
      <c r="C1852" s="1548">
        <v>8</v>
      </c>
      <c r="D1852" s="1549"/>
      <c r="E1852" s="1555" t="s">
        <v>333</v>
      </c>
      <c r="F1852" s="1551"/>
      <c r="G1852" s="1551">
        <v>19038.900000000001</v>
      </c>
      <c r="H1852" s="1551">
        <v>18596.5</v>
      </c>
      <c r="I1852" s="1551">
        <v>18596.5</v>
      </c>
      <c r="J1852" s="1551">
        <v>18596.5</v>
      </c>
      <c r="K1852" s="1552" t="s">
        <v>2605</v>
      </c>
      <c r="L1852" s="1557" t="s">
        <v>35</v>
      </c>
      <c r="M1852" s="1556">
        <v>57.142857142857146</v>
      </c>
      <c r="N1852" s="1556">
        <v>57.731958762886599</v>
      </c>
      <c r="O1852" s="1556">
        <v>57.731958762886599</v>
      </c>
      <c r="P1852" s="1556">
        <v>57.731958762886599</v>
      </c>
      <c r="Q1852" s="1556">
        <v>57.731958762886599</v>
      </c>
    </row>
    <row r="1853" spans="2:17" ht="58.5" x14ac:dyDescent="0.25">
      <c r="B1853" s="1540">
        <v>2</v>
      </c>
      <c r="C1853" s="1548"/>
      <c r="D1853" s="1549"/>
      <c r="E1853" s="1543" t="s">
        <v>2606</v>
      </c>
      <c r="F1853" s="1544">
        <f>SUM(F1854:F1856)</f>
        <v>246635.40000000002</v>
      </c>
      <c r="G1853" s="1544">
        <f>SUM(G1854:G1856)</f>
        <v>246248</v>
      </c>
      <c r="H1853" s="1544">
        <f>SUM(H1854:H1856)</f>
        <v>251263.4</v>
      </c>
      <c r="I1853" s="1544">
        <f>SUM(I1854:I1856)</f>
        <v>251516.6</v>
      </c>
      <c r="J1853" s="1544">
        <f>SUM(J1854:J1856)</f>
        <v>252083</v>
      </c>
      <c r="K1853" s="1545" t="s">
        <v>2607</v>
      </c>
      <c r="L1853" s="1557" t="s">
        <v>35</v>
      </c>
      <c r="M1853" s="1546">
        <v>44.09</v>
      </c>
      <c r="N1853" s="1546">
        <v>52.25</v>
      </c>
      <c r="O1853" s="1546">
        <v>51.5</v>
      </c>
      <c r="P1853" s="1546">
        <v>51.5</v>
      </c>
      <c r="Q1853" s="1546">
        <v>51.5</v>
      </c>
    </row>
    <row r="1854" spans="2:17" ht="30" x14ac:dyDescent="0.25">
      <c r="B1854" s="1540"/>
      <c r="C1854" s="1548">
        <v>1</v>
      </c>
      <c r="D1854" s="1549"/>
      <c r="E1854" s="1555" t="s">
        <v>2608</v>
      </c>
      <c r="F1854" s="1551">
        <v>8252.2000000000007</v>
      </c>
      <c r="G1854" s="1551">
        <v>4195</v>
      </c>
      <c r="H1854" s="1551">
        <v>2899</v>
      </c>
      <c r="I1854" s="1551">
        <v>2899</v>
      </c>
      <c r="J1854" s="1551">
        <v>2899</v>
      </c>
      <c r="K1854" s="1552" t="s">
        <v>2609</v>
      </c>
      <c r="L1854" s="1557" t="s">
        <v>35</v>
      </c>
      <c r="M1854" s="1558">
        <v>43.18</v>
      </c>
      <c r="N1854" s="1558">
        <v>59.5</v>
      </c>
      <c r="O1854" s="1558">
        <v>60</v>
      </c>
      <c r="P1854" s="1558">
        <v>60</v>
      </c>
      <c r="Q1854" s="1558">
        <v>60</v>
      </c>
    </row>
    <row r="1855" spans="2:17" ht="30" x14ac:dyDescent="0.25">
      <c r="B1855" s="1540"/>
      <c r="C1855" s="1548">
        <v>2</v>
      </c>
      <c r="D1855" s="1549"/>
      <c r="E1855" s="1555" t="s">
        <v>2610</v>
      </c>
      <c r="F1855" s="1551"/>
      <c r="G1855" s="1551">
        <v>3669.8</v>
      </c>
      <c r="H1855" s="1551">
        <v>2354.1</v>
      </c>
      <c r="I1855" s="1551">
        <v>2354.1</v>
      </c>
      <c r="J1855" s="1551">
        <v>2354.1</v>
      </c>
      <c r="K1855" s="1552" t="s">
        <v>2611</v>
      </c>
      <c r="L1855" s="1557" t="s">
        <v>35</v>
      </c>
      <c r="M1855" s="1553">
        <v>45</v>
      </c>
      <c r="N1855" s="1553">
        <v>45</v>
      </c>
      <c r="O1855" s="1553">
        <v>43</v>
      </c>
      <c r="P1855" s="1553">
        <v>43</v>
      </c>
      <c r="Q1855" s="1553">
        <v>43</v>
      </c>
    </row>
    <row r="1856" spans="2:17" ht="45" x14ac:dyDescent="0.25">
      <c r="B1856" s="1559"/>
      <c r="C1856" s="1560">
        <v>3</v>
      </c>
      <c r="D1856" s="1561"/>
      <c r="E1856" s="1552" t="s">
        <v>2612</v>
      </c>
      <c r="F1856" s="1551">
        <v>238383.2</v>
      </c>
      <c r="G1856" s="1558">
        <v>238383.2</v>
      </c>
      <c r="H1856" s="1558">
        <v>246010.3</v>
      </c>
      <c r="I1856" s="1558">
        <v>246263.5</v>
      </c>
      <c r="J1856" s="1558">
        <v>246829.9</v>
      </c>
      <c r="K1856" s="1562" t="s">
        <v>2613</v>
      </c>
      <c r="L1856" s="1557" t="s">
        <v>35</v>
      </c>
      <c r="M1856" s="1558">
        <v>43.18</v>
      </c>
      <c r="N1856" s="1558">
        <v>59.5</v>
      </c>
      <c r="O1856" s="1558">
        <v>60</v>
      </c>
      <c r="P1856" s="1558">
        <v>60</v>
      </c>
      <c r="Q1856" s="1558">
        <v>60</v>
      </c>
    </row>
    <row r="1857" spans="2:17" x14ac:dyDescent="0.25">
      <c r="B1857" s="1693" t="s">
        <v>2462</v>
      </c>
      <c r="C1857" s="1693"/>
      <c r="D1857" s="1693"/>
      <c r="E1857" s="1693"/>
      <c r="F1857" s="1563">
        <f>SUM(F1853+F1845)</f>
        <v>290314</v>
      </c>
      <c r="G1857" s="1563">
        <f>SUM(G1853+G1845)</f>
        <v>290314</v>
      </c>
      <c r="H1857" s="1563">
        <v>290314</v>
      </c>
      <c r="I1857" s="1563">
        <f>SUM(I1853+I1845)</f>
        <v>290567.2</v>
      </c>
      <c r="J1857" s="1563">
        <f>SUM(J1845+J1853)</f>
        <v>291133.59999999998</v>
      </c>
      <c r="K1857" s="1564"/>
      <c r="L1857" s="1565"/>
      <c r="M1857" s="1564"/>
      <c r="N1857" s="1564"/>
      <c r="O1857" s="1564"/>
      <c r="P1857" s="1564"/>
      <c r="Q1857" s="1564"/>
    </row>
    <row r="1858" spans="2:17" x14ac:dyDescent="0.25">
      <c r="B1858" s="1712" t="s">
        <v>2614</v>
      </c>
      <c r="C1858" s="1712"/>
      <c r="D1858" s="1712"/>
      <c r="E1858" s="1712"/>
      <c r="F1858" s="1712"/>
      <c r="G1858" s="1712"/>
      <c r="H1858" s="1712"/>
      <c r="I1858" s="1712"/>
      <c r="J1858" s="1712"/>
      <c r="K1858" s="1712"/>
      <c r="L1858" s="1712"/>
      <c r="M1858" s="1712"/>
      <c r="N1858" s="1712"/>
      <c r="O1858" s="1712"/>
      <c r="P1858" s="1712"/>
      <c r="Q1858" s="1712"/>
    </row>
    <row r="1859" spans="2:17" ht="73.5" x14ac:dyDescent="0.25">
      <c r="B1859" s="1566">
        <v>1</v>
      </c>
      <c r="C1859" s="1567"/>
      <c r="D1859" s="1568"/>
      <c r="E1859" s="1569" t="s">
        <v>1620</v>
      </c>
      <c r="F1859" s="1570">
        <v>2711.8</v>
      </c>
      <c r="G1859" s="1570">
        <v>3057.9</v>
      </c>
      <c r="H1859" s="1570">
        <f>H1860+H1861+H1862</f>
        <v>3365.7</v>
      </c>
      <c r="I1859" s="1570">
        <f>I1860+I1861+I1862</f>
        <v>3108.1</v>
      </c>
      <c r="J1859" s="1570">
        <f>J1860+J1861+J1862</f>
        <v>3108.1</v>
      </c>
      <c r="K1859" s="1569" t="s">
        <v>34</v>
      </c>
      <c r="L1859" s="1571" t="s">
        <v>35</v>
      </c>
      <c r="M1859" s="1571">
        <v>10.6</v>
      </c>
      <c r="N1859" s="1571">
        <v>27.5</v>
      </c>
      <c r="O1859" s="1571">
        <v>27.5</v>
      </c>
      <c r="P1859" s="1571">
        <v>28.7</v>
      </c>
      <c r="Q1859" s="1571">
        <v>28.7</v>
      </c>
    </row>
    <row r="1860" spans="2:17" ht="30" x14ac:dyDescent="0.25">
      <c r="B1860" s="1572"/>
      <c r="C1860" s="1573">
        <v>2</v>
      </c>
      <c r="D1860" s="1567"/>
      <c r="E1860" s="346" t="s">
        <v>8</v>
      </c>
      <c r="F1860" s="1574">
        <v>1217.2</v>
      </c>
      <c r="G1860" s="1574">
        <v>1716.2</v>
      </c>
      <c r="H1860" s="1575">
        <v>1992.8</v>
      </c>
      <c r="I1860" s="1574">
        <v>1849.2</v>
      </c>
      <c r="J1860" s="1575">
        <v>1849.2</v>
      </c>
      <c r="K1860" s="1576" t="s">
        <v>38</v>
      </c>
      <c r="L1860" s="1577" t="s">
        <v>35</v>
      </c>
      <c r="M1860" s="1577">
        <v>100</v>
      </c>
      <c r="N1860" s="1577">
        <v>100</v>
      </c>
      <c r="O1860" s="1577">
        <v>100</v>
      </c>
      <c r="P1860" s="1577">
        <v>100</v>
      </c>
      <c r="Q1860" s="1577">
        <v>100</v>
      </c>
    </row>
    <row r="1861" spans="2:17" ht="30" x14ac:dyDescent="0.25">
      <c r="B1861" s="1572"/>
      <c r="C1861" s="1573">
        <v>2</v>
      </c>
      <c r="D1861" s="1567"/>
      <c r="E1861" s="346" t="s">
        <v>10</v>
      </c>
      <c r="F1861" s="1574">
        <v>526.29999999999995</v>
      </c>
      <c r="G1861" s="1574">
        <v>589.29999999999995</v>
      </c>
      <c r="H1861" s="1575">
        <v>615.9</v>
      </c>
      <c r="I1861" s="1574">
        <v>575.9</v>
      </c>
      <c r="J1861" s="1575">
        <v>575.9</v>
      </c>
      <c r="K1861" s="1578" t="s">
        <v>39</v>
      </c>
      <c r="L1861" s="1577" t="s">
        <v>35</v>
      </c>
      <c r="M1861" s="1577">
        <v>100</v>
      </c>
      <c r="N1861" s="1577">
        <v>100</v>
      </c>
      <c r="O1861" s="1577">
        <v>100</v>
      </c>
      <c r="P1861" s="1577">
        <v>100</v>
      </c>
      <c r="Q1861" s="1577">
        <v>100</v>
      </c>
    </row>
    <row r="1862" spans="2:17" ht="30" x14ac:dyDescent="0.25">
      <c r="B1862" s="1572"/>
      <c r="C1862" s="1573">
        <v>3</v>
      </c>
      <c r="D1862" s="1567"/>
      <c r="E1862" s="346" t="s">
        <v>12</v>
      </c>
      <c r="F1862" s="1574">
        <v>968.3</v>
      </c>
      <c r="G1862" s="1574">
        <v>752.4</v>
      </c>
      <c r="H1862" s="1575">
        <v>757</v>
      </c>
      <c r="I1862" s="1574">
        <v>683</v>
      </c>
      <c r="J1862" s="1575">
        <v>683</v>
      </c>
      <c r="K1862" s="1576" t="s">
        <v>191</v>
      </c>
      <c r="L1862" s="1577" t="s">
        <v>192</v>
      </c>
      <c r="M1862" s="1579" t="s">
        <v>2615</v>
      </c>
      <c r="N1862" s="1579" t="s">
        <v>2615</v>
      </c>
      <c r="O1862" s="1579" t="s">
        <v>2615</v>
      </c>
      <c r="P1862" s="1579" t="s">
        <v>2615</v>
      </c>
      <c r="Q1862" s="1579" t="s">
        <v>2615</v>
      </c>
    </row>
    <row r="1863" spans="2:17" x14ac:dyDescent="0.25">
      <c r="B1863" s="1749" t="s">
        <v>467</v>
      </c>
      <c r="C1863" s="1751"/>
      <c r="D1863" s="1751"/>
      <c r="E1863" s="1766" t="s">
        <v>2616</v>
      </c>
      <c r="F1863" s="1767">
        <f>F1865+F1867+F1869</f>
        <v>8317</v>
      </c>
      <c r="G1863" s="1767">
        <f>G1865+G1867+G1869</f>
        <v>8997.5</v>
      </c>
      <c r="H1863" s="1767">
        <f>H1865+H1867+H1869</f>
        <v>10157.300000000001</v>
      </c>
      <c r="I1863" s="1767">
        <f>I1865+I1867+I1869</f>
        <v>9345.2999999999993</v>
      </c>
      <c r="J1863" s="1767">
        <f>J1865+J1867+J1869</f>
        <v>9358.6</v>
      </c>
      <c r="K1863" s="1740" t="s">
        <v>2617</v>
      </c>
      <c r="L1863" s="1742" t="s">
        <v>35</v>
      </c>
      <c r="M1863" s="1768">
        <v>100</v>
      </c>
      <c r="N1863" s="1768">
        <v>100</v>
      </c>
      <c r="O1863" s="1768">
        <v>100</v>
      </c>
      <c r="P1863" s="1768">
        <v>100</v>
      </c>
      <c r="Q1863" s="1768">
        <v>100</v>
      </c>
    </row>
    <row r="1864" spans="2:17" x14ac:dyDescent="0.25">
      <c r="B1864" s="1762"/>
      <c r="C1864" s="1763"/>
      <c r="D1864" s="1763"/>
      <c r="E1864" s="1766"/>
      <c r="F1864" s="1764"/>
      <c r="G1864" s="1764"/>
      <c r="H1864" s="1764"/>
      <c r="I1864" s="1764"/>
      <c r="J1864" s="1764"/>
      <c r="K1864" s="1758"/>
      <c r="L1864" s="1759"/>
      <c r="M1864" s="1769"/>
      <c r="N1864" s="1769"/>
      <c r="O1864" s="1769"/>
      <c r="P1864" s="1770"/>
      <c r="Q1864" s="1770"/>
    </row>
    <row r="1865" spans="2:17" x14ac:dyDescent="0.25">
      <c r="B1865" s="1749"/>
      <c r="C1865" s="1751" t="s">
        <v>5</v>
      </c>
      <c r="D1865" s="1751"/>
      <c r="E1865" s="1753" t="s">
        <v>2618</v>
      </c>
      <c r="F1865" s="1754">
        <v>4801.6000000000004</v>
      </c>
      <c r="G1865" s="1754">
        <v>6630</v>
      </c>
      <c r="H1865" s="1754">
        <v>7823.5</v>
      </c>
      <c r="I1865" s="1754">
        <v>7189.8</v>
      </c>
      <c r="J1865" s="1757">
        <v>7203.1</v>
      </c>
      <c r="K1865" s="1740" t="s">
        <v>2619</v>
      </c>
      <c r="L1865" s="1742" t="s">
        <v>35</v>
      </c>
      <c r="M1865" s="1746">
        <v>100</v>
      </c>
      <c r="N1865" s="1746">
        <v>100</v>
      </c>
      <c r="O1865" s="1746">
        <v>100</v>
      </c>
      <c r="P1865" s="1746">
        <v>100</v>
      </c>
      <c r="Q1865" s="1746">
        <v>100</v>
      </c>
    </row>
    <row r="1866" spans="2:17" x14ac:dyDescent="0.25">
      <c r="B1866" s="1762"/>
      <c r="C1866" s="1763"/>
      <c r="D1866" s="1763"/>
      <c r="E1866" s="1753"/>
      <c r="F1866" s="1764"/>
      <c r="G1866" s="1765"/>
      <c r="H1866" s="1765"/>
      <c r="I1866" s="1765"/>
      <c r="J1866" s="1757"/>
      <c r="K1866" s="1758"/>
      <c r="L1866" s="1759"/>
      <c r="M1866" s="1760"/>
      <c r="N1866" s="1760"/>
      <c r="O1866" s="1760"/>
      <c r="P1866" s="1761"/>
      <c r="Q1866" s="1761"/>
    </row>
    <row r="1867" spans="2:17" x14ac:dyDescent="0.25">
      <c r="B1867" s="1749"/>
      <c r="C1867" s="1751" t="s">
        <v>7</v>
      </c>
      <c r="D1867" s="1751"/>
      <c r="E1867" s="1753" t="s">
        <v>2620</v>
      </c>
      <c r="F1867" s="1754">
        <v>1800.9</v>
      </c>
      <c r="G1867" s="1754">
        <v>833.7</v>
      </c>
      <c r="H1867" s="1754">
        <v>823.2</v>
      </c>
      <c r="I1867" s="1754">
        <v>736.9</v>
      </c>
      <c r="J1867" s="1757">
        <v>736.9</v>
      </c>
      <c r="K1867" s="1740" t="s">
        <v>2621</v>
      </c>
      <c r="L1867" s="1742" t="s">
        <v>279</v>
      </c>
      <c r="M1867" s="1746">
        <v>2</v>
      </c>
      <c r="N1867" s="1746">
        <v>1</v>
      </c>
      <c r="O1867" s="1746">
        <v>1</v>
      </c>
      <c r="P1867" s="1746">
        <v>1</v>
      </c>
      <c r="Q1867" s="1746">
        <v>1</v>
      </c>
    </row>
    <row r="1868" spans="2:17" x14ac:dyDescent="0.25">
      <c r="B1868" s="1762"/>
      <c r="C1868" s="1763"/>
      <c r="D1868" s="1763"/>
      <c r="E1868" s="1753"/>
      <c r="F1868" s="1764"/>
      <c r="G1868" s="1765"/>
      <c r="H1868" s="1765"/>
      <c r="I1868" s="1765"/>
      <c r="J1868" s="1757"/>
      <c r="K1868" s="1758"/>
      <c r="L1868" s="1759"/>
      <c r="M1868" s="1760"/>
      <c r="N1868" s="1760"/>
      <c r="O1868" s="1760"/>
      <c r="P1868" s="1761"/>
      <c r="Q1868" s="1761"/>
    </row>
    <row r="1869" spans="2:17" x14ac:dyDescent="0.25">
      <c r="B1869" s="1749"/>
      <c r="C1869" s="1751" t="s">
        <v>9</v>
      </c>
      <c r="D1869" s="1751"/>
      <c r="E1869" s="1753" t="s">
        <v>2622</v>
      </c>
      <c r="F1869" s="1754">
        <v>1714.5</v>
      </c>
      <c r="G1869" s="1754">
        <v>1533.8</v>
      </c>
      <c r="H1869" s="1754">
        <v>1510.6</v>
      </c>
      <c r="I1869" s="1754">
        <v>1418.6</v>
      </c>
      <c r="J1869" s="1757">
        <v>1418.6</v>
      </c>
      <c r="K1869" s="1740" t="s">
        <v>2623</v>
      </c>
      <c r="L1869" s="1742" t="s">
        <v>2624</v>
      </c>
      <c r="M1869" s="1744">
        <v>2600</v>
      </c>
      <c r="N1869" s="1744">
        <v>2900</v>
      </c>
      <c r="O1869" s="1746" t="s">
        <v>2625</v>
      </c>
      <c r="P1869" s="1746" t="s">
        <v>2625</v>
      </c>
      <c r="Q1869" s="1746" t="s">
        <v>2625</v>
      </c>
    </row>
    <row r="1870" spans="2:17" x14ac:dyDescent="0.25">
      <c r="B1870" s="1750"/>
      <c r="C1870" s="1752"/>
      <c r="D1870" s="1752"/>
      <c r="E1870" s="1740"/>
      <c r="F1870" s="1755"/>
      <c r="G1870" s="1756"/>
      <c r="H1870" s="1756"/>
      <c r="I1870" s="1756"/>
      <c r="J1870" s="1754"/>
      <c r="K1870" s="1741"/>
      <c r="L1870" s="1743"/>
      <c r="M1870" s="1745"/>
      <c r="N1870" s="1745"/>
      <c r="O1870" s="1747"/>
      <c r="P1870" s="1747"/>
      <c r="Q1870" s="1747"/>
    </row>
    <row r="1871" spans="2:17" x14ac:dyDescent="0.25">
      <c r="B1871" s="1693" t="s">
        <v>2462</v>
      </c>
      <c r="C1871" s="1693"/>
      <c r="D1871" s="1693"/>
      <c r="E1871" s="1693"/>
      <c r="F1871" s="1580">
        <f>SUM(F1863+F1859)</f>
        <v>11028.8</v>
      </c>
      <c r="G1871" s="1580">
        <f t="shared" ref="G1871:J1871" si="189">SUM(G1863+G1859)</f>
        <v>12055.4</v>
      </c>
      <c r="H1871" s="1580">
        <f>SUM(H1863+H1859)</f>
        <v>13523</v>
      </c>
      <c r="I1871" s="1580">
        <f t="shared" si="189"/>
        <v>12453.4</v>
      </c>
      <c r="J1871" s="1580">
        <f t="shared" si="189"/>
        <v>12466.7</v>
      </c>
      <c r="K1871" s="1581"/>
      <c r="L1871" s="1748"/>
      <c r="M1871" s="1748"/>
      <c r="N1871" s="1748"/>
      <c r="O1871" s="1748"/>
      <c r="P1871" s="1748"/>
      <c r="Q1871" s="1748"/>
    </row>
    <row r="1872" spans="2:17" x14ac:dyDescent="0.25">
      <c r="B1872" s="1712" t="s">
        <v>2626</v>
      </c>
      <c r="C1872" s="1712"/>
      <c r="D1872" s="1712"/>
      <c r="E1872" s="1712"/>
      <c r="F1872" s="1712"/>
      <c r="G1872" s="1712"/>
      <c r="H1872" s="1712"/>
      <c r="I1872" s="1712"/>
      <c r="J1872" s="1712"/>
      <c r="K1872" s="1712"/>
      <c r="L1872" s="1712"/>
      <c r="M1872" s="1712"/>
      <c r="N1872" s="1712"/>
      <c r="O1872" s="1712"/>
      <c r="P1872" s="1712"/>
      <c r="Q1872" s="1712"/>
    </row>
    <row r="1873" spans="2:17" x14ac:dyDescent="0.25">
      <c r="B1873" s="1582">
        <v>2</v>
      </c>
      <c r="C1873" s="1583"/>
      <c r="D1873" s="1584"/>
      <c r="E1873" s="1585" t="s">
        <v>2627</v>
      </c>
      <c r="F1873" s="1005">
        <f>F1874</f>
        <v>0</v>
      </c>
      <c r="G1873" s="1005">
        <f>G1874</f>
        <v>18147.8</v>
      </c>
      <c r="H1873" s="1005">
        <f>H1874</f>
        <v>18147.8</v>
      </c>
      <c r="I1873" s="1005">
        <f>I1874</f>
        <v>18163.599999999999</v>
      </c>
      <c r="J1873" s="1005">
        <f>J1874</f>
        <v>18199</v>
      </c>
      <c r="K1873" s="522"/>
      <c r="L1873" s="915"/>
      <c r="M1873" s="1586"/>
      <c r="N1873" s="1586"/>
      <c r="O1873" s="1586"/>
      <c r="P1873" s="1586"/>
      <c r="Q1873" s="1586"/>
    </row>
    <row r="1874" spans="2:17" ht="60" x14ac:dyDescent="0.25">
      <c r="B1874" s="1587"/>
      <c r="C1874" s="1583" t="s">
        <v>5</v>
      </c>
      <c r="D1874" s="1584"/>
      <c r="E1874" s="992" t="s">
        <v>2628</v>
      </c>
      <c r="F1874" s="808"/>
      <c r="G1874" s="808">
        <v>18147.8</v>
      </c>
      <c r="H1874" s="1588">
        <v>18147.8</v>
      </c>
      <c r="I1874" s="1589">
        <v>18163.599999999999</v>
      </c>
      <c r="J1874" s="1589">
        <v>18199</v>
      </c>
      <c r="K1874" s="522" t="s">
        <v>2629</v>
      </c>
      <c r="L1874" s="915" t="s">
        <v>40</v>
      </c>
      <c r="M1874" s="1590">
        <v>4</v>
      </c>
      <c r="N1874" s="1590">
        <v>4</v>
      </c>
      <c r="O1874" s="1590">
        <v>4</v>
      </c>
      <c r="P1874" s="1590">
        <v>4</v>
      </c>
      <c r="Q1874" s="1590">
        <v>4</v>
      </c>
    </row>
    <row r="1875" spans="2:17" x14ac:dyDescent="0.25">
      <c r="B1875" s="1693" t="s">
        <v>2462</v>
      </c>
      <c r="C1875" s="1693"/>
      <c r="D1875" s="1693"/>
      <c r="E1875" s="1693"/>
      <c r="F1875" s="1591">
        <f>F1873</f>
        <v>0</v>
      </c>
      <c r="G1875" s="1591">
        <f>G1873</f>
        <v>18147.8</v>
      </c>
      <c r="H1875" s="1591">
        <f>H1873</f>
        <v>18147.8</v>
      </c>
      <c r="I1875" s="1591">
        <f>I1873</f>
        <v>18163.599999999999</v>
      </c>
      <c r="J1875" s="1591">
        <f>J1873</f>
        <v>18199</v>
      </c>
      <c r="K1875" s="1592"/>
      <c r="L1875" s="1593"/>
      <c r="M1875" s="1594"/>
      <c r="N1875" s="1594"/>
      <c r="O1875" s="1594"/>
      <c r="P1875" s="1594"/>
      <c r="Q1875" s="1594"/>
    </row>
    <row r="1876" spans="2:17" x14ac:dyDescent="0.25">
      <c r="B1876" s="1712" t="s">
        <v>2630</v>
      </c>
      <c r="C1876" s="1712"/>
      <c r="D1876" s="1712"/>
      <c r="E1876" s="1712"/>
      <c r="F1876" s="1712"/>
      <c r="G1876" s="1712"/>
      <c r="H1876" s="1712"/>
      <c r="I1876" s="1712"/>
      <c r="J1876" s="1712"/>
      <c r="K1876" s="1712"/>
      <c r="L1876" s="1712"/>
      <c r="M1876" s="1712"/>
      <c r="N1876" s="1712"/>
      <c r="O1876" s="1712"/>
      <c r="P1876" s="1712"/>
      <c r="Q1876" s="1712"/>
    </row>
    <row r="1877" spans="2:17" ht="42.75" x14ac:dyDescent="0.25">
      <c r="B1877" s="866">
        <v>1</v>
      </c>
      <c r="C1877" s="134"/>
      <c r="D1877" s="134"/>
      <c r="E1877" s="523" t="s">
        <v>86</v>
      </c>
      <c r="F1877" s="917">
        <f>F1879+F1880+F1881</f>
        <v>51872.2</v>
      </c>
      <c r="G1877" s="917">
        <v>46283.100000000006</v>
      </c>
      <c r="H1877" s="917">
        <f>SUM(H1878:H1881)</f>
        <v>87105.7</v>
      </c>
      <c r="I1877" s="917">
        <f>I1879+I1880+I1881</f>
        <v>87105.2</v>
      </c>
      <c r="J1877" s="917">
        <f>J1879+J1880+J1881</f>
        <v>87105.2</v>
      </c>
      <c r="K1877" s="523" t="s">
        <v>2631</v>
      </c>
      <c r="L1877" s="775" t="s">
        <v>35</v>
      </c>
      <c r="M1877" s="775"/>
      <c r="N1877" s="775"/>
      <c r="O1877" s="775"/>
      <c r="P1877" s="775"/>
      <c r="Q1877" s="775"/>
    </row>
    <row r="1878" spans="2:17" x14ac:dyDescent="0.25">
      <c r="B1878" s="866"/>
      <c r="C1878" s="1583" t="s">
        <v>5</v>
      </c>
      <c r="D1878" s="134"/>
      <c r="E1878" s="1595" t="s">
        <v>6</v>
      </c>
      <c r="F1878" s="917"/>
      <c r="G1878" s="917"/>
      <c r="H1878" s="760">
        <v>87105.7</v>
      </c>
      <c r="I1878" s="917"/>
      <c r="J1878" s="917"/>
      <c r="K1878" s="1596"/>
      <c r="L1878" s="775"/>
      <c r="M1878" s="775"/>
      <c r="N1878" s="775"/>
      <c r="O1878" s="775"/>
      <c r="P1878" s="775"/>
      <c r="Q1878" s="775"/>
    </row>
    <row r="1879" spans="2:17" x14ac:dyDescent="0.25">
      <c r="B1879" s="147"/>
      <c r="C1879" s="125">
        <v>3</v>
      </c>
      <c r="D1879" s="133"/>
      <c r="E1879" s="524" t="s">
        <v>10</v>
      </c>
      <c r="F1879" s="761">
        <f>15501.3+239.2</f>
        <v>15740.5</v>
      </c>
      <c r="G1879" s="761">
        <v>15427.7</v>
      </c>
      <c r="H1879" s="761">
        <v>0</v>
      </c>
      <c r="I1879" s="761">
        <f>28992.8+108+18.6</f>
        <v>29119.399999999998</v>
      </c>
      <c r="J1879" s="761">
        <f>28992.8+108+18.6</f>
        <v>29119.399999999998</v>
      </c>
      <c r="K1879" s="1597" t="s">
        <v>2632</v>
      </c>
      <c r="L1879" s="915" t="s">
        <v>35</v>
      </c>
      <c r="M1879" s="915">
        <v>25</v>
      </c>
      <c r="N1879" s="915">
        <v>26</v>
      </c>
      <c r="O1879" s="915">
        <v>27</v>
      </c>
      <c r="P1879" s="915">
        <v>27</v>
      </c>
      <c r="Q1879" s="915">
        <v>27</v>
      </c>
    </row>
    <row r="1880" spans="2:17" ht="30" x14ac:dyDescent="0.25">
      <c r="B1880" s="147"/>
      <c r="C1880" s="125">
        <v>32</v>
      </c>
      <c r="D1880" s="133"/>
      <c r="E1880" s="524" t="s">
        <v>2633</v>
      </c>
      <c r="F1880" s="761">
        <f>15501.3+57.9+239.2</f>
        <v>15798.4</v>
      </c>
      <c r="G1880" s="761">
        <v>15427.6</v>
      </c>
      <c r="H1880" s="761">
        <v>0</v>
      </c>
      <c r="I1880" s="761">
        <v>28993</v>
      </c>
      <c r="J1880" s="761">
        <v>28993</v>
      </c>
      <c r="K1880" s="522" t="s">
        <v>2634</v>
      </c>
      <c r="L1880" s="915" t="s">
        <v>173</v>
      </c>
      <c r="M1880" s="915">
        <v>140</v>
      </c>
      <c r="N1880" s="915">
        <v>140</v>
      </c>
      <c r="O1880" s="915">
        <v>140</v>
      </c>
      <c r="P1880" s="915">
        <v>140</v>
      </c>
      <c r="Q1880" s="915">
        <v>140</v>
      </c>
    </row>
    <row r="1881" spans="2:17" ht="30" x14ac:dyDescent="0.25">
      <c r="B1881" s="147"/>
      <c r="C1881" s="125">
        <v>33</v>
      </c>
      <c r="D1881" s="133"/>
      <c r="E1881" s="524" t="s">
        <v>2635</v>
      </c>
      <c r="F1881" s="761">
        <f>4592.8+15501.3+239.2</f>
        <v>20333.3</v>
      </c>
      <c r="G1881" s="761">
        <v>15427.8</v>
      </c>
      <c r="H1881" s="761">
        <v>0</v>
      </c>
      <c r="I1881" s="761">
        <v>28992.799999999999</v>
      </c>
      <c r="J1881" s="761">
        <v>28992.799999999999</v>
      </c>
      <c r="K1881" s="522" t="s">
        <v>2636</v>
      </c>
      <c r="L1881" s="915" t="s">
        <v>173</v>
      </c>
      <c r="M1881" s="915">
        <v>5</v>
      </c>
      <c r="N1881" s="915">
        <v>5</v>
      </c>
      <c r="O1881" s="915">
        <v>5</v>
      </c>
      <c r="P1881" s="915">
        <v>5</v>
      </c>
      <c r="Q1881" s="915">
        <v>5</v>
      </c>
    </row>
    <row r="1882" spans="2:17" ht="42.75" x14ac:dyDescent="0.25">
      <c r="B1882" s="525" t="s">
        <v>467</v>
      </c>
      <c r="C1882" s="1598"/>
      <c r="D1882" s="1598"/>
      <c r="E1882" s="526" t="s">
        <v>2637</v>
      </c>
      <c r="F1882" s="1599">
        <f>SUM(F1883:F1886)</f>
        <v>121650.99999999999</v>
      </c>
      <c r="G1882" s="1599">
        <v>116066.5</v>
      </c>
      <c r="H1882" s="1599">
        <f>SUM(H1883:H1886)</f>
        <v>127308.59999999999</v>
      </c>
      <c r="I1882" s="672">
        <f>SUM(I1883:I1886)</f>
        <v>127275.7</v>
      </c>
      <c r="J1882" s="672">
        <f>SUM(J1883:J1886)</f>
        <v>127283.4</v>
      </c>
      <c r="K1882" s="1600" t="s">
        <v>2638</v>
      </c>
      <c r="L1882" s="1601" t="s">
        <v>173</v>
      </c>
      <c r="M1882" s="1600"/>
      <c r="N1882" s="1602"/>
      <c r="O1882" s="1602"/>
      <c r="P1882" s="1602"/>
      <c r="Q1882" s="1602"/>
    </row>
    <row r="1883" spans="2:17" ht="45" x14ac:dyDescent="0.25">
      <c r="B1883" s="1603"/>
      <c r="C1883" s="527" t="s">
        <v>5</v>
      </c>
      <c r="D1883" s="1603"/>
      <c r="E1883" s="918" t="s">
        <v>2639</v>
      </c>
      <c r="F1883" s="1604">
        <f>31604.6+627.1</f>
        <v>32231.699999999997</v>
      </c>
      <c r="G1883" s="1605">
        <v>31460.7</v>
      </c>
      <c r="H1883" s="1605">
        <f>33759.2+115.2+19.9</f>
        <v>33894.299999999996</v>
      </c>
      <c r="I1883" s="1605">
        <f>33759.2+115.2+19.9</f>
        <v>33894.299999999996</v>
      </c>
      <c r="J1883" s="1605">
        <f>33759.2+115.2+19.9</f>
        <v>33894.299999999996</v>
      </c>
      <c r="K1883" s="918" t="s">
        <v>2640</v>
      </c>
      <c r="L1883" s="915" t="s">
        <v>173</v>
      </c>
      <c r="M1883" s="918">
        <v>6880</v>
      </c>
      <c r="N1883" s="1606">
        <v>7000</v>
      </c>
      <c r="O1883" s="1606">
        <v>7000</v>
      </c>
      <c r="P1883" s="1606">
        <v>7000</v>
      </c>
      <c r="Q1883" s="1606">
        <v>7000</v>
      </c>
    </row>
    <row r="1884" spans="2:17" ht="75" x14ac:dyDescent="0.25">
      <c r="B1884" s="1603"/>
      <c r="C1884" s="527" t="s">
        <v>7</v>
      </c>
      <c r="D1884" s="1603"/>
      <c r="E1884" s="918" t="s">
        <v>2641</v>
      </c>
      <c r="F1884" s="1604">
        <f>5894+269.7+12451.4+187.8+22.5</f>
        <v>18825.399999999998</v>
      </c>
      <c r="G1884" s="1605">
        <v>15968.8</v>
      </c>
      <c r="H1884" s="1605">
        <v>17521.8</v>
      </c>
      <c r="I1884" s="1605">
        <f>9574.2+4494.5+136.8+23.6+28.8+4.7+3000+207.6</f>
        <v>17470.199999999997</v>
      </c>
      <c r="J1884" s="1605">
        <f>9574.2+4494.5+136.8+23.6+28.8+4.7+3000+215.3</f>
        <v>17477.899999999998</v>
      </c>
      <c r="K1884" s="918" t="s">
        <v>2642</v>
      </c>
      <c r="L1884" s="915" t="s">
        <v>173</v>
      </c>
      <c r="M1884" s="918">
        <v>20</v>
      </c>
      <c r="N1884" s="1606">
        <v>20</v>
      </c>
      <c r="O1884" s="1606">
        <v>20</v>
      </c>
      <c r="P1884" s="1606">
        <v>21</v>
      </c>
      <c r="Q1884" s="1606">
        <v>22</v>
      </c>
    </row>
    <row r="1885" spans="2:17" ht="120" x14ac:dyDescent="0.25">
      <c r="B1885" s="1603"/>
      <c r="C1885" s="527" t="s">
        <v>9</v>
      </c>
      <c r="D1885" s="1603"/>
      <c r="E1885" s="113" t="s">
        <v>2643</v>
      </c>
      <c r="F1885" s="1604">
        <f>60+46513.6+134.6+76.6+18.6</f>
        <v>46803.399999999994</v>
      </c>
      <c r="G1885" s="1605">
        <v>45881.100000000006</v>
      </c>
      <c r="H1885" s="1605">
        <v>51458.3</v>
      </c>
      <c r="I1885" s="1605">
        <f>20240.1+9562.9+20551.8+338.4+58.4+115.2+19.9+129.6+22.3+288+49.7+0.7+100</f>
        <v>51477</v>
      </c>
      <c r="J1885" s="1605">
        <f>20240.1+9562.9+20551.8+338.4+58.4+115.2+19.9+129.6+22.3+288+49.7+0.7+100</f>
        <v>51477</v>
      </c>
      <c r="K1885" s="918" t="s">
        <v>2644</v>
      </c>
      <c r="L1885" s="915" t="s">
        <v>173</v>
      </c>
      <c r="M1885" s="918">
        <v>7</v>
      </c>
      <c r="N1885" s="1606">
        <v>15</v>
      </c>
      <c r="O1885" s="1606">
        <v>15</v>
      </c>
      <c r="P1885" s="1606">
        <v>15</v>
      </c>
      <c r="Q1885" s="1606">
        <v>15</v>
      </c>
    </row>
    <row r="1886" spans="2:17" ht="75" x14ac:dyDescent="0.25">
      <c r="B1886" s="1603"/>
      <c r="C1886" s="527" t="s">
        <v>11</v>
      </c>
      <c r="D1886" s="1603"/>
      <c r="E1886" s="112" t="s">
        <v>2645</v>
      </c>
      <c r="F1886" s="1605">
        <f>23386.4+400.4+3.7</f>
        <v>23790.500000000004</v>
      </c>
      <c r="G1886" s="1605">
        <v>22755.9</v>
      </c>
      <c r="H1886" s="1605">
        <f>12078.4+11950.6+144+24.8+201.6+34.8</f>
        <v>24434.199999999997</v>
      </c>
      <c r="I1886" s="1605">
        <f>12078.4+11950.6+144+24.8+201.6+34.8</f>
        <v>24434.199999999997</v>
      </c>
      <c r="J1886" s="1605">
        <f>12078.4+11950.6+144+24.8+201.6+34.8</f>
        <v>24434.199999999997</v>
      </c>
      <c r="K1886" s="918" t="s">
        <v>2646</v>
      </c>
      <c r="L1886" s="915" t="s">
        <v>173</v>
      </c>
      <c r="M1886" s="918">
        <v>15</v>
      </c>
      <c r="N1886" s="1607">
        <v>15</v>
      </c>
      <c r="O1886" s="1607">
        <v>15</v>
      </c>
      <c r="P1886" s="1607">
        <v>15</v>
      </c>
      <c r="Q1886" s="1607">
        <v>15</v>
      </c>
    </row>
    <row r="1887" spans="2:17" ht="43.5" x14ac:dyDescent="0.25">
      <c r="B1887" s="525" t="s">
        <v>500</v>
      </c>
      <c r="C1887" s="1598"/>
      <c r="D1887" s="1598"/>
      <c r="E1887" s="1608" t="s">
        <v>2647</v>
      </c>
      <c r="F1887" s="1609">
        <f>F1888+F1889+F1890</f>
        <v>116676.59999999998</v>
      </c>
      <c r="G1887" s="469">
        <v>107160.9</v>
      </c>
      <c r="H1887" s="1609">
        <f>H1888+H1889+H1890</f>
        <v>133125.40000000002</v>
      </c>
      <c r="I1887" s="469">
        <f>I1888+I1889+I1890</f>
        <v>114061.4</v>
      </c>
      <c r="J1887" s="469">
        <f>J1888+J1889+J1890</f>
        <v>114867</v>
      </c>
      <c r="K1887" s="1600" t="s">
        <v>2648</v>
      </c>
      <c r="L1887" s="1601" t="s">
        <v>40</v>
      </c>
      <c r="M1887" s="1600"/>
      <c r="N1887" s="1602"/>
      <c r="O1887" s="1602"/>
      <c r="P1887" s="1602"/>
      <c r="Q1887" s="1602"/>
    </row>
    <row r="1888" spans="2:17" ht="105" x14ac:dyDescent="0.25">
      <c r="B1888" s="1603"/>
      <c r="C1888" s="527" t="s">
        <v>5</v>
      </c>
      <c r="D1888" s="1603"/>
      <c r="E1888" s="113" t="s">
        <v>2649</v>
      </c>
      <c r="F1888" s="1604">
        <f>1574+5659.5+4353.2+789.15+14698+8322.8+12427+6029.2+25+29.6+71+143.2</f>
        <v>54121.649999999987</v>
      </c>
      <c r="G1888" s="1605">
        <v>50163.25</v>
      </c>
      <c r="H1888" s="1605">
        <v>78619.100000000006</v>
      </c>
      <c r="I1888" s="1605">
        <f>25195.8+12961.1+8943.9+446.4+77+50.4+8.7+36+6.2+1740+1404+4485+4094.7</f>
        <v>59449.2</v>
      </c>
      <c r="J1888" s="1605">
        <f>25195.8+12961.1+8943.9+446.4+77+50.4+8.7+36+6.2+1840+1684.8+4842+4139</f>
        <v>60231.3</v>
      </c>
      <c r="K1888" s="918" t="s">
        <v>2650</v>
      </c>
      <c r="L1888" s="915" t="s">
        <v>2651</v>
      </c>
      <c r="M1888" s="918">
        <v>2000</v>
      </c>
      <c r="N1888" s="1607">
        <v>5450</v>
      </c>
      <c r="O1888" s="1607">
        <v>5900</v>
      </c>
      <c r="P1888" s="1607">
        <v>6070</v>
      </c>
      <c r="Q1888" s="1607">
        <v>6500</v>
      </c>
    </row>
    <row r="1889" spans="2:17" ht="75" x14ac:dyDescent="0.25">
      <c r="B1889" s="1603"/>
      <c r="C1889" s="527" t="s">
        <v>7</v>
      </c>
      <c r="D1889" s="1603"/>
      <c r="E1889" s="113" t="s">
        <v>2652</v>
      </c>
      <c r="F1889" s="1604">
        <f>2956.9+11878.3+8322.9+5209.6+207.6+859.3</f>
        <v>29434.599999999995</v>
      </c>
      <c r="G1889" s="1605">
        <v>27680.7</v>
      </c>
      <c r="H1889" s="1605">
        <v>46405.599999999999</v>
      </c>
      <c r="I1889" s="1605">
        <f>20539.4+12219.1+10686.1+331.2+57.1+172.8+29.8+144+24.8+2307.2</f>
        <v>46511.5</v>
      </c>
      <c r="J1889" s="1605">
        <f>20539.4+12219.1+10686.1+331.2+57.1+172.8+29.8+144+24.8+2330.7</f>
        <v>46535</v>
      </c>
      <c r="K1889" s="918" t="s">
        <v>2653</v>
      </c>
      <c r="L1889" s="915" t="s">
        <v>173</v>
      </c>
      <c r="M1889" s="918" t="s">
        <v>2654</v>
      </c>
      <c r="N1889" s="918" t="s">
        <v>2655</v>
      </c>
      <c r="O1889" s="918" t="s">
        <v>2656</v>
      </c>
      <c r="P1889" s="918" t="s">
        <v>2657</v>
      </c>
      <c r="Q1889" s="918" t="s">
        <v>2658</v>
      </c>
    </row>
    <row r="1890" spans="2:17" ht="90" x14ac:dyDescent="0.25">
      <c r="B1890" s="1603"/>
      <c r="C1890" s="527" t="s">
        <v>9</v>
      </c>
      <c r="D1890" s="1603"/>
      <c r="E1890" s="113" t="s">
        <v>2659</v>
      </c>
      <c r="F1890" s="1604">
        <f>789.15+123.2+12427.1+5209.7+6029.2+7866.8+409.1+122.9+143.2</f>
        <v>33120.35</v>
      </c>
      <c r="G1890" s="1605">
        <v>29316.95</v>
      </c>
      <c r="H1890" s="1605">
        <f>8016.3+72+12.4</f>
        <v>8100.7</v>
      </c>
      <c r="I1890" s="1605">
        <f>8016.3+72+12.4</f>
        <v>8100.7</v>
      </c>
      <c r="J1890" s="1605">
        <f>8016.3+72+12.4</f>
        <v>8100.7</v>
      </c>
      <c r="K1890" s="918" t="s">
        <v>2660</v>
      </c>
      <c r="L1890" s="915" t="s">
        <v>173</v>
      </c>
      <c r="M1890" s="918" t="s">
        <v>2661</v>
      </c>
      <c r="N1890" s="918" t="s">
        <v>2662</v>
      </c>
      <c r="O1890" s="918" t="s">
        <v>2663</v>
      </c>
      <c r="P1890" s="918" t="s">
        <v>2663</v>
      </c>
      <c r="Q1890" s="918" t="s">
        <v>2664</v>
      </c>
    </row>
    <row r="1891" spans="2:17" ht="28.5" x14ac:dyDescent="0.25">
      <c r="B1891" s="525" t="s">
        <v>508</v>
      </c>
      <c r="C1891" s="1598"/>
      <c r="D1891" s="1598"/>
      <c r="E1891" s="119" t="s">
        <v>2665</v>
      </c>
      <c r="F1891" s="1609">
        <f>F1892+F1893+F1894</f>
        <v>75470.799999999988</v>
      </c>
      <c r="G1891" s="469">
        <v>50966.799999999996</v>
      </c>
      <c r="H1891" s="1609">
        <f>H1892+H1893+H1894</f>
        <v>71334</v>
      </c>
      <c r="I1891" s="469">
        <f>I1892+I1893+I1894</f>
        <v>54661.5</v>
      </c>
      <c r="J1891" s="469">
        <f>J1892+J1893+J1894</f>
        <v>55354.8</v>
      </c>
      <c r="K1891" s="1600" t="s">
        <v>2666</v>
      </c>
      <c r="L1891" s="1601" t="s">
        <v>173</v>
      </c>
      <c r="M1891" s="1600"/>
      <c r="N1891" s="1602"/>
      <c r="O1891" s="1602"/>
      <c r="P1891" s="1602"/>
      <c r="Q1891" s="1602"/>
    </row>
    <row r="1892" spans="2:17" ht="90" x14ac:dyDescent="0.25">
      <c r="B1892" s="1603"/>
      <c r="C1892" s="527" t="s">
        <v>5</v>
      </c>
      <c r="D1892" s="1603"/>
      <c r="E1892" s="112" t="s">
        <v>2667</v>
      </c>
      <c r="F1892" s="1604">
        <f>3438.4+6595.3+5656.9+125+125</f>
        <v>15940.6</v>
      </c>
      <c r="G1892" s="1605">
        <v>17069.5</v>
      </c>
      <c r="H1892" s="1605">
        <v>23565.4</v>
      </c>
      <c r="I1892" s="1605">
        <f>6154.6+7026+280.8+48.4+144+24.8+3161.5</f>
        <v>16840.099999999999</v>
      </c>
      <c r="J1892" s="1605">
        <v>17423.900000000001</v>
      </c>
      <c r="K1892" s="918" t="s">
        <v>2668</v>
      </c>
      <c r="L1892" s="915" t="s">
        <v>173</v>
      </c>
      <c r="M1892" s="918" t="s">
        <v>2669</v>
      </c>
      <c r="N1892" s="918" t="s">
        <v>2670</v>
      </c>
      <c r="O1892" s="918" t="s">
        <v>2671</v>
      </c>
      <c r="P1892" s="918" t="s">
        <v>2672</v>
      </c>
      <c r="Q1892" s="918" t="s">
        <v>2673</v>
      </c>
    </row>
    <row r="1893" spans="2:17" ht="75" x14ac:dyDescent="0.25">
      <c r="B1893" s="1603"/>
      <c r="C1893" s="527" t="s">
        <v>7</v>
      </c>
      <c r="D1893" s="1603"/>
      <c r="E1893" s="113" t="s">
        <v>2674</v>
      </c>
      <c r="F1893" s="1604">
        <f>37062.9+3948.7</f>
        <v>41011.599999999999</v>
      </c>
      <c r="G1893" s="1605">
        <v>16103.1</v>
      </c>
      <c r="H1893" s="1605">
        <v>27931</v>
      </c>
      <c r="I1893" s="1605">
        <f>13373+4254.1+194.4+33.5+64.8+11.1</f>
        <v>17930.899999999998</v>
      </c>
      <c r="J1893" s="1605">
        <f>13373+4254.1+194.4+33.5+64.8+11.1</f>
        <v>17930.899999999998</v>
      </c>
      <c r="K1893" s="918" t="s">
        <v>2675</v>
      </c>
      <c r="L1893" s="915" t="s">
        <v>173</v>
      </c>
      <c r="M1893" s="918">
        <v>5</v>
      </c>
      <c r="N1893" s="1606">
        <v>6</v>
      </c>
      <c r="O1893" s="1606">
        <v>4</v>
      </c>
      <c r="P1893" s="1606">
        <v>6</v>
      </c>
      <c r="Q1893" s="1606">
        <v>5</v>
      </c>
    </row>
    <row r="1894" spans="2:17" ht="45" x14ac:dyDescent="0.25">
      <c r="B1894" s="1603"/>
      <c r="C1894" s="527" t="s">
        <v>9</v>
      </c>
      <c r="D1894" s="1603"/>
      <c r="E1894" s="942" t="s">
        <v>2676</v>
      </c>
      <c r="F1894" s="1604">
        <f>9434.2+6523.4+2534.7+26.2+0.1</f>
        <v>18518.599999999999</v>
      </c>
      <c r="G1894" s="1604">
        <v>17794.199999999997</v>
      </c>
      <c r="H1894" s="1604">
        <f>7247.3+2348.6+9490.5+7.2+1.2+7.2+1.2+316.8+54.6+363</f>
        <v>19837.600000000002</v>
      </c>
      <c r="I1894" s="1604">
        <v>19890.5</v>
      </c>
      <c r="J1894" s="1604">
        <v>20000</v>
      </c>
      <c r="K1894" s="528" t="s">
        <v>2677</v>
      </c>
      <c r="L1894" s="664" t="s">
        <v>173</v>
      </c>
      <c r="M1894" s="528">
        <v>5</v>
      </c>
      <c r="N1894" s="1610">
        <v>3</v>
      </c>
      <c r="O1894" s="1610">
        <v>4</v>
      </c>
      <c r="P1894" s="1610">
        <v>4</v>
      </c>
      <c r="Q1894" s="1610">
        <v>4</v>
      </c>
    </row>
    <row r="1895" spans="2:17" x14ac:dyDescent="0.25">
      <c r="B1895" s="1735" t="s">
        <v>85</v>
      </c>
      <c r="C1895" s="1735"/>
      <c r="D1895" s="1735"/>
      <c r="E1895" s="1735"/>
      <c r="F1895" s="904">
        <f>SUM(F1891+F1887+F1882+F1877)</f>
        <v>365670.6</v>
      </c>
      <c r="G1895" s="1611">
        <v>320477.29999999993</v>
      </c>
      <c r="H1895" s="904">
        <f>SUM(H1891+H1887+H1882+H1877)</f>
        <v>418873.7</v>
      </c>
      <c r="I1895" s="904">
        <f>SUM(I1891+I1887+I1882+I1877)</f>
        <v>383103.8</v>
      </c>
      <c r="J1895" s="904">
        <f>SUM(J1891+J1887+J1882+J1877)</f>
        <v>384610.39999999997</v>
      </c>
      <c r="K1895" s="1302"/>
      <c r="L1895" s="1736"/>
      <c r="M1895" s="1736"/>
      <c r="N1895" s="1736"/>
      <c r="O1895" s="1736"/>
      <c r="P1895" s="1736"/>
      <c r="Q1895" s="1736"/>
    </row>
    <row r="1896" spans="2:17" x14ac:dyDescent="0.25">
      <c r="B1896" s="1737" t="s">
        <v>2678</v>
      </c>
      <c r="C1896" s="1737"/>
      <c r="D1896" s="1737"/>
      <c r="E1896" s="1737"/>
      <c r="F1896" s="1737"/>
      <c r="G1896" s="1737"/>
      <c r="H1896" s="1737"/>
      <c r="I1896" s="1737"/>
      <c r="J1896" s="1737"/>
      <c r="K1896" s="1737"/>
      <c r="L1896" s="1737"/>
      <c r="M1896" s="1737"/>
      <c r="N1896" s="1737"/>
      <c r="O1896" s="1737"/>
      <c r="P1896" s="1737"/>
      <c r="Q1896" s="1737"/>
    </row>
    <row r="1897" spans="2:17" ht="44.25" x14ac:dyDescent="0.25">
      <c r="B1897" s="521" t="s">
        <v>467</v>
      </c>
      <c r="C1897" s="1017"/>
      <c r="D1897" s="1017"/>
      <c r="E1897" s="1612" t="s">
        <v>2679</v>
      </c>
      <c r="F1897" s="359">
        <f>F1898</f>
        <v>151790.39999999999</v>
      </c>
      <c r="G1897" s="359">
        <f>G1898</f>
        <v>215233.2</v>
      </c>
      <c r="H1897" s="359">
        <f>H1898</f>
        <v>215233.2</v>
      </c>
      <c r="I1897" s="359">
        <f>I1898</f>
        <v>216066</v>
      </c>
      <c r="J1897" s="359">
        <f>J1898</f>
        <v>216663</v>
      </c>
      <c r="K1897" s="328" t="s">
        <v>2680</v>
      </c>
      <c r="L1897" s="328"/>
      <c r="M1897" s="328"/>
      <c r="N1897" s="1398"/>
      <c r="O1897" s="1398"/>
      <c r="P1897" s="1398"/>
      <c r="Q1897" s="1398"/>
    </row>
    <row r="1898" spans="2:17" ht="45" x14ac:dyDescent="0.25">
      <c r="B1898" s="1016"/>
      <c r="C1898" s="1017" t="s">
        <v>5</v>
      </c>
      <c r="D1898" s="1017"/>
      <c r="E1898" s="328" t="s">
        <v>2681</v>
      </c>
      <c r="F1898" s="364">
        <v>151790.39999999999</v>
      </c>
      <c r="G1898" s="364">
        <v>215233.2</v>
      </c>
      <c r="H1898" s="364">
        <v>215233.2</v>
      </c>
      <c r="I1898" s="364">
        <v>216066</v>
      </c>
      <c r="J1898" s="364">
        <v>216663</v>
      </c>
      <c r="K1898" s="328" t="s">
        <v>2682</v>
      </c>
      <c r="L1898" s="328"/>
      <c r="M1898" s="328">
        <v>7031</v>
      </c>
      <c r="N1898" s="1015">
        <v>7200</v>
      </c>
      <c r="O1898" s="1015">
        <v>7250</v>
      </c>
      <c r="P1898" s="1015">
        <v>7300</v>
      </c>
      <c r="Q1898" s="1015">
        <v>7400</v>
      </c>
    </row>
    <row r="1899" spans="2:17" x14ac:dyDescent="0.25">
      <c r="B1899" s="1738" t="s">
        <v>85</v>
      </c>
      <c r="C1899" s="1738"/>
      <c r="D1899" s="1738"/>
      <c r="E1899" s="1738"/>
      <c r="F1899" s="1018">
        <f>F1897</f>
        <v>151790.39999999999</v>
      </c>
      <c r="G1899" s="1018">
        <v>215233.2</v>
      </c>
      <c r="H1899" s="1018">
        <f>H1897</f>
        <v>215233.2</v>
      </c>
      <c r="I1899" s="1018">
        <v>216066</v>
      </c>
      <c r="J1899" s="1018">
        <f>J1897</f>
        <v>216663</v>
      </c>
      <c r="K1899" s="1400"/>
      <c r="L1899" s="1739"/>
      <c r="M1899" s="1739"/>
      <c r="N1899" s="1739"/>
      <c r="O1899" s="1739"/>
      <c r="P1899" s="1739"/>
      <c r="Q1899" s="1739"/>
    </row>
    <row r="1900" spans="2:17" x14ac:dyDescent="0.25">
      <c r="B1900" s="1712" t="s">
        <v>2683</v>
      </c>
      <c r="C1900" s="1712"/>
      <c r="D1900" s="1712"/>
      <c r="E1900" s="1712"/>
      <c r="F1900" s="1712"/>
      <c r="G1900" s="1712"/>
      <c r="H1900" s="1712"/>
      <c r="I1900" s="1712"/>
      <c r="J1900" s="1712"/>
      <c r="K1900" s="1712"/>
      <c r="L1900" s="1712"/>
      <c r="M1900" s="1712"/>
      <c r="N1900" s="1712"/>
      <c r="O1900" s="1712"/>
      <c r="P1900" s="1712"/>
      <c r="Q1900" s="1712"/>
    </row>
    <row r="1901" spans="2:17" ht="73.5" x14ac:dyDescent="0.25">
      <c r="B1901" s="1613">
        <v>1</v>
      </c>
      <c r="C1901" s="1614"/>
      <c r="D1901" s="1615"/>
      <c r="E1901" s="1616" t="s">
        <v>2474</v>
      </c>
      <c r="F1901" s="1617">
        <v>11446.2</v>
      </c>
      <c r="G1901" s="68">
        <v>11495.5</v>
      </c>
      <c r="H1901" s="1617">
        <v>11453.8</v>
      </c>
      <c r="I1901" s="1617">
        <v>11464.720000000001</v>
      </c>
      <c r="J1901" s="1617">
        <v>11489.02</v>
      </c>
      <c r="K1901" s="1616" t="s">
        <v>34</v>
      </c>
      <c r="L1901" s="1446" t="s">
        <v>35</v>
      </c>
      <c r="M1901" s="1618">
        <v>100</v>
      </c>
      <c r="N1901" s="1619">
        <v>1</v>
      </c>
      <c r="O1901" s="1619">
        <v>1</v>
      </c>
      <c r="P1901" s="1619">
        <v>1</v>
      </c>
      <c r="Q1901" s="1619">
        <v>1</v>
      </c>
    </row>
    <row r="1902" spans="2:17" x14ac:dyDescent="0.25">
      <c r="B1902" s="1613"/>
      <c r="C1902" s="1620">
        <v>1</v>
      </c>
      <c r="D1902" s="1614"/>
      <c r="E1902" s="1179" t="s">
        <v>6</v>
      </c>
      <c r="F1902" s="1621">
        <v>1342.86</v>
      </c>
      <c r="G1902" s="311">
        <v>1342.86</v>
      </c>
      <c r="H1902" s="1621">
        <v>1386.5</v>
      </c>
      <c r="I1902" s="1621">
        <v>1386.44</v>
      </c>
      <c r="J1902" s="1621">
        <v>1386.44</v>
      </c>
      <c r="K1902" s="1622" t="s">
        <v>36</v>
      </c>
      <c r="L1902" s="1446" t="s">
        <v>37</v>
      </c>
      <c r="M1902" s="1447" t="s">
        <v>169</v>
      </c>
      <c r="N1902" s="1623" t="s">
        <v>169</v>
      </c>
      <c r="O1902" s="1623" t="s">
        <v>169</v>
      </c>
      <c r="P1902" s="1623" t="s">
        <v>169</v>
      </c>
      <c r="Q1902" s="1623" t="s">
        <v>169</v>
      </c>
    </row>
    <row r="1903" spans="2:17" ht="30" x14ac:dyDescent="0.25">
      <c r="B1903" s="1613"/>
      <c r="C1903" s="1620">
        <v>2</v>
      </c>
      <c r="D1903" s="1614"/>
      <c r="E1903" s="1179" t="s">
        <v>8</v>
      </c>
      <c r="F1903" s="1621">
        <v>790.14</v>
      </c>
      <c r="G1903" s="311">
        <v>790.14</v>
      </c>
      <c r="H1903" s="1621">
        <v>739.2</v>
      </c>
      <c r="I1903" s="1621">
        <v>739</v>
      </c>
      <c r="J1903" s="1621">
        <v>739</v>
      </c>
      <c r="K1903" s="1622" t="s">
        <v>38</v>
      </c>
      <c r="L1903" s="1446" t="s">
        <v>35</v>
      </c>
      <c r="M1903" s="1446">
        <v>100</v>
      </c>
      <c r="N1903" s="1624">
        <v>1</v>
      </c>
      <c r="O1903" s="1624">
        <v>1</v>
      </c>
      <c r="P1903" s="1624">
        <v>1</v>
      </c>
      <c r="Q1903" s="1624">
        <v>1</v>
      </c>
    </row>
    <row r="1904" spans="2:17" ht="30" x14ac:dyDescent="0.25">
      <c r="B1904" s="1613"/>
      <c r="C1904" s="1620">
        <v>3</v>
      </c>
      <c r="D1904" s="1614"/>
      <c r="E1904" s="1179" t="s">
        <v>10</v>
      </c>
      <c r="F1904" s="1621">
        <v>353.16</v>
      </c>
      <c r="G1904" s="311">
        <v>353.16</v>
      </c>
      <c r="H1904" s="1621">
        <v>371</v>
      </c>
      <c r="I1904" s="1621">
        <v>371</v>
      </c>
      <c r="J1904" s="1621">
        <v>371</v>
      </c>
      <c r="K1904" s="1622" t="s">
        <v>39</v>
      </c>
      <c r="L1904" s="1446" t="s">
        <v>35</v>
      </c>
      <c r="M1904" s="1446">
        <v>100</v>
      </c>
      <c r="N1904" s="1623" t="s">
        <v>190</v>
      </c>
      <c r="O1904" s="1623" t="s">
        <v>190</v>
      </c>
      <c r="P1904" s="1623" t="s">
        <v>190</v>
      </c>
      <c r="Q1904" s="1623" t="s">
        <v>190</v>
      </c>
    </row>
    <row r="1905" spans="2:17" ht="30" x14ac:dyDescent="0.25">
      <c r="B1905" s="1613"/>
      <c r="C1905" s="1620">
        <v>4</v>
      </c>
      <c r="D1905" s="1614"/>
      <c r="E1905" s="1179" t="s">
        <v>12</v>
      </c>
      <c r="F1905" s="1621">
        <v>384.39</v>
      </c>
      <c r="G1905" s="311">
        <v>384.39</v>
      </c>
      <c r="H1905" s="1621">
        <v>417</v>
      </c>
      <c r="I1905" s="1621">
        <v>417</v>
      </c>
      <c r="J1905" s="1621">
        <v>417</v>
      </c>
      <c r="K1905" s="1622" t="s">
        <v>191</v>
      </c>
      <c r="L1905" s="1446" t="s">
        <v>192</v>
      </c>
      <c r="M1905" s="1446" t="s">
        <v>169</v>
      </c>
      <c r="N1905" s="1623" t="s">
        <v>190</v>
      </c>
      <c r="O1905" s="1623" t="s">
        <v>190</v>
      </c>
      <c r="P1905" s="1623" t="s">
        <v>190</v>
      </c>
      <c r="Q1905" s="1623" t="s">
        <v>190</v>
      </c>
    </row>
    <row r="1906" spans="2:17" ht="30" x14ac:dyDescent="0.25">
      <c r="B1906" s="1613"/>
      <c r="C1906" s="1620">
        <v>5</v>
      </c>
      <c r="D1906" s="1614"/>
      <c r="E1906" s="1179" t="s">
        <v>13</v>
      </c>
      <c r="F1906" s="1621">
        <v>350.47</v>
      </c>
      <c r="G1906" s="311">
        <v>350.47</v>
      </c>
      <c r="H1906" s="1621">
        <v>370</v>
      </c>
      <c r="I1906" s="1621">
        <v>370</v>
      </c>
      <c r="J1906" s="1621">
        <v>370</v>
      </c>
      <c r="K1906" s="1622" t="s">
        <v>45</v>
      </c>
      <c r="L1906" s="1623" t="s">
        <v>40</v>
      </c>
      <c r="M1906" s="1446"/>
      <c r="N1906" s="1623" t="s">
        <v>190</v>
      </c>
      <c r="O1906" s="1623" t="s">
        <v>190</v>
      </c>
      <c r="P1906" s="1623" t="s">
        <v>190</v>
      </c>
      <c r="Q1906" s="1623" t="s">
        <v>190</v>
      </c>
    </row>
    <row r="1907" spans="2:17" ht="45" x14ac:dyDescent="0.25">
      <c r="B1907" s="1613"/>
      <c r="C1907" s="1620">
        <v>6</v>
      </c>
      <c r="D1907" s="1614"/>
      <c r="E1907" s="1622" t="s">
        <v>14</v>
      </c>
      <c r="F1907" s="1621">
        <v>1417.3</v>
      </c>
      <c r="G1907" s="311">
        <v>1466.6</v>
      </c>
      <c r="H1907" s="1621">
        <v>1520</v>
      </c>
      <c r="I1907" s="1621">
        <v>1557.1</v>
      </c>
      <c r="J1907" s="1621">
        <v>1557.1</v>
      </c>
      <c r="K1907" s="1622" t="s">
        <v>41</v>
      </c>
      <c r="L1907" s="1623" t="s">
        <v>35</v>
      </c>
      <c r="M1907" s="1446">
        <v>7.6</v>
      </c>
      <c r="N1907" s="1625">
        <v>7.5999999999999998E-2</v>
      </c>
      <c r="O1907" s="1625">
        <v>7.5999999999999998E-2</v>
      </c>
      <c r="P1907" s="1625">
        <v>7.5999999999999998E-2</v>
      </c>
      <c r="Q1907" s="1625">
        <v>7.5999999999999998E-2</v>
      </c>
    </row>
    <row r="1908" spans="2:17" ht="60" x14ac:dyDescent="0.25">
      <c r="B1908" s="1613"/>
      <c r="C1908" s="1620">
        <v>7</v>
      </c>
      <c r="D1908" s="1614"/>
      <c r="E1908" s="1622" t="s">
        <v>464</v>
      </c>
      <c r="F1908" s="1621">
        <v>2235.38</v>
      </c>
      <c r="G1908" s="311">
        <v>2235.38</v>
      </c>
      <c r="H1908" s="1621">
        <v>2235.4</v>
      </c>
      <c r="I1908" s="1621">
        <v>2335.38</v>
      </c>
      <c r="J1908" s="1621">
        <v>2335.38</v>
      </c>
      <c r="K1908" s="1622" t="s">
        <v>2684</v>
      </c>
      <c r="L1908" s="1446" t="s">
        <v>35</v>
      </c>
      <c r="M1908" s="1446">
        <v>100</v>
      </c>
      <c r="N1908" s="1623" t="s">
        <v>190</v>
      </c>
      <c r="O1908" s="1623" t="s">
        <v>190</v>
      </c>
      <c r="P1908" s="1623" t="s">
        <v>190</v>
      </c>
      <c r="Q1908" s="1623" t="s">
        <v>190</v>
      </c>
    </row>
    <row r="1909" spans="2:17" ht="45" x14ac:dyDescent="0.25">
      <c r="B1909" s="1613"/>
      <c r="C1909" s="1620">
        <v>8</v>
      </c>
      <c r="D1909" s="1614"/>
      <c r="E1909" s="1622" t="s">
        <v>333</v>
      </c>
      <c r="F1909" s="1621">
        <v>4572.5</v>
      </c>
      <c r="G1909" s="311">
        <v>4572.5</v>
      </c>
      <c r="H1909" s="1621">
        <v>4414.7</v>
      </c>
      <c r="I1909" s="1621">
        <v>4288.8</v>
      </c>
      <c r="J1909" s="1621">
        <v>4313.1000000000004</v>
      </c>
      <c r="K1909" s="1622" t="s">
        <v>2685</v>
      </c>
      <c r="L1909" s="1623" t="s">
        <v>35</v>
      </c>
      <c r="M1909" s="1446">
        <v>22.4</v>
      </c>
      <c r="N1909" s="1623" t="s">
        <v>190</v>
      </c>
      <c r="O1909" s="1623" t="s">
        <v>190</v>
      </c>
      <c r="P1909" s="1623" t="s">
        <v>190</v>
      </c>
      <c r="Q1909" s="1623" t="s">
        <v>190</v>
      </c>
    </row>
    <row r="1910" spans="2:17" ht="117.75" x14ac:dyDescent="0.25">
      <c r="B1910" s="1613">
        <v>2</v>
      </c>
      <c r="C1910" s="719"/>
      <c r="D1910" s="1626"/>
      <c r="E1910" s="1616" t="s">
        <v>2686</v>
      </c>
      <c r="F1910" s="1617">
        <v>972.3</v>
      </c>
      <c r="G1910" s="68">
        <v>972.3</v>
      </c>
      <c r="H1910" s="1617">
        <v>1014</v>
      </c>
      <c r="I1910" s="1617">
        <v>1014</v>
      </c>
      <c r="J1910" s="1617">
        <v>1014</v>
      </c>
      <c r="K1910" s="1616" t="s">
        <v>2687</v>
      </c>
      <c r="L1910" s="1627" t="s">
        <v>35</v>
      </c>
      <c r="M1910" s="1614"/>
      <c r="N1910" s="1623" t="s">
        <v>190</v>
      </c>
      <c r="O1910" s="1623" t="s">
        <v>190</v>
      </c>
      <c r="P1910" s="1623" t="s">
        <v>190</v>
      </c>
      <c r="Q1910" s="1623" t="s">
        <v>190</v>
      </c>
    </row>
    <row r="1911" spans="2:17" ht="30" x14ac:dyDescent="0.25">
      <c r="B1911" s="719"/>
      <c r="C1911" s="1620">
        <v>1</v>
      </c>
      <c r="D1911" s="1626"/>
      <c r="E1911" s="1622" t="s">
        <v>2688</v>
      </c>
      <c r="F1911" s="1621">
        <v>237.4</v>
      </c>
      <c r="G1911" s="720">
        <v>237.4</v>
      </c>
      <c r="H1911" s="1628">
        <v>238</v>
      </c>
      <c r="I1911" s="1628">
        <v>238</v>
      </c>
      <c r="J1911" s="1628">
        <v>238</v>
      </c>
      <c r="K1911" s="1622" t="s">
        <v>2689</v>
      </c>
      <c r="L1911" s="1627" t="s">
        <v>40</v>
      </c>
      <c r="M1911" s="1446">
        <v>39</v>
      </c>
      <c r="N1911" s="1623" t="s">
        <v>190</v>
      </c>
      <c r="O1911" s="1623" t="s">
        <v>190</v>
      </c>
      <c r="P1911" s="1623" t="s">
        <v>190</v>
      </c>
      <c r="Q1911" s="1623" t="s">
        <v>190</v>
      </c>
    </row>
    <row r="1912" spans="2:17" ht="60" x14ac:dyDescent="0.25">
      <c r="B1912" s="719"/>
      <c r="C1912" s="1629">
        <v>2</v>
      </c>
      <c r="D1912" s="1626"/>
      <c r="E1912" s="1622" t="s">
        <v>2690</v>
      </c>
      <c r="F1912" s="1621">
        <v>124.4</v>
      </c>
      <c r="G1912" s="720">
        <v>124.4</v>
      </c>
      <c r="H1912" s="1628">
        <v>132</v>
      </c>
      <c r="I1912" s="1628">
        <v>132</v>
      </c>
      <c r="J1912" s="1628">
        <v>132</v>
      </c>
      <c r="K1912" s="1622" t="s">
        <v>2691</v>
      </c>
      <c r="L1912" s="1627" t="s">
        <v>40</v>
      </c>
      <c r="M1912" s="1446">
        <v>75</v>
      </c>
      <c r="N1912" s="1623" t="s">
        <v>190</v>
      </c>
      <c r="O1912" s="1623" t="s">
        <v>190</v>
      </c>
      <c r="P1912" s="1623" t="s">
        <v>190</v>
      </c>
      <c r="Q1912" s="1623" t="s">
        <v>190</v>
      </c>
    </row>
    <row r="1913" spans="2:17" ht="75" x14ac:dyDescent="0.25">
      <c r="B1913" s="719"/>
      <c r="C1913" s="1620">
        <v>3</v>
      </c>
      <c r="D1913" s="1626"/>
      <c r="E1913" s="1622" t="s">
        <v>2692</v>
      </c>
      <c r="F1913" s="1621">
        <v>124.5</v>
      </c>
      <c r="G1913" s="720">
        <v>124.5</v>
      </c>
      <c r="H1913" s="1628">
        <v>131</v>
      </c>
      <c r="I1913" s="1628">
        <v>131</v>
      </c>
      <c r="J1913" s="1628">
        <v>131</v>
      </c>
      <c r="K1913" s="1622" t="s">
        <v>2693</v>
      </c>
      <c r="L1913" s="1630" t="s">
        <v>35</v>
      </c>
      <c r="M1913" s="1446" t="s">
        <v>169</v>
      </c>
      <c r="N1913" s="1623" t="s">
        <v>190</v>
      </c>
      <c r="O1913" s="1623" t="s">
        <v>190</v>
      </c>
      <c r="P1913" s="1623" t="s">
        <v>190</v>
      </c>
      <c r="Q1913" s="1623" t="s">
        <v>190</v>
      </c>
    </row>
    <row r="1914" spans="2:17" ht="30" x14ac:dyDescent="0.25">
      <c r="B1914" s="1727"/>
      <c r="C1914" s="1728">
        <v>4</v>
      </c>
      <c r="D1914" s="1729"/>
      <c r="E1914" s="1731" t="s">
        <v>2694</v>
      </c>
      <c r="F1914" s="1732">
        <v>373</v>
      </c>
      <c r="G1914" s="1733">
        <v>373</v>
      </c>
      <c r="H1914" s="1734">
        <v>393</v>
      </c>
      <c r="I1914" s="1734">
        <v>393</v>
      </c>
      <c r="J1914" s="1734">
        <v>393</v>
      </c>
      <c r="K1914" s="1622" t="s">
        <v>2695</v>
      </c>
      <c r="L1914" s="1627" t="s">
        <v>40</v>
      </c>
      <c r="M1914" s="1446">
        <v>991</v>
      </c>
      <c r="N1914" s="1721" t="s">
        <v>190</v>
      </c>
      <c r="O1914" s="1721" t="s">
        <v>190</v>
      </c>
      <c r="P1914" s="1721" t="s">
        <v>190</v>
      </c>
      <c r="Q1914" s="1721" t="s">
        <v>190</v>
      </c>
    </row>
    <row r="1915" spans="2:17" ht="45" x14ac:dyDescent="0.25">
      <c r="B1915" s="1727"/>
      <c r="C1915" s="1728"/>
      <c r="D1915" s="1730"/>
      <c r="E1915" s="1731"/>
      <c r="F1915" s="1732"/>
      <c r="G1915" s="1733"/>
      <c r="H1915" s="1734"/>
      <c r="I1915" s="1734"/>
      <c r="J1915" s="1734"/>
      <c r="K1915" s="1622" t="s">
        <v>2696</v>
      </c>
      <c r="L1915" s="1627" t="s">
        <v>116</v>
      </c>
      <c r="M1915" s="1446">
        <v>47</v>
      </c>
      <c r="N1915" s="1721"/>
      <c r="O1915" s="1721"/>
      <c r="P1915" s="1721"/>
      <c r="Q1915" s="1721"/>
    </row>
    <row r="1916" spans="2:17" ht="45" x14ac:dyDescent="0.25">
      <c r="B1916" s="719"/>
      <c r="C1916" s="1620">
        <v>5</v>
      </c>
      <c r="D1916" s="1626"/>
      <c r="E1916" s="1622" t="s">
        <v>2697</v>
      </c>
      <c r="F1916" s="1621">
        <v>113</v>
      </c>
      <c r="G1916" s="720">
        <v>113</v>
      </c>
      <c r="H1916" s="1628">
        <v>120</v>
      </c>
      <c r="I1916" s="1628">
        <v>120</v>
      </c>
      <c r="J1916" s="1628">
        <v>120</v>
      </c>
      <c r="K1916" s="1622" t="s">
        <v>2698</v>
      </c>
      <c r="L1916" s="1627" t="s">
        <v>35</v>
      </c>
      <c r="M1916" s="1446">
        <v>100</v>
      </c>
      <c r="N1916" s="1623" t="s">
        <v>190</v>
      </c>
      <c r="O1916" s="1623" t="s">
        <v>190</v>
      </c>
      <c r="P1916" s="1623" t="s">
        <v>190</v>
      </c>
      <c r="Q1916" s="1623" t="s">
        <v>190</v>
      </c>
    </row>
    <row r="1917" spans="2:17" x14ac:dyDescent="0.25">
      <c r="B1917" s="1693" t="s">
        <v>2462</v>
      </c>
      <c r="C1917" s="1693"/>
      <c r="D1917" s="1693"/>
      <c r="E1917" s="1693"/>
      <c r="F1917" s="1631">
        <f>SUM(F1910+F1901)</f>
        <v>12418.5</v>
      </c>
      <c r="G1917" s="1631">
        <f>SUM(G1910+G1901)</f>
        <v>12467.8</v>
      </c>
      <c r="H1917" s="1631">
        <f>SUM(H1910+H1901)</f>
        <v>12467.8</v>
      </c>
      <c r="I1917" s="1631">
        <f>SUM(I1910+I1901)</f>
        <v>12478.720000000001</v>
      </c>
      <c r="J1917" s="1631">
        <f>SUM(J1910+J1901)</f>
        <v>12503.02</v>
      </c>
      <c r="K1917" s="1632"/>
      <c r="L1917" s="1633"/>
      <c r="M1917" s="1631"/>
      <c r="N1917" s="1631"/>
      <c r="O1917" s="1631"/>
      <c r="P1917" s="1631"/>
      <c r="Q1917" s="1631"/>
    </row>
    <row r="1918" spans="2:17" x14ac:dyDescent="0.25">
      <c r="B1918" s="1722" t="s">
        <v>2699</v>
      </c>
      <c r="C1918" s="1698"/>
      <c r="D1918" s="1698"/>
      <c r="E1918" s="1698"/>
      <c r="F1918" s="1698"/>
      <c r="G1918" s="1698"/>
      <c r="H1918" s="1698"/>
      <c r="I1918" s="1698"/>
      <c r="J1918" s="1698"/>
      <c r="K1918" s="1698"/>
      <c r="L1918" s="1698"/>
      <c r="M1918" s="1698"/>
      <c r="N1918" s="1698"/>
      <c r="O1918" s="1698"/>
      <c r="P1918" s="1698"/>
      <c r="Q1918" s="1698"/>
    </row>
    <row r="1919" spans="2:17" x14ac:dyDescent="0.25">
      <c r="B1919" s="1723" t="s">
        <v>516</v>
      </c>
      <c r="C1919" s="1724"/>
      <c r="D1919" s="1724"/>
      <c r="E1919" s="1725" t="s">
        <v>2700</v>
      </c>
      <c r="F1919" s="1726">
        <f>F1921+F1922</f>
        <v>20679.2</v>
      </c>
      <c r="G1919" s="1726">
        <f>G1921+G1922</f>
        <v>20679.2</v>
      </c>
      <c r="H1919" s="1726">
        <f>H1921+H1922</f>
        <v>21779.200000000001</v>
      </c>
      <c r="I1919" s="1726">
        <f>I1921+I1922</f>
        <v>20697.2</v>
      </c>
      <c r="J1919" s="1726">
        <f>J1921+J1922</f>
        <v>20737.599999999999</v>
      </c>
      <c r="K1919" s="1329"/>
      <c r="L1919" s="1331"/>
      <c r="M1919" s="1331"/>
      <c r="N1919" s="1331"/>
      <c r="O1919" s="1331"/>
      <c r="P1919" s="1331"/>
      <c r="Q1919" s="1331"/>
    </row>
    <row r="1920" spans="2:17" x14ac:dyDescent="0.25">
      <c r="B1920" s="1723"/>
      <c r="C1920" s="1724"/>
      <c r="D1920" s="1724"/>
      <c r="E1920" s="1725"/>
      <c r="F1920" s="1726"/>
      <c r="G1920" s="1726"/>
      <c r="H1920" s="1726"/>
      <c r="I1920" s="1726"/>
      <c r="J1920" s="1726"/>
      <c r="K1920" s="1333"/>
      <c r="L1920" s="1634"/>
      <c r="M1920" s="1634"/>
      <c r="N1920" s="1634"/>
      <c r="O1920" s="1634"/>
      <c r="P1920" s="1634"/>
      <c r="Q1920" s="1634"/>
    </row>
    <row r="1921" spans="2:17" x14ac:dyDescent="0.25">
      <c r="B1921" s="1635"/>
      <c r="C1921" s="1636" t="s">
        <v>5</v>
      </c>
      <c r="D1921" s="1636"/>
      <c r="E1921" s="1637" t="s">
        <v>2701</v>
      </c>
      <c r="F1921" s="786">
        <v>10339.6</v>
      </c>
      <c r="G1921" s="786">
        <v>10339.6</v>
      </c>
      <c r="H1921" s="786">
        <v>10889.6</v>
      </c>
      <c r="I1921" s="786">
        <v>10348.6</v>
      </c>
      <c r="J1921" s="786">
        <v>10368.799999999999</v>
      </c>
      <c r="K1921" s="714" t="s">
        <v>2702</v>
      </c>
      <c r="L1921" s="660" t="s">
        <v>173</v>
      </c>
      <c r="M1921" s="660">
        <v>81</v>
      </c>
      <c r="N1921" s="660">
        <v>80</v>
      </c>
      <c r="O1921" s="660">
        <v>80</v>
      </c>
      <c r="P1921" s="660">
        <v>85</v>
      </c>
      <c r="Q1921" s="660">
        <v>90</v>
      </c>
    </row>
    <row r="1922" spans="2:17" ht="30" x14ac:dyDescent="0.25">
      <c r="B1922" s="1638"/>
      <c r="C1922" s="1639" t="s">
        <v>7</v>
      </c>
      <c r="D1922" s="1639"/>
      <c r="E1922" s="693" t="s">
        <v>2703</v>
      </c>
      <c r="F1922" s="786">
        <v>10339.6</v>
      </c>
      <c r="G1922" s="786">
        <v>10339.6</v>
      </c>
      <c r="H1922" s="786">
        <v>10889.6</v>
      </c>
      <c r="I1922" s="786">
        <v>10348.6</v>
      </c>
      <c r="J1922" s="786">
        <v>10368.799999999999</v>
      </c>
      <c r="K1922" s="693" t="s">
        <v>2704</v>
      </c>
      <c r="L1922" s="660" t="s">
        <v>2705</v>
      </c>
      <c r="M1922" s="421">
        <v>30269.3</v>
      </c>
      <c r="N1922" s="421">
        <v>30000</v>
      </c>
      <c r="O1922" s="421">
        <v>25000</v>
      </c>
      <c r="P1922" s="421">
        <v>20000</v>
      </c>
      <c r="Q1922" s="421">
        <v>15000</v>
      </c>
    </row>
    <row r="1923" spans="2:17" x14ac:dyDescent="0.25">
      <c r="B1923" s="1693" t="s">
        <v>2462</v>
      </c>
      <c r="C1923" s="1693"/>
      <c r="D1923" s="1693"/>
      <c r="E1923" s="1693"/>
      <c r="F1923" s="1008">
        <f>F1919</f>
        <v>20679.2</v>
      </c>
      <c r="G1923" s="1008">
        <f>G1919</f>
        <v>20679.2</v>
      </c>
      <c r="H1923" s="1008">
        <f>H1919</f>
        <v>21779.200000000001</v>
      </c>
      <c r="I1923" s="1008">
        <f>I1919</f>
        <v>20697.2</v>
      </c>
      <c r="J1923" s="1008">
        <f>J1919</f>
        <v>20737.599999999999</v>
      </c>
      <c r="K1923" s="1389"/>
      <c r="L1923" s="1709"/>
      <c r="M1923" s="1709"/>
      <c r="N1923" s="1709"/>
      <c r="O1923" s="1709"/>
      <c r="P1923" s="1709"/>
      <c r="Q1923" s="1709"/>
    </row>
    <row r="1924" spans="2:17" x14ac:dyDescent="0.25">
      <c r="B1924" s="1712" t="s">
        <v>2706</v>
      </c>
      <c r="C1924" s="1712"/>
      <c r="D1924" s="1712"/>
      <c r="E1924" s="1712"/>
      <c r="F1924" s="1712"/>
      <c r="G1924" s="1712"/>
      <c r="H1924" s="1712"/>
      <c r="I1924" s="1712"/>
      <c r="J1924" s="1712"/>
      <c r="K1924" s="1712"/>
      <c r="L1924" s="1712"/>
      <c r="M1924" s="1712"/>
      <c r="N1924" s="1712"/>
      <c r="O1924" s="1712"/>
      <c r="P1924" s="1712"/>
      <c r="Q1924" s="1712"/>
    </row>
    <row r="1925" spans="2:17" x14ac:dyDescent="0.25">
      <c r="B1925" s="768">
        <v>1</v>
      </c>
      <c r="C1925" s="674"/>
      <c r="D1925" s="1045"/>
      <c r="E1925" s="1046" t="s">
        <v>2707</v>
      </c>
      <c r="F1925" s="809">
        <v>481.3</v>
      </c>
      <c r="G1925" s="809">
        <f>G1926</f>
        <v>481.3</v>
      </c>
      <c r="H1925" s="809">
        <v>481.3</v>
      </c>
      <c r="I1925" s="809">
        <v>481.7</v>
      </c>
      <c r="J1925" s="809">
        <v>482.7</v>
      </c>
      <c r="K1925" s="807"/>
      <c r="L1925" s="809"/>
      <c r="M1925" s="809"/>
      <c r="N1925" s="809"/>
      <c r="O1925" s="809"/>
      <c r="P1925" s="809"/>
      <c r="Q1925" s="809"/>
    </row>
    <row r="1926" spans="2:17" ht="45.75" thickBot="1" x14ac:dyDescent="0.3">
      <c r="B1926" s="1047"/>
      <c r="C1926" s="1048">
        <v>1</v>
      </c>
      <c r="D1926" s="674"/>
      <c r="E1926" s="1049" t="s">
        <v>2708</v>
      </c>
      <c r="F1926" s="660">
        <v>481.3</v>
      </c>
      <c r="G1926" s="785">
        <v>481.3</v>
      </c>
      <c r="H1926" s="785">
        <v>481.3</v>
      </c>
      <c r="I1926" s="1640">
        <v>481.7</v>
      </c>
      <c r="J1926" s="660">
        <v>482.7</v>
      </c>
      <c r="K1926" s="1049" t="s">
        <v>2709</v>
      </c>
      <c r="L1926" s="1049" t="s">
        <v>35</v>
      </c>
      <c r="M1926" s="1049">
        <v>100</v>
      </c>
      <c r="N1926" s="1049">
        <v>100</v>
      </c>
      <c r="O1926" s="1049">
        <v>100</v>
      </c>
      <c r="P1926" s="1049">
        <v>100</v>
      </c>
      <c r="Q1926" s="1049">
        <v>100</v>
      </c>
    </row>
    <row r="1927" spans="2:17" ht="15.75" thickBot="1" x14ac:dyDescent="0.3">
      <c r="B1927" s="1713" t="s">
        <v>85</v>
      </c>
      <c r="C1927" s="1714"/>
      <c r="D1927" s="1714"/>
      <c r="E1927" s="1714"/>
      <c r="F1927" s="1641">
        <f>F1925</f>
        <v>481.3</v>
      </c>
      <c r="G1927" s="1641">
        <f>G1925</f>
        <v>481.3</v>
      </c>
      <c r="H1927" s="1641">
        <f>H1925</f>
        <v>481.3</v>
      </c>
      <c r="I1927" s="1641">
        <f>I1925</f>
        <v>481.7</v>
      </c>
      <c r="J1927" s="1641">
        <f>J1925</f>
        <v>482.7</v>
      </c>
      <c r="K1927" s="1642"/>
      <c r="L1927" s="1715"/>
      <c r="M1927" s="1715"/>
      <c r="N1927" s="1715"/>
      <c r="O1927" s="1715"/>
      <c r="P1927" s="1715"/>
      <c r="Q1927" s="1716"/>
    </row>
    <row r="1928" spans="2:17" x14ac:dyDescent="0.25">
      <c r="B1928" s="1717" t="s">
        <v>2710</v>
      </c>
      <c r="C1928" s="1718"/>
      <c r="D1928" s="1718"/>
      <c r="E1928" s="1718"/>
      <c r="F1928" s="1718"/>
      <c r="G1928" s="1718"/>
      <c r="H1928" s="1718"/>
      <c r="I1928" s="1718"/>
      <c r="J1928" s="1718"/>
      <c r="K1928" s="1718"/>
      <c r="L1928" s="1718"/>
      <c r="M1928" s="1718"/>
      <c r="N1928" s="1718"/>
      <c r="O1928" s="1718"/>
      <c r="P1928" s="1718"/>
      <c r="Q1928" s="1718"/>
    </row>
    <row r="1929" spans="2:17" ht="15.75" thickBot="1" x14ac:dyDescent="0.3">
      <c r="B1929" s="1696" t="s">
        <v>2711</v>
      </c>
      <c r="C1929" s="1697"/>
      <c r="D1929" s="1697"/>
      <c r="E1929" s="1697"/>
      <c r="F1929" s="1697"/>
      <c r="G1929" s="1697"/>
      <c r="H1929" s="1697"/>
      <c r="I1929" s="1697"/>
      <c r="J1929" s="1697"/>
      <c r="K1929" s="1697"/>
      <c r="L1929" s="1697"/>
      <c r="M1929" s="1697"/>
      <c r="N1929" s="1697"/>
      <c r="O1929" s="1697"/>
      <c r="P1929" s="1697"/>
      <c r="Q1929" s="1697"/>
    </row>
    <row r="1930" spans="2:17" ht="73.5" x14ac:dyDescent="0.25">
      <c r="B1930" s="1643">
        <v>1</v>
      </c>
      <c r="C1930" s="1644"/>
      <c r="D1930" s="1644"/>
      <c r="E1930" s="1645" t="s">
        <v>1620</v>
      </c>
      <c r="F1930" s="1646">
        <f>SUM(F1931:F1936)</f>
        <v>21431.5</v>
      </c>
      <c r="G1930" s="1646">
        <f>SUM(G1931:G1936)</f>
        <v>16244.4</v>
      </c>
      <c r="H1930" s="1646">
        <f>SUM(H1931:H1936)</f>
        <v>16648.5</v>
      </c>
      <c r="I1930" s="1646">
        <f>SUM(I1931:I1936)</f>
        <v>16648.5</v>
      </c>
      <c r="J1930" s="1646">
        <f>SUM(J1931:J1936)</f>
        <v>16719.5</v>
      </c>
      <c r="K1930" s="1645" t="s">
        <v>34</v>
      </c>
      <c r="L1930" s="1443" t="s">
        <v>35</v>
      </c>
      <c r="M1930" s="1647">
        <v>10.9</v>
      </c>
      <c r="N1930" s="1647">
        <v>10.199999999999999</v>
      </c>
      <c r="O1930" s="1647">
        <v>10.199999999999999</v>
      </c>
      <c r="P1930" s="1647">
        <v>10.199999999999999</v>
      </c>
      <c r="Q1930" s="1647">
        <v>10.199999999999999</v>
      </c>
    </row>
    <row r="1931" spans="2:17" x14ac:dyDescent="0.25">
      <c r="B1931" s="1648"/>
      <c r="C1931" s="1482">
        <v>1</v>
      </c>
      <c r="D1931" s="1649"/>
      <c r="E1931" s="1650" t="s">
        <v>6</v>
      </c>
      <c r="F1931" s="1651">
        <v>3666.7</v>
      </c>
      <c r="G1931" s="1651">
        <v>5858.6</v>
      </c>
      <c r="H1931" s="1651">
        <v>6003</v>
      </c>
      <c r="I1931" s="1651">
        <v>6003</v>
      </c>
      <c r="J1931" s="1651">
        <v>6053</v>
      </c>
      <c r="K1931" s="1622" t="s">
        <v>36</v>
      </c>
      <c r="L1931" s="1446" t="s">
        <v>35</v>
      </c>
      <c r="M1931" s="1446">
        <v>75</v>
      </c>
      <c r="N1931" s="1446">
        <v>76</v>
      </c>
      <c r="O1931" s="1446">
        <v>76</v>
      </c>
      <c r="P1931" s="1446">
        <v>76</v>
      </c>
      <c r="Q1931" s="1446">
        <v>76</v>
      </c>
    </row>
    <row r="1932" spans="2:17" ht="30" x14ac:dyDescent="0.25">
      <c r="B1932" s="1648"/>
      <c r="C1932" s="1652">
        <v>2</v>
      </c>
      <c r="D1932" s="1649"/>
      <c r="E1932" s="346" t="s">
        <v>8</v>
      </c>
      <c r="F1932" s="1651">
        <v>7704.6</v>
      </c>
      <c r="G1932" s="1651">
        <v>5098.2</v>
      </c>
      <c r="H1932" s="1651">
        <v>5455.2</v>
      </c>
      <c r="I1932" s="1651">
        <v>5455.2</v>
      </c>
      <c r="J1932" s="1651">
        <v>5476.2</v>
      </c>
      <c r="K1932" s="1622" t="s">
        <v>38</v>
      </c>
      <c r="L1932" s="1446" t="s">
        <v>35</v>
      </c>
      <c r="M1932" s="1446">
        <v>99.8</v>
      </c>
      <c r="N1932" s="1446">
        <v>100</v>
      </c>
      <c r="O1932" s="1446">
        <v>100</v>
      </c>
      <c r="P1932" s="1446">
        <v>100</v>
      </c>
      <c r="Q1932" s="1446">
        <v>100</v>
      </c>
    </row>
    <row r="1933" spans="2:17" ht="30" x14ac:dyDescent="0.25">
      <c r="B1933" s="1648"/>
      <c r="C1933" s="1652">
        <v>3</v>
      </c>
      <c r="D1933" s="1649"/>
      <c r="E1933" s="346" t="s">
        <v>10</v>
      </c>
      <c r="F1933" s="1651">
        <v>1558.9</v>
      </c>
      <c r="G1933" s="1651">
        <v>1548</v>
      </c>
      <c r="H1933" s="1651">
        <v>1632.3</v>
      </c>
      <c r="I1933" s="1651">
        <v>1632.3</v>
      </c>
      <c r="J1933" s="1651">
        <v>1632.3</v>
      </c>
      <c r="K1933" s="1653" t="s">
        <v>39</v>
      </c>
      <c r="L1933" s="1446" t="s">
        <v>35</v>
      </c>
      <c r="M1933" s="1446">
        <v>50</v>
      </c>
      <c r="N1933" s="1446">
        <v>100</v>
      </c>
      <c r="O1933" s="1446">
        <v>100</v>
      </c>
      <c r="P1933" s="1446">
        <v>100</v>
      </c>
      <c r="Q1933" s="1446">
        <v>100</v>
      </c>
    </row>
    <row r="1934" spans="2:17" ht="30" x14ac:dyDescent="0.25">
      <c r="B1934" s="1648"/>
      <c r="C1934" s="1652">
        <v>4</v>
      </c>
      <c r="D1934" s="1649"/>
      <c r="E1934" s="346" t="s">
        <v>12</v>
      </c>
      <c r="F1934" s="1651">
        <v>1340</v>
      </c>
      <c r="G1934" s="1651">
        <v>512.20000000000005</v>
      </c>
      <c r="H1934" s="1651">
        <v>568.1</v>
      </c>
      <c r="I1934" s="1651">
        <v>568.1</v>
      </c>
      <c r="J1934" s="1651">
        <v>568.1</v>
      </c>
      <c r="K1934" s="1622" t="s">
        <v>191</v>
      </c>
      <c r="L1934" s="1446" t="s">
        <v>192</v>
      </c>
      <c r="M1934" s="1654" t="s">
        <v>2712</v>
      </c>
      <c r="N1934" s="1654" t="s">
        <v>2713</v>
      </c>
      <c r="O1934" s="1654" t="s">
        <v>2714</v>
      </c>
      <c r="P1934" s="1654" t="s">
        <v>2715</v>
      </c>
      <c r="Q1934" s="1654" t="s">
        <v>2715</v>
      </c>
    </row>
    <row r="1935" spans="2:17" ht="30" x14ac:dyDescent="0.25">
      <c r="B1935" s="1648"/>
      <c r="C1935" s="1652">
        <v>5</v>
      </c>
      <c r="D1935" s="1649"/>
      <c r="E1935" s="346" t="s">
        <v>13</v>
      </c>
      <c r="F1935" s="1651">
        <v>5050.8</v>
      </c>
      <c r="G1935" s="1651">
        <v>1343.4</v>
      </c>
      <c r="H1935" s="1651">
        <v>1187.8</v>
      </c>
      <c r="I1935" s="1651">
        <v>1187.8</v>
      </c>
      <c r="J1935" s="1651">
        <v>1187.8</v>
      </c>
      <c r="K1935" s="1622" t="s">
        <v>45</v>
      </c>
      <c r="L1935" s="1446" t="s">
        <v>40</v>
      </c>
      <c r="M1935" s="1446">
        <v>700</v>
      </c>
      <c r="N1935" s="1446">
        <v>800</v>
      </c>
      <c r="O1935" s="1446">
        <v>800</v>
      </c>
      <c r="P1935" s="1446">
        <v>800</v>
      </c>
      <c r="Q1935" s="1446">
        <v>800</v>
      </c>
    </row>
    <row r="1936" spans="2:17" ht="45" x14ac:dyDescent="0.25">
      <c r="B1936" s="1648"/>
      <c r="C1936" s="1620">
        <v>6</v>
      </c>
      <c r="D1936" s="1649"/>
      <c r="E1936" s="1622" t="s">
        <v>14</v>
      </c>
      <c r="F1936" s="1651">
        <v>2110.5</v>
      </c>
      <c r="G1936" s="1651">
        <v>1884</v>
      </c>
      <c r="H1936" s="1651">
        <v>1802.1</v>
      </c>
      <c r="I1936" s="1651">
        <v>1802.1</v>
      </c>
      <c r="J1936" s="1651">
        <v>1802.1</v>
      </c>
      <c r="K1936" s="1622" t="s">
        <v>41</v>
      </c>
      <c r="L1936" s="1446" t="s">
        <v>35</v>
      </c>
      <c r="M1936" s="1446">
        <v>1.7</v>
      </c>
      <c r="N1936" s="1446">
        <v>1.7</v>
      </c>
      <c r="O1936" s="1446">
        <v>1.7</v>
      </c>
      <c r="P1936" s="1446">
        <v>1.7</v>
      </c>
      <c r="Q1936" s="1446">
        <v>1.7</v>
      </c>
    </row>
    <row r="1937" spans="2:17" ht="58.5" x14ac:dyDescent="0.25">
      <c r="B1937" s="1655" t="s">
        <v>467</v>
      </c>
      <c r="C1937" s="1655"/>
      <c r="D1937" s="1655"/>
      <c r="E1937" s="1616" t="s">
        <v>2716</v>
      </c>
      <c r="F1937" s="1617">
        <f>SUM(F1938:F1943)</f>
        <v>225697.19999999998</v>
      </c>
      <c r="G1937" s="1617">
        <f>SUM(G1938:G1943)</f>
        <v>212307.5</v>
      </c>
      <c r="H1937" s="1617">
        <f>SUM(H1938:H1943)</f>
        <v>228056.4</v>
      </c>
      <c r="I1937" s="1617">
        <f>SUM(I1938:I1943)</f>
        <v>228056.4</v>
      </c>
      <c r="J1937" s="1617">
        <f>SUM(J1938:J1943)</f>
        <v>228374.09999999998</v>
      </c>
      <c r="K1937" s="1616" t="s">
        <v>1555</v>
      </c>
      <c r="L1937" s="1447"/>
      <c r="M1937" s="1615"/>
      <c r="N1937" s="1615"/>
      <c r="O1937" s="1615"/>
      <c r="P1937" s="1615"/>
      <c r="Q1937" s="1615"/>
    </row>
    <row r="1938" spans="2:17" x14ac:dyDescent="0.25">
      <c r="B1938" s="1656"/>
      <c r="C1938" s="1656" t="s">
        <v>5</v>
      </c>
      <c r="D1938" s="1656"/>
      <c r="E1938" s="1622" t="s">
        <v>2717</v>
      </c>
      <c r="F1938" s="1657">
        <v>1420.1</v>
      </c>
      <c r="G1938" s="1651">
        <v>2382.5</v>
      </c>
      <c r="H1938" s="1651">
        <v>2731.4</v>
      </c>
      <c r="I1938" s="1651">
        <v>2731.4</v>
      </c>
      <c r="J1938" s="1651">
        <v>2731.4</v>
      </c>
      <c r="K1938" s="1622" t="s">
        <v>2718</v>
      </c>
      <c r="L1938" s="1446" t="s">
        <v>35</v>
      </c>
      <c r="M1938" s="1651">
        <v>100</v>
      </c>
      <c r="N1938" s="1651">
        <v>100</v>
      </c>
      <c r="O1938" s="1651">
        <v>100</v>
      </c>
      <c r="P1938" s="1651">
        <v>100</v>
      </c>
      <c r="Q1938" s="1651">
        <v>100</v>
      </c>
    </row>
    <row r="1939" spans="2:17" ht="30" x14ac:dyDescent="0.25">
      <c r="B1939" s="1656"/>
      <c r="C1939" s="1656" t="s">
        <v>7</v>
      </c>
      <c r="D1939" s="1656"/>
      <c r="E1939" s="1622" t="s">
        <v>2719</v>
      </c>
      <c r="F1939" s="1657">
        <v>56074.2</v>
      </c>
      <c r="G1939" s="1651">
        <v>52523.9</v>
      </c>
      <c r="H1939" s="1651">
        <v>56205.4</v>
      </c>
      <c r="I1939" s="1651">
        <v>56205.4</v>
      </c>
      <c r="J1939" s="1651">
        <v>56305.4</v>
      </c>
      <c r="K1939" s="1622" t="s">
        <v>2720</v>
      </c>
      <c r="L1939" s="1446" t="s">
        <v>136</v>
      </c>
      <c r="M1939" s="1654" t="s">
        <v>2721</v>
      </c>
      <c r="N1939" s="1654" t="s">
        <v>2721</v>
      </c>
      <c r="O1939" s="1654" t="s">
        <v>2721</v>
      </c>
      <c r="P1939" s="1654" t="s">
        <v>2721</v>
      </c>
      <c r="Q1939" s="1654" t="s">
        <v>2721</v>
      </c>
    </row>
    <row r="1940" spans="2:17" ht="30" x14ac:dyDescent="0.25">
      <c r="B1940" s="1656"/>
      <c r="C1940" s="1656" t="s">
        <v>9</v>
      </c>
      <c r="D1940" s="1656"/>
      <c r="E1940" s="1622" t="s">
        <v>2722</v>
      </c>
      <c r="F1940" s="1657">
        <v>38630.5</v>
      </c>
      <c r="G1940" s="1651">
        <v>51963.6</v>
      </c>
      <c r="H1940" s="1651">
        <v>50348</v>
      </c>
      <c r="I1940" s="1651">
        <v>50348</v>
      </c>
      <c r="J1940" s="1651">
        <v>50515.7</v>
      </c>
      <c r="K1940" s="1622" t="s">
        <v>2720</v>
      </c>
      <c r="L1940" s="1446" t="s">
        <v>136</v>
      </c>
      <c r="M1940" s="1654" t="s">
        <v>2723</v>
      </c>
      <c r="N1940" s="1654" t="s">
        <v>2723</v>
      </c>
      <c r="O1940" s="1654" t="s">
        <v>2724</v>
      </c>
      <c r="P1940" s="1654" t="s">
        <v>2724</v>
      </c>
      <c r="Q1940" s="1654" t="s">
        <v>2724</v>
      </c>
    </row>
    <row r="1941" spans="2:17" x14ac:dyDescent="0.25">
      <c r="B1941" s="1656"/>
      <c r="C1941" s="1656" t="s">
        <v>11</v>
      </c>
      <c r="D1941" s="1656"/>
      <c r="E1941" s="1622" t="s">
        <v>2725</v>
      </c>
      <c r="F1941" s="1657">
        <v>5658.5</v>
      </c>
      <c r="G1941" s="1651">
        <v>5775.1</v>
      </c>
      <c r="H1941" s="1651">
        <v>16709.2</v>
      </c>
      <c r="I1941" s="1651">
        <v>16709.2</v>
      </c>
      <c r="J1941" s="1651">
        <v>16759.2</v>
      </c>
      <c r="K1941" s="1622" t="s">
        <v>2726</v>
      </c>
      <c r="L1941" s="1446" t="s">
        <v>2727</v>
      </c>
      <c r="M1941" s="1654" t="s">
        <v>2728</v>
      </c>
      <c r="N1941" s="1654" t="s">
        <v>2728</v>
      </c>
      <c r="O1941" s="1654" t="s">
        <v>2728</v>
      </c>
      <c r="P1941" s="1654" t="s">
        <v>2728</v>
      </c>
      <c r="Q1941" s="1654" t="s">
        <v>2728</v>
      </c>
    </row>
    <row r="1942" spans="2:17" ht="30" x14ac:dyDescent="0.25">
      <c r="B1942" s="1656"/>
      <c r="C1942" s="1656" t="s">
        <v>127</v>
      </c>
      <c r="D1942" s="1656"/>
      <c r="E1942" s="1622" t="s">
        <v>2729</v>
      </c>
      <c r="F1942" s="1657">
        <v>30818.799999999999</v>
      </c>
      <c r="G1942" s="1651"/>
      <c r="H1942" s="1651">
        <v>0</v>
      </c>
      <c r="I1942" s="1651"/>
      <c r="J1942" s="1651"/>
      <c r="K1942" s="1622" t="s">
        <v>2730</v>
      </c>
      <c r="L1942" s="1446" t="s">
        <v>35</v>
      </c>
      <c r="M1942" s="1651">
        <v>98.5</v>
      </c>
      <c r="N1942" s="1651">
        <v>99</v>
      </c>
      <c r="O1942" s="1651">
        <v>100</v>
      </c>
      <c r="P1942" s="1651">
        <v>100</v>
      </c>
      <c r="Q1942" s="1651">
        <v>100</v>
      </c>
    </row>
    <row r="1943" spans="2:17" x14ac:dyDescent="0.25">
      <c r="B1943" s="1656"/>
      <c r="C1943" s="1656" t="s">
        <v>129</v>
      </c>
      <c r="D1943" s="1656"/>
      <c r="E1943" s="1622" t="s">
        <v>2731</v>
      </c>
      <c r="F1943" s="1657">
        <v>93095.1</v>
      </c>
      <c r="G1943" s="1651">
        <v>99662.399999999994</v>
      </c>
      <c r="H1943" s="1651">
        <v>102062.39999999999</v>
      </c>
      <c r="I1943" s="1651">
        <v>102062.39999999999</v>
      </c>
      <c r="J1943" s="1651">
        <v>102062.39999999999</v>
      </c>
      <c r="K1943" s="1622" t="s">
        <v>2732</v>
      </c>
      <c r="L1943" s="1446" t="s">
        <v>35</v>
      </c>
      <c r="M1943" s="1651">
        <v>99.9</v>
      </c>
      <c r="N1943" s="1651">
        <v>100</v>
      </c>
      <c r="O1943" s="1651">
        <v>100</v>
      </c>
      <c r="P1943" s="1651">
        <v>100</v>
      </c>
      <c r="Q1943" s="1651">
        <v>100</v>
      </c>
    </row>
    <row r="1944" spans="2:17" ht="58.5" x14ac:dyDescent="0.25">
      <c r="B1944" s="1655" t="s">
        <v>500</v>
      </c>
      <c r="C1944" s="1655"/>
      <c r="D1944" s="1655"/>
      <c r="E1944" s="1616" t="s">
        <v>2733</v>
      </c>
      <c r="F1944" s="1617">
        <f>SUM(F1945:F1950)</f>
        <v>138425.9</v>
      </c>
      <c r="G1944" s="1617">
        <f>SUM(G1945:G1950)</f>
        <v>157002.70000000001</v>
      </c>
      <c r="H1944" s="1617">
        <f>SUM(H1945:H1950)</f>
        <v>140849.70000000001</v>
      </c>
      <c r="I1944" s="1617">
        <f>SUM(I1945:I1950)</f>
        <v>141549.20000000001</v>
      </c>
      <c r="J1944" s="1617">
        <f>SUM(J1945:J1950)</f>
        <v>140979.70000000001</v>
      </c>
      <c r="K1944" s="1616" t="s">
        <v>1555</v>
      </c>
      <c r="L1944" s="1447"/>
      <c r="M1944" s="1615"/>
      <c r="N1944" s="1615"/>
      <c r="O1944" s="1615"/>
      <c r="P1944" s="1615"/>
      <c r="Q1944" s="1615"/>
    </row>
    <row r="1945" spans="2:17" x14ac:dyDescent="0.25">
      <c r="B1945" s="1656"/>
      <c r="C1945" s="1656" t="s">
        <v>5</v>
      </c>
      <c r="D1945" s="1656"/>
      <c r="E1945" s="1622" t="s">
        <v>2734</v>
      </c>
      <c r="F1945" s="1657">
        <v>14010.8</v>
      </c>
      <c r="G1945" s="1651">
        <v>16260.8</v>
      </c>
      <c r="H1945" s="1651">
        <v>11407.4</v>
      </c>
      <c r="I1945" s="1651">
        <v>11407.4</v>
      </c>
      <c r="J1945" s="1651">
        <v>11407.4</v>
      </c>
      <c r="K1945" s="1622" t="s">
        <v>2720</v>
      </c>
      <c r="L1945" s="1446" t="s">
        <v>136</v>
      </c>
      <c r="M1945" s="1654" t="s">
        <v>2735</v>
      </c>
      <c r="N1945" s="1654" t="s">
        <v>2736</v>
      </c>
      <c r="O1945" s="1654" t="s">
        <v>2736</v>
      </c>
      <c r="P1945" s="1654" t="s">
        <v>2736</v>
      </c>
      <c r="Q1945" s="1654" t="s">
        <v>2736</v>
      </c>
    </row>
    <row r="1946" spans="2:17" x14ac:dyDescent="0.25">
      <c r="B1946" s="1656"/>
      <c r="C1946" s="1656" t="s">
        <v>7</v>
      </c>
      <c r="D1946" s="1656"/>
      <c r="E1946" s="1622" t="s">
        <v>2737</v>
      </c>
      <c r="F1946" s="1657">
        <v>16979.599999999999</v>
      </c>
      <c r="G1946" s="1651">
        <v>22106</v>
      </c>
      <c r="H1946" s="1651">
        <v>17720.400000000001</v>
      </c>
      <c r="I1946" s="1651">
        <v>17810.599999999999</v>
      </c>
      <c r="J1946" s="1651">
        <v>17800.400000000001</v>
      </c>
      <c r="K1946" s="1622" t="s">
        <v>2720</v>
      </c>
      <c r="L1946" s="1446" t="s">
        <v>136</v>
      </c>
      <c r="M1946" s="1654" t="s">
        <v>2738</v>
      </c>
      <c r="N1946" s="1654" t="s">
        <v>2721</v>
      </c>
      <c r="O1946" s="1654" t="s">
        <v>2721</v>
      </c>
      <c r="P1946" s="1654" t="s">
        <v>2721</v>
      </c>
      <c r="Q1946" s="1654" t="s">
        <v>2721</v>
      </c>
    </row>
    <row r="1947" spans="2:17" ht="30" x14ac:dyDescent="0.25">
      <c r="B1947" s="1656"/>
      <c r="C1947" s="1656" t="s">
        <v>9</v>
      </c>
      <c r="D1947" s="1656"/>
      <c r="E1947" s="1622" t="s">
        <v>2739</v>
      </c>
      <c r="F1947" s="1657">
        <v>1610.7</v>
      </c>
      <c r="G1947" s="1651">
        <v>7631.5</v>
      </c>
      <c r="H1947" s="1651">
        <v>0</v>
      </c>
      <c r="I1947" s="1651"/>
      <c r="J1947" s="1651"/>
      <c r="K1947" s="1622" t="s">
        <v>2718</v>
      </c>
      <c r="L1947" s="1446" t="s">
        <v>35</v>
      </c>
      <c r="M1947" s="1651">
        <v>91.5</v>
      </c>
      <c r="N1947" s="1651">
        <v>100</v>
      </c>
      <c r="O1947" s="1651">
        <v>100</v>
      </c>
      <c r="P1947" s="1651">
        <v>100</v>
      </c>
      <c r="Q1947" s="1651">
        <v>100</v>
      </c>
    </row>
    <row r="1948" spans="2:17" x14ac:dyDescent="0.25">
      <c r="B1948" s="1656"/>
      <c r="C1948" s="1656" t="s">
        <v>11</v>
      </c>
      <c r="D1948" s="1656"/>
      <c r="E1948" s="1622" t="s">
        <v>2740</v>
      </c>
      <c r="F1948" s="1657">
        <v>4178.1000000000004</v>
      </c>
      <c r="G1948" s="1651">
        <v>2625.1</v>
      </c>
      <c r="H1948" s="1651">
        <v>5742.6</v>
      </c>
      <c r="I1948" s="1651">
        <v>5742.6</v>
      </c>
      <c r="J1948" s="1651">
        <v>5792.6</v>
      </c>
      <c r="K1948" s="1622" t="s">
        <v>2726</v>
      </c>
      <c r="L1948" s="1446" t="s">
        <v>2727</v>
      </c>
      <c r="M1948" s="1654" t="s">
        <v>2741</v>
      </c>
      <c r="N1948" s="1654" t="s">
        <v>2741</v>
      </c>
      <c r="O1948" s="1654" t="s">
        <v>2742</v>
      </c>
      <c r="P1948" s="1654" t="s">
        <v>2742</v>
      </c>
      <c r="Q1948" s="1654" t="s">
        <v>2742</v>
      </c>
    </row>
    <row r="1949" spans="2:17" ht="30" x14ac:dyDescent="0.25">
      <c r="B1949" s="1656"/>
      <c r="C1949" s="1656" t="s">
        <v>127</v>
      </c>
      <c r="D1949" s="1656"/>
      <c r="E1949" s="1622" t="s">
        <v>2743</v>
      </c>
      <c r="F1949" s="1657">
        <v>71834.3</v>
      </c>
      <c r="G1949" s="1651">
        <v>85134.3</v>
      </c>
      <c r="H1949" s="1651">
        <v>82134.3</v>
      </c>
      <c r="I1949" s="1651">
        <v>82743.600000000006</v>
      </c>
      <c r="J1949" s="1651">
        <v>82134.3</v>
      </c>
      <c r="K1949" s="1622" t="s">
        <v>2730</v>
      </c>
      <c r="L1949" s="1446" t="s">
        <v>35</v>
      </c>
      <c r="M1949" s="1651">
        <v>98.5</v>
      </c>
      <c r="N1949" s="1651">
        <v>99</v>
      </c>
      <c r="O1949" s="1651">
        <v>100</v>
      </c>
      <c r="P1949" s="1651">
        <v>100</v>
      </c>
      <c r="Q1949" s="1651">
        <v>100</v>
      </c>
    </row>
    <row r="1950" spans="2:17" x14ac:dyDescent="0.25">
      <c r="B1950" s="1656"/>
      <c r="C1950" s="1656" t="s">
        <v>129</v>
      </c>
      <c r="D1950" s="1656"/>
      <c r="E1950" s="1622" t="s">
        <v>2744</v>
      </c>
      <c r="F1950" s="1657">
        <v>29812.400000000001</v>
      </c>
      <c r="G1950" s="1651">
        <v>23245</v>
      </c>
      <c r="H1950" s="1651">
        <v>23845</v>
      </c>
      <c r="I1950" s="1651">
        <v>23845</v>
      </c>
      <c r="J1950" s="1651">
        <v>23845</v>
      </c>
      <c r="K1950" s="1622" t="s">
        <v>2745</v>
      </c>
      <c r="L1950" s="1446" t="s">
        <v>35</v>
      </c>
      <c r="M1950" s="1651">
        <v>100</v>
      </c>
      <c r="N1950" s="1651">
        <v>100</v>
      </c>
      <c r="O1950" s="1651">
        <v>100</v>
      </c>
      <c r="P1950" s="1651">
        <v>100</v>
      </c>
      <c r="Q1950" s="1651">
        <v>100</v>
      </c>
    </row>
    <row r="1951" spans="2:17" ht="29.25" x14ac:dyDescent="0.25">
      <c r="B1951" s="1655" t="s">
        <v>508</v>
      </c>
      <c r="C1951" s="1655"/>
      <c r="D1951" s="1655"/>
      <c r="E1951" s="1616" t="s">
        <v>2746</v>
      </c>
      <c r="F1951" s="1658">
        <v>11263.8</v>
      </c>
      <c r="G1951" s="1617">
        <v>11263.8</v>
      </c>
      <c r="H1951" s="1617">
        <v>11263.8</v>
      </c>
      <c r="I1951" s="1617">
        <v>11263.8</v>
      </c>
      <c r="J1951" s="1617">
        <v>11263.8</v>
      </c>
      <c r="K1951" s="1616" t="s">
        <v>2747</v>
      </c>
      <c r="L1951" s="1446" t="s">
        <v>173</v>
      </c>
      <c r="M1951" s="1651">
        <v>37</v>
      </c>
      <c r="N1951" s="1651">
        <v>37</v>
      </c>
      <c r="O1951" s="1651">
        <v>37</v>
      </c>
      <c r="P1951" s="1651">
        <v>37</v>
      </c>
      <c r="Q1951" s="1651">
        <v>37</v>
      </c>
    </row>
    <row r="1952" spans="2:17" ht="30" x14ac:dyDescent="0.25">
      <c r="B1952" s="1656"/>
      <c r="C1952" s="1656" t="s">
        <v>5</v>
      </c>
      <c r="D1952" s="1656"/>
      <c r="E1952" s="1659" t="s">
        <v>2748</v>
      </c>
      <c r="F1952" s="1657">
        <v>11263.8</v>
      </c>
      <c r="G1952" s="1657">
        <v>11263.8</v>
      </c>
      <c r="H1952" s="1657">
        <v>11263.8</v>
      </c>
      <c r="I1952" s="1657">
        <v>11263.8</v>
      </c>
      <c r="J1952" s="1657">
        <v>11263.8</v>
      </c>
      <c r="K1952" s="1659" t="s">
        <v>2749</v>
      </c>
      <c r="L1952" s="1660" t="s">
        <v>173</v>
      </c>
      <c r="M1952" s="1657">
        <v>37</v>
      </c>
      <c r="N1952" s="1657">
        <v>37</v>
      </c>
      <c r="O1952" s="1657">
        <v>37</v>
      </c>
      <c r="P1952" s="1657">
        <v>37</v>
      </c>
      <c r="Q1952" s="1657">
        <v>37</v>
      </c>
    </row>
    <row r="1953" spans="2:17" x14ac:dyDescent="0.25">
      <c r="B1953" s="1693" t="s">
        <v>2462</v>
      </c>
      <c r="C1953" s="1693"/>
      <c r="D1953" s="1693"/>
      <c r="E1953" s="1693"/>
      <c r="F1953" s="1631">
        <f>SUM(F1951+F1944+F1937+F1930)</f>
        <v>396818.39999999997</v>
      </c>
      <c r="G1953" s="1631">
        <f>SUM(G1951+G1944+G1937+G1930)</f>
        <v>396818.4</v>
      </c>
      <c r="H1953" s="1631">
        <f>SUM(H1951+H1944+H1937+H1930)</f>
        <v>396818.4</v>
      </c>
      <c r="I1953" s="1631">
        <f>SUM(I1951+I1944+I1937+I1930)</f>
        <v>397517.9</v>
      </c>
      <c r="J1953" s="1631">
        <f>SUM(J1951+J1944+J1937+J1930)</f>
        <v>397337.1</v>
      </c>
      <c r="K1953" s="1661"/>
      <c r="L1953" s="1661"/>
      <c r="M1953" s="1661"/>
      <c r="N1953" s="1661"/>
      <c r="O1953" s="1661"/>
      <c r="P1953" s="1661"/>
      <c r="Q1953" s="1661"/>
    </row>
    <row r="1954" spans="2:17" ht="15.75" thickBot="1" x14ac:dyDescent="0.3">
      <c r="B1954" s="1719" t="s">
        <v>2750</v>
      </c>
      <c r="C1954" s="1720"/>
      <c r="D1954" s="1720"/>
      <c r="E1954" s="1720"/>
      <c r="F1954" s="1720"/>
      <c r="G1954" s="1720"/>
      <c r="H1954" s="1720"/>
      <c r="I1954" s="1720"/>
      <c r="J1954" s="1720"/>
      <c r="K1954" s="1720"/>
      <c r="L1954" s="1720"/>
      <c r="M1954" s="1720"/>
      <c r="N1954" s="1720"/>
      <c r="O1954" s="1720"/>
      <c r="P1954" s="1720"/>
      <c r="Q1954" s="1720"/>
    </row>
    <row r="1955" spans="2:17" ht="73.5" x14ac:dyDescent="0.25">
      <c r="B1955" s="1643">
        <v>1</v>
      </c>
      <c r="C1955" s="1649"/>
      <c r="D1955" s="1644"/>
      <c r="E1955" s="1645" t="s">
        <v>1620</v>
      </c>
      <c r="F1955" s="1646">
        <v>15979.599999999999</v>
      </c>
      <c r="G1955" s="1646">
        <v>15934.7</v>
      </c>
      <c r="H1955" s="1646">
        <v>20150.099999999999</v>
      </c>
      <c r="I1955" s="1646">
        <v>19785.099999999999</v>
      </c>
      <c r="J1955" s="1646">
        <v>20124.7</v>
      </c>
      <c r="K1955" s="1645" t="s">
        <v>34</v>
      </c>
      <c r="L1955" s="1443" t="s">
        <v>35</v>
      </c>
      <c r="M1955" s="1443"/>
      <c r="N1955" s="1443"/>
      <c r="O1955" s="1443"/>
      <c r="P1955" s="1443"/>
      <c r="Q1955" s="1443"/>
    </row>
    <row r="1956" spans="2:17" x14ac:dyDescent="0.25">
      <c r="B1956" s="1662"/>
      <c r="C1956" s="1482">
        <v>1</v>
      </c>
      <c r="D1956" s="1649"/>
      <c r="E1956" s="1650" t="s">
        <v>6</v>
      </c>
      <c r="F1956" s="1651">
        <v>2574.1</v>
      </c>
      <c r="G1956" s="1621">
        <v>2574</v>
      </c>
      <c r="H1956" s="1651">
        <v>3717.7</v>
      </c>
      <c r="I1956" s="1651">
        <v>3717.7</v>
      </c>
      <c r="J1956" s="1651">
        <v>3717.7</v>
      </c>
      <c r="K1956" s="1622" t="s">
        <v>36</v>
      </c>
      <c r="L1956" s="1446" t="s">
        <v>37</v>
      </c>
      <c r="M1956" s="1447"/>
      <c r="N1956" s="1447"/>
      <c r="O1956" s="1447"/>
      <c r="P1956" s="1447"/>
      <c r="Q1956" s="1447"/>
    </row>
    <row r="1957" spans="2:17" ht="30" x14ac:dyDescent="0.25">
      <c r="B1957" s="1662"/>
      <c r="C1957" s="1652">
        <v>2</v>
      </c>
      <c r="D1957" s="1649"/>
      <c r="E1957" s="346" t="s">
        <v>8</v>
      </c>
      <c r="F1957" s="1651">
        <v>2869.7</v>
      </c>
      <c r="G1957" s="1621">
        <v>2869.7</v>
      </c>
      <c r="H1957" s="1651">
        <v>4435.6000000000004</v>
      </c>
      <c r="I1957" s="1651">
        <v>4070.6</v>
      </c>
      <c r="J1957" s="1651">
        <v>4410.2</v>
      </c>
      <c r="K1957" s="1622" t="s">
        <v>38</v>
      </c>
      <c r="L1957" s="1446" t="s">
        <v>35</v>
      </c>
      <c r="M1957" s="1663">
        <v>1</v>
      </c>
      <c r="N1957" s="1663">
        <v>1</v>
      </c>
      <c r="O1957" s="1663">
        <v>1</v>
      </c>
      <c r="P1957" s="1663">
        <v>1</v>
      </c>
      <c r="Q1957" s="1663">
        <v>1</v>
      </c>
    </row>
    <row r="1958" spans="2:17" ht="30" x14ac:dyDescent="0.25">
      <c r="B1958" s="1662"/>
      <c r="C1958" s="1652">
        <v>3</v>
      </c>
      <c r="D1958" s="1649"/>
      <c r="E1958" s="346" t="s">
        <v>10</v>
      </c>
      <c r="F1958" s="1651">
        <v>763</v>
      </c>
      <c r="G1958" s="1621">
        <v>763</v>
      </c>
      <c r="H1958" s="1651">
        <v>1280.7</v>
      </c>
      <c r="I1958" s="1651">
        <v>1280.7</v>
      </c>
      <c r="J1958" s="1651">
        <v>1280.7</v>
      </c>
      <c r="K1958" s="1653" t="s">
        <v>39</v>
      </c>
      <c r="L1958" s="1446" t="s">
        <v>35</v>
      </c>
      <c r="M1958" s="1663">
        <v>1</v>
      </c>
      <c r="N1958" s="1663">
        <v>1</v>
      </c>
      <c r="O1958" s="1663">
        <v>1</v>
      </c>
      <c r="P1958" s="1663">
        <v>1</v>
      </c>
      <c r="Q1958" s="1663">
        <v>1</v>
      </c>
    </row>
    <row r="1959" spans="2:17" ht="30" x14ac:dyDescent="0.25">
      <c r="B1959" s="1662"/>
      <c r="C1959" s="1652">
        <v>4</v>
      </c>
      <c r="D1959" s="1649"/>
      <c r="E1959" s="346" t="s">
        <v>12</v>
      </c>
      <c r="F1959" s="1651">
        <v>496.6</v>
      </c>
      <c r="G1959" s="1621">
        <v>496.6</v>
      </c>
      <c r="H1959" s="1651">
        <v>677</v>
      </c>
      <c r="I1959" s="1651">
        <v>677</v>
      </c>
      <c r="J1959" s="1651">
        <v>677</v>
      </c>
      <c r="K1959" s="1622" t="s">
        <v>191</v>
      </c>
      <c r="L1959" s="1446" t="s">
        <v>192</v>
      </c>
      <c r="M1959" s="1664"/>
      <c r="N1959" s="1664"/>
      <c r="O1959" s="1664"/>
      <c r="P1959" s="1664"/>
      <c r="Q1959" s="1664"/>
    </row>
    <row r="1960" spans="2:17" ht="30" x14ac:dyDescent="0.25">
      <c r="B1960" s="1662"/>
      <c r="C1960" s="1652">
        <v>5</v>
      </c>
      <c r="D1960" s="1649"/>
      <c r="E1960" s="346" t="s">
        <v>13</v>
      </c>
      <c r="F1960" s="1651">
        <v>854.7</v>
      </c>
      <c r="G1960" s="1621">
        <v>854.7</v>
      </c>
      <c r="H1960" s="1651">
        <v>892.7</v>
      </c>
      <c r="I1960" s="1651">
        <v>892.7</v>
      </c>
      <c r="J1960" s="1651">
        <v>892.7</v>
      </c>
      <c r="K1960" s="1622" t="s">
        <v>194</v>
      </c>
      <c r="L1960" s="1446" t="s">
        <v>40</v>
      </c>
      <c r="M1960" s="1447"/>
      <c r="N1960" s="1447"/>
      <c r="O1960" s="1447"/>
      <c r="P1960" s="1447"/>
      <c r="Q1960" s="1447"/>
    </row>
    <row r="1961" spans="2:17" ht="45" x14ac:dyDescent="0.25">
      <c r="B1961" s="1662"/>
      <c r="C1961" s="1620">
        <v>6</v>
      </c>
      <c r="D1961" s="1649"/>
      <c r="E1961" s="1622" t="s">
        <v>14</v>
      </c>
      <c r="F1961" s="1651">
        <v>8421.5</v>
      </c>
      <c r="G1961" s="1621">
        <v>8376.7000000000007</v>
      </c>
      <c r="H1961" s="1651">
        <v>9146.4</v>
      </c>
      <c r="I1961" s="1651">
        <v>9146.4</v>
      </c>
      <c r="J1961" s="1651">
        <v>9146.4</v>
      </c>
      <c r="K1961" s="1622" t="s">
        <v>41</v>
      </c>
      <c r="L1961" s="1446" t="s">
        <v>35</v>
      </c>
      <c r="M1961" s="1447"/>
      <c r="N1961" s="1447"/>
      <c r="O1961" s="1447"/>
      <c r="P1961" s="1447"/>
      <c r="Q1961" s="1447"/>
    </row>
    <row r="1962" spans="2:17" ht="30" x14ac:dyDescent="0.25">
      <c r="B1962" s="1662"/>
      <c r="C1962" s="1620">
        <v>7</v>
      </c>
      <c r="D1962" s="1649"/>
      <c r="E1962" s="1622" t="s">
        <v>464</v>
      </c>
      <c r="F1962" s="1651"/>
      <c r="G1962" s="1651"/>
      <c r="H1962" s="1651">
        <v>0</v>
      </c>
      <c r="I1962" s="1651"/>
      <c r="J1962" s="1651"/>
      <c r="K1962" s="1446"/>
      <c r="L1962" s="1446"/>
      <c r="M1962" s="1447"/>
      <c r="N1962" s="1447"/>
      <c r="O1962" s="1447"/>
      <c r="P1962" s="1447"/>
      <c r="Q1962" s="1447"/>
    </row>
    <row r="1963" spans="2:17" x14ac:dyDescent="0.25">
      <c r="B1963" s="1662"/>
      <c r="C1963" s="1620">
        <v>8</v>
      </c>
      <c r="D1963" s="1649"/>
      <c r="E1963" s="1622" t="s">
        <v>333</v>
      </c>
      <c r="F1963" s="1651"/>
      <c r="G1963" s="1651"/>
      <c r="H1963" s="1651">
        <v>0</v>
      </c>
      <c r="I1963" s="1651"/>
      <c r="J1963" s="1651"/>
      <c r="K1963" s="1446"/>
      <c r="L1963" s="1446"/>
      <c r="M1963" s="1447"/>
      <c r="N1963" s="1447"/>
      <c r="O1963" s="1447"/>
      <c r="P1963" s="1447"/>
      <c r="Q1963" s="1447"/>
    </row>
    <row r="1964" spans="2:17" ht="73.5" x14ac:dyDescent="0.25">
      <c r="B1964" s="1655" t="s">
        <v>1297</v>
      </c>
      <c r="C1964" s="1656"/>
      <c r="D1964" s="1656"/>
      <c r="E1964" s="1616" t="s">
        <v>2751</v>
      </c>
      <c r="F1964" s="1617">
        <v>79005</v>
      </c>
      <c r="G1964" s="1617">
        <v>78799.5</v>
      </c>
      <c r="H1964" s="1617">
        <v>76657.899999999994</v>
      </c>
      <c r="I1964" s="1617">
        <v>76681.2</v>
      </c>
      <c r="J1964" s="1617">
        <v>77140.600000000006</v>
      </c>
      <c r="K1964" s="1616" t="s">
        <v>2752</v>
      </c>
      <c r="L1964" s="1446" t="s">
        <v>35</v>
      </c>
      <c r="M1964" s="1663">
        <v>1</v>
      </c>
      <c r="N1964" s="1663">
        <v>1</v>
      </c>
      <c r="O1964" s="1663">
        <v>1</v>
      </c>
      <c r="P1964" s="1663">
        <v>1</v>
      </c>
      <c r="Q1964" s="1663">
        <v>1</v>
      </c>
    </row>
    <row r="1965" spans="2:17" x14ac:dyDescent="0.25">
      <c r="B1965" s="1655"/>
      <c r="C1965" s="1656" t="s">
        <v>5</v>
      </c>
      <c r="D1965" s="1656"/>
      <c r="E1965" s="1622" t="s">
        <v>2753</v>
      </c>
      <c r="F1965" s="1657">
        <v>67567.5</v>
      </c>
      <c r="G1965" s="1621">
        <v>67402</v>
      </c>
      <c r="H1965" s="1651">
        <v>65415.7</v>
      </c>
      <c r="I1965" s="1651">
        <v>65415</v>
      </c>
      <c r="J1965" s="1651">
        <v>65820.100000000006</v>
      </c>
      <c r="K1965" s="1622" t="s">
        <v>2754</v>
      </c>
      <c r="L1965" s="1446" t="s">
        <v>35</v>
      </c>
      <c r="M1965" s="1663">
        <v>0.9</v>
      </c>
      <c r="N1965" s="1663">
        <v>0.9</v>
      </c>
      <c r="O1965" s="1663">
        <v>0.9</v>
      </c>
      <c r="P1965" s="1663">
        <v>0.9</v>
      </c>
      <c r="Q1965" s="1663">
        <v>0.9</v>
      </c>
    </row>
    <row r="1966" spans="2:17" ht="30" x14ac:dyDescent="0.25">
      <c r="B1966" s="1655"/>
      <c r="C1966" s="1656" t="s">
        <v>7</v>
      </c>
      <c r="D1966" s="1656"/>
      <c r="E1966" s="1622" t="s">
        <v>2755</v>
      </c>
      <c r="F1966" s="1657">
        <v>11437.5</v>
      </c>
      <c r="G1966" s="1621">
        <v>11397.5</v>
      </c>
      <c r="H1966" s="1651">
        <v>11242.2</v>
      </c>
      <c r="I1966" s="1651">
        <v>11266.2</v>
      </c>
      <c r="J1966" s="1651">
        <v>11320.5</v>
      </c>
      <c r="K1966" s="1622" t="s">
        <v>2756</v>
      </c>
      <c r="L1966" s="1446" t="s">
        <v>35</v>
      </c>
      <c r="M1966" s="1663">
        <v>0.95</v>
      </c>
      <c r="N1966" s="1663">
        <v>0.95</v>
      </c>
      <c r="O1966" s="1663">
        <v>0.95</v>
      </c>
      <c r="P1966" s="1663">
        <v>0.95</v>
      </c>
      <c r="Q1966" s="1663">
        <v>0.95</v>
      </c>
    </row>
    <row r="1967" spans="2:17" ht="73.5" x14ac:dyDescent="0.25">
      <c r="B1967" s="1655" t="s">
        <v>1606</v>
      </c>
      <c r="C1967" s="1656"/>
      <c r="D1967" s="1656"/>
      <c r="E1967" s="1616" t="s">
        <v>2757</v>
      </c>
      <c r="F1967" s="1617">
        <v>6488.3</v>
      </c>
      <c r="G1967" s="1617">
        <v>6738.7</v>
      </c>
      <c r="H1967" s="1617">
        <v>4664.8999999999996</v>
      </c>
      <c r="I1967" s="1617">
        <v>4672.1000000000004</v>
      </c>
      <c r="J1967" s="1617">
        <v>4688.2</v>
      </c>
      <c r="K1967" s="1665" t="s">
        <v>2758</v>
      </c>
      <c r="L1967" s="1446" t="s">
        <v>35</v>
      </c>
      <c r="M1967" s="1663">
        <v>1</v>
      </c>
      <c r="N1967" s="1663">
        <v>1</v>
      </c>
      <c r="O1967" s="1663">
        <v>1</v>
      </c>
      <c r="P1967" s="1663">
        <v>1</v>
      </c>
      <c r="Q1967" s="1663">
        <v>1</v>
      </c>
    </row>
    <row r="1968" spans="2:17" ht="15.75" thickBot="1" x14ac:dyDescent="0.3">
      <c r="B1968" s="1655"/>
      <c r="C1968" s="1656" t="s">
        <v>5</v>
      </c>
      <c r="D1968" s="1656"/>
      <c r="E1968" s="1659" t="s">
        <v>2759</v>
      </c>
      <c r="F1968" s="1657">
        <v>6488.3</v>
      </c>
      <c r="G1968" s="1666">
        <v>6738.7</v>
      </c>
      <c r="H1968" s="1651">
        <v>4664.8999999999996</v>
      </c>
      <c r="I1968" s="1651">
        <v>4672.1000000000004</v>
      </c>
      <c r="J1968" s="1651">
        <v>4688.2</v>
      </c>
      <c r="K1968" s="1667" t="s">
        <v>2760</v>
      </c>
      <c r="L1968" s="1446" t="s">
        <v>35</v>
      </c>
      <c r="M1968" s="1663">
        <v>0.8</v>
      </c>
      <c r="N1968" s="1663">
        <v>0.8</v>
      </c>
      <c r="O1968" s="1663">
        <v>0.8</v>
      </c>
      <c r="P1968" s="1663">
        <v>0.8</v>
      </c>
      <c r="Q1968" s="1663">
        <v>0.8</v>
      </c>
    </row>
    <row r="1969" spans="2:17" ht="15.75" thickBot="1" x14ac:dyDescent="0.3">
      <c r="B1969" s="1693" t="s">
        <v>2462</v>
      </c>
      <c r="C1969" s="1693"/>
      <c r="D1969" s="1693"/>
      <c r="E1969" s="1693"/>
      <c r="F1969" s="1668">
        <f>SUM(F1967+F1964+F1955)</f>
        <v>101472.9</v>
      </c>
      <c r="G1969" s="1668">
        <f>SUM(G1967+G1964+G1955)</f>
        <v>101472.9</v>
      </c>
      <c r="H1969" s="1668">
        <f>SUM(H1967+H1964+H1955)</f>
        <v>101472.9</v>
      </c>
      <c r="I1969" s="1668">
        <f>SUM(I1967+I1964+I1955)</f>
        <v>101138.4</v>
      </c>
      <c r="J1969" s="1668">
        <f>SUM(J1967+J1964+J1955)</f>
        <v>101953.5</v>
      </c>
      <c r="K1969" s="1669"/>
      <c r="L1969" s="1707"/>
      <c r="M1969" s="1707"/>
      <c r="N1969" s="1707"/>
      <c r="O1969" s="1707"/>
      <c r="P1969" s="1707"/>
      <c r="Q1969" s="1708"/>
    </row>
    <row r="1970" spans="2:17" ht="15.75" thickBot="1" x14ac:dyDescent="0.3">
      <c r="B1970" s="1696" t="s">
        <v>2761</v>
      </c>
      <c r="C1970" s="1697"/>
      <c r="D1970" s="1697"/>
      <c r="E1970" s="1697"/>
      <c r="F1970" s="1697"/>
      <c r="G1970" s="1697"/>
      <c r="H1970" s="1697"/>
      <c r="I1970" s="1697"/>
      <c r="J1970" s="1697"/>
      <c r="K1970" s="1697"/>
      <c r="L1970" s="1697"/>
      <c r="M1970" s="1697"/>
      <c r="N1970" s="1697"/>
      <c r="O1970" s="1697"/>
      <c r="P1970" s="1697"/>
      <c r="Q1970" s="1697"/>
    </row>
    <row r="1971" spans="2:17" ht="73.5" x14ac:dyDescent="0.25">
      <c r="B1971" s="1044">
        <v>1</v>
      </c>
      <c r="C1971" s="674"/>
      <c r="D1971" s="1045"/>
      <c r="E1971" s="1046" t="s">
        <v>2474</v>
      </c>
      <c r="F1971" s="873">
        <f>F1972+F1973+F1974+F1975+F1976+F1977+F1978</f>
        <v>7044.2</v>
      </c>
      <c r="G1971" s="873">
        <f>G1972+G1973+G1974+G1975+G1976+G1977+G1978</f>
        <v>7044.2</v>
      </c>
      <c r="H1971" s="873">
        <f>H1972+H1973+H1974+H1975+H1977</f>
        <v>7246.5</v>
      </c>
      <c r="I1971" s="873">
        <f>I1972+I1973+I1974+I1975+I1977</f>
        <v>7346.5</v>
      </c>
      <c r="J1971" s="873">
        <f>J1972+J1973+J1974+J1975+J1977</f>
        <v>7446.5</v>
      </c>
      <c r="K1971" s="807" t="s">
        <v>34</v>
      </c>
      <c r="L1971" s="809" t="s">
        <v>35</v>
      </c>
      <c r="M1971" s="809">
        <v>48</v>
      </c>
      <c r="N1971" s="809">
        <v>48</v>
      </c>
      <c r="O1971" s="809">
        <v>48</v>
      </c>
      <c r="P1971" s="809">
        <v>48</v>
      </c>
      <c r="Q1971" s="809">
        <v>48</v>
      </c>
    </row>
    <row r="1972" spans="2:17" x14ac:dyDescent="0.25">
      <c r="B1972" s="1047"/>
      <c r="C1972" s="1048">
        <v>1</v>
      </c>
      <c r="D1972" s="674"/>
      <c r="E1972" s="1049" t="s">
        <v>6</v>
      </c>
      <c r="F1972" s="786">
        <v>1602</v>
      </c>
      <c r="G1972" s="786">
        <v>1602</v>
      </c>
      <c r="H1972" s="786">
        <v>1549.2</v>
      </c>
      <c r="I1972" s="786">
        <v>1549.2</v>
      </c>
      <c r="J1972" s="786">
        <v>1549.2</v>
      </c>
      <c r="K1972" s="693" t="s">
        <v>2762</v>
      </c>
      <c r="L1972" s="660" t="s">
        <v>35</v>
      </c>
      <c r="M1972" s="660">
        <v>98</v>
      </c>
      <c r="N1972" s="660">
        <v>98</v>
      </c>
      <c r="O1972" s="660">
        <v>98</v>
      </c>
      <c r="P1972" s="660">
        <v>98</v>
      </c>
      <c r="Q1972" s="660">
        <v>98</v>
      </c>
    </row>
    <row r="1973" spans="2:17" ht="30" x14ac:dyDescent="0.25">
      <c r="B1973" s="1047"/>
      <c r="C1973" s="675">
        <v>2</v>
      </c>
      <c r="D1973" s="674"/>
      <c r="E1973" s="493" t="s">
        <v>8</v>
      </c>
      <c r="F1973" s="786">
        <v>1221</v>
      </c>
      <c r="G1973" s="786">
        <v>1221</v>
      </c>
      <c r="H1973" s="786">
        <v>1162.3</v>
      </c>
      <c r="I1973" s="786">
        <v>1162.3</v>
      </c>
      <c r="J1973" s="786">
        <v>1162.3</v>
      </c>
      <c r="K1973" s="659" t="s">
        <v>38</v>
      </c>
      <c r="L1973" s="660" t="s">
        <v>35</v>
      </c>
      <c r="M1973" s="660">
        <v>0</v>
      </c>
      <c r="N1973" s="660">
        <v>0</v>
      </c>
      <c r="O1973" s="660">
        <v>0</v>
      </c>
      <c r="P1973" s="660">
        <v>0</v>
      </c>
      <c r="Q1973" s="660">
        <v>0</v>
      </c>
    </row>
    <row r="1974" spans="2:17" x14ac:dyDescent="0.25">
      <c r="B1974" s="1047"/>
      <c r="C1974" s="675">
        <v>3</v>
      </c>
      <c r="D1974" s="674"/>
      <c r="E1974" s="493" t="s">
        <v>10</v>
      </c>
      <c r="F1974" s="786">
        <v>445.6</v>
      </c>
      <c r="G1974" s="786">
        <v>445.6</v>
      </c>
      <c r="H1974" s="786">
        <v>466</v>
      </c>
      <c r="I1974" s="786">
        <v>466</v>
      </c>
      <c r="J1974" s="786">
        <v>466</v>
      </c>
      <c r="K1974" s="423" t="s">
        <v>2763</v>
      </c>
      <c r="L1974" s="660" t="s">
        <v>35</v>
      </c>
      <c r="M1974" s="660">
        <v>100</v>
      </c>
      <c r="N1974" s="660">
        <v>100</v>
      </c>
      <c r="O1974" s="660">
        <v>100</v>
      </c>
      <c r="P1974" s="660">
        <v>100</v>
      </c>
      <c r="Q1974" s="660">
        <v>100</v>
      </c>
    </row>
    <row r="1975" spans="2:17" ht="30" x14ac:dyDescent="0.25">
      <c r="B1975" s="1047"/>
      <c r="C1975" s="675">
        <v>4</v>
      </c>
      <c r="D1975" s="674"/>
      <c r="E1975" s="493" t="s">
        <v>12</v>
      </c>
      <c r="F1975" s="786">
        <v>367</v>
      </c>
      <c r="G1975" s="786">
        <v>367</v>
      </c>
      <c r="H1975" s="786">
        <v>352</v>
      </c>
      <c r="I1975" s="786">
        <v>352</v>
      </c>
      <c r="J1975" s="786">
        <v>352</v>
      </c>
      <c r="K1975" s="659" t="s">
        <v>2764</v>
      </c>
      <c r="L1975" s="660" t="s">
        <v>35</v>
      </c>
      <c r="M1975" s="660">
        <v>100</v>
      </c>
      <c r="N1975" s="660">
        <v>100</v>
      </c>
      <c r="O1975" s="660">
        <v>100</v>
      </c>
      <c r="P1975" s="660">
        <v>100</v>
      </c>
      <c r="Q1975" s="660">
        <v>100</v>
      </c>
    </row>
    <row r="1976" spans="2:17" ht="30" x14ac:dyDescent="0.25">
      <c r="B1976" s="1047"/>
      <c r="C1976" s="675">
        <v>5</v>
      </c>
      <c r="D1976" s="674"/>
      <c r="E1976" s="493" t="s">
        <v>13</v>
      </c>
      <c r="F1976" s="683"/>
      <c r="G1976" s="683"/>
      <c r="H1976" s="786">
        <v>0</v>
      </c>
      <c r="I1976" s="683"/>
      <c r="J1976" s="786"/>
      <c r="K1976" s="659"/>
      <c r="L1976" s="660" t="s">
        <v>40</v>
      </c>
      <c r="M1976" s="660">
        <v>0</v>
      </c>
      <c r="N1976" s="660">
        <v>0</v>
      </c>
      <c r="O1976" s="660">
        <v>0</v>
      </c>
      <c r="P1976" s="660">
        <v>0</v>
      </c>
      <c r="Q1976" s="660">
        <v>0</v>
      </c>
    </row>
    <row r="1977" spans="2:17" ht="45" x14ac:dyDescent="0.25">
      <c r="B1977" s="1047"/>
      <c r="C1977" s="676">
        <v>6</v>
      </c>
      <c r="D1977" s="674"/>
      <c r="E1977" s="693" t="s">
        <v>14</v>
      </c>
      <c r="F1977" s="786">
        <v>3408.6</v>
      </c>
      <c r="G1977" s="786">
        <v>3408.6</v>
      </c>
      <c r="H1977" s="786">
        <v>3717</v>
      </c>
      <c r="I1977" s="786">
        <v>3817</v>
      </c>
      <c r="J1977" s="786">
        <v>3917</v>
      </c>
      <c r="K1977" s="659" t="s">
        <v>41</v>
      </c>
      <c r="L1977" s="660" t="s">
        <v>35</v>
      </c>
      <c r="M1977" s="660">
        <v>58</v>
      </c>
      <c r="N1977" s="660">
        <v>58</v>
      </c>
      <c r="O1977" s="660">
        <v>58</v>
      </c>
      <c r="P1977" s="660">
        <v>58</v>
      </c>
      <c r="Q1977" s="660">
        <v>58</v>
      </c>
    </row>
    <row r="1978" spans="2:17" ht="30" x14ac:dyDescent="0.25">
      <c r="B1978" s="1047"/>
      <c r="C1978" s="676">
        <v>7</v>
      </c>
      <c r="D1978" s="674"/>
      <c r="E1978" s="693" t="s">
        <v>464</v>
      </c>
      <c r="F1978" s="683"/>
      <c r="G1978" s="683"/>
      <c r="H1978" s="786">
        <v>0</v>
      </c>
      <c r="I1978" s="683"/>
      <c r="J1978" s="786"/>
      <c r="K1978" s="659"/>
      <c r="L1978" s="660"/>
      <c r="M1978" s="262"/>
      <c r="N1978" s="262"/>
      <c r="O1978" s="262"/>
      <c r="P1978" s="262"/>
      <c r="Q1978" s="262"/>
    </row>
    <row r="1979" spans="2:17" x14ac:dyDescent="0.25">
      <c r="B1979" s="1047"/>
      <c r="C1979" s="676">
        <v>8</v>
      </c>
      <c r="D1979" s="674"/>
      <c r="E1979" s="693" t="s">
        <v>333</v>
      </c>
      <c r="F1979" s="683"/>
      <c r="G1979" s="683"/>
      <c r="H1979" s="786">
        <v>0</v>
      </c>
      <c r="I1979" s="683"/>
      <c r="J1979" s="786"/>
      <c r="K1979" s="659"/>
      <c r="L1979" s="660"/>
      <c r="M1979" s="262"/>
      <c r="N1979" s="262"/>
      <c r="O1979" s="262"/>
      <c r="P1979" s="262"/>
      <c r="Q1979" s="262"/>
    </row>
    <row r="1980" spans="2:17" ht="45" x14ac:dyDescent="0.25">
      <c r="B1980" s="971" t="s">
        <v>467</v>
      </c>
      <c r="C1980" s="756"/>
      <c r="D1980" s="1670"/>
      <c r="E1980" s="684" t="s">
        <v>2765</v>
      </c>
      <c r="F1980" s="683">
        <f>F1981+F1982+F1983</f>
        <v>27891</v>
      </c>
      <c r="G1980" s="683">
        <f>G1981+G1982+G1983</f>
        <v>27891</v>
      </c>
      <c r="H1980" s="683">
        <f>H1981+H1982+H1983</f>
        <v>27688.7</v>
      </c>
      <c r="I1980" s="683">
        <v>27688.7</v>
      </c>
      <c r="J1980" s="683">
        <f>J1981+J1982+J1983</f>
        <v>27994.7</v>
      </c>
      <c r="K1980" s="693" t="s">
        <v>2766</v>
      </c>
      <c r="L1980" s="693" t="s">
        <v>2727</v>
      </c>
      <c r="M1980" s="693" t="s">
        <v>2767</v>
      </c>
      <c r="N1980" s="693" t="s">
        <v>2767</v>
      </c>
      <c r="O1980" s="693" t="s">
        <v>2767</v>
      </c>
      <c r="P1980" s="693" t="s">
        <v>2767</v>
      </c>
      <c r="Q1980" s="693" t="s">
        <v>2767</v>
      </c>
    </row>
    <row r="1981" spans="2:17" ht="30" x14ac:dyDescent="0.25">
      <c r="B1981" s="677"/>
      <c r="C1981" s="756" t="s">
        <v>5</v>
      </c>
      <c r="D1981" s="1671"/>
      <c r="E1981" s="693" t="s">
        <v>2768</v>
      </c>
      <c r="F1981" s="753">
        <v>6121.7</v>
      </c>
      <c r="G1981" s="753">
        <v>6121.7</v>
      </c>
      <c r="H1981" s="753">
        <v>5805.7</v>
      </c>
      <c r="I1981" s="786">
        <v>5805.7</v>
      </c>
      <c r="J1981" s="786">
        <v>5960.7</v>
      </c>
      <c r="K1981" s="693" t="s">
        <v>2769</v>
      </c>
      <c r="L1981" s="693" t="s">
        <v>2727</v>
      </c>
      <c r="M1981" s="693" t="s">
        <v>2770</v>
      </c>
      <c r="N1981" s="693" t="s">
        <v>2770</v>
      </c>
      <c r="O1981" s="693" t="s">
        <v>2770</v>
      </c>
      <c r="P1981" s="693" t="s">
        <v>2770</v>
      </c>
      <c r="Q1981" s="693" t="s">
        <v>2770</v>
      </c>
    </row>
    <row r="1982" spans="2:17" ht="30" x14ac:dyDescent="0.25">
      <c r="B1982" s="677"/>
      <c r="C1982" s="756" t="s">
        <v>7</v>
      </c>
      <c r="D1982" s="1671"/>
      <c r="E1982" s="693" t="s">
        <v>2771</v>
      </c>
      <c r="F1982" s="753">
        <v>1024.7</v>
      </c>
      <c r="G1982" s="753">
        <v>1024.7</v>
      </c>
      <c r="H1982" s="753">
        <v>1113</v>
      </c>
      <c r="I1982" s="753">
        <v>1113</v>
      </c>
      <c r="J1982" s="753">
        <v>1113</v>
      </c>
      <c r="K1982" s="693" t="s">
        <v>2772</v>
      </c>
      <c r="L1982" s="693" t="s">
        <v>2727</v>
      </c>
      <c r="M1982" s="660" t="s">
        <v>2773</v>
      </c>
      <c r="N1982" s="660" t="s">
        <v>2773</v>
      </c>
      <c r="O1982" s="660" t="s">
        <v>2773</v>
      </c>
      <c r="P1982" s="660" t="s">
        <v>2773</v>
      </c>
      <c r="Q1982" s="660" t="s">
        <v>2773</v>
      </c>
    </row>
    <row r="1983" spans="2:17" ht="30" x14ac:dyDescent="0.25">
      <c r="B1983" s="677"/>
      <c r="C1983" s="756" t="s">
        <v>9</v>
      </c>
      <c r="D1983" s="1671"/>
      <c r="E1983" s="678" t="s">
        <v>2774</v>
      </c>
      <c r="F1983" s="753">
        <v>20744.599999999999</v>
      </c>
      <c r="G1983" s="753">
        <v>20744.599999999999</v>
      </c>
      <c r="H1983" s="753">
        <v>20770</v>
      </c>
      <c r="I1983" s="753">
        <v>20770</v>
      </c>
      <c r="J1983" s="753">
        <v>20921</v>
      </c>
      <c r="K1983" s="678" t="s">
        <v>2762</v>
      </c>
      <c r="L1983" s="678" t="s">
        <v>35</v>
      </c>
      <c r="M1983" s="771" t="s">
        <v>2775</v>
      </c>
      <c r="N1983" s="771" t="s">
        <v>2775</v>
      </c>
      <c r="O1983" s="771" t="s">
        <v>2775</v>
      </c>
      <c r="P1983" s="771" t="s">
        <v>2775</v>
      </c>
      <c r="Q1983" s="771" t="s">
        <v>2775</v>
      </c>
    </row>
    <row r="1984" spans="2:17" x14ac:dyDescent="0.25">
      <c r="B1984" s="1693" t="s">
        <v>2462</v>
      </c>
      <c r="C1984" s="1693"/>
      <c r="D1984" s="1693"/>
      <c r="E1984" s="1693"/>
      <c r="F1984" s="1008">
        <f>F1980+F1971</f>
        <v>34935.199999999997</v>
      </c>
      <c r="G1984" s="1008">
        <f>G1980+G1971</f>
        <v>34935.199999999997</v>
      </c>
      <c r="H1984" s="1008">
        <f>H1980+H1971</f>
        <v>34935.199999999997</v>
      </c>
      <c r="I1984" s="1008">
        <f>I1980+I1971</f>
        <v>35035.199999999997</v>
      </c>
      <c r="J1984" s="1008">
        <f>J1980+J1971</f>
        <v>35441.199999999997</v>
      </c>
      <c r="K1984" s="1389"/>
      <c r="L1984" s="1709"/>
      <c r="M1984" s="1709"/>
      <c r="N1984" s="1709"/>
      <c r="O1984" s="1709"/>
      <c r="P1984" s="1709"/>
      <c r="Q1984" s="1709"/>
    </row>
    <row r="1985" spans="2:17" x14ac:dyDescent="0.25">
      <c r="B1985" s="1710" t="s">
        <v>2776</v>
      </c>
      <c r="C1985" s="1710"/>
      <c r="D1985" s="1710"/>
      <c r="E1985" s="1710"/>
      <c r="F1985" s="1710"/>
      <c r="G1985" s="1710"/>
      <c r="H1985" s="1710"/>
      <c r="I1985" s="1710"/>
      <c r="J1985" s="1710"/>
      <c r="K1985" s="1710"/>
      <c r="L1985" s="1710"/>
      <c r="M1985" s="1710"/>
      <c r="N1985" s="1710"/>
      <c r="O1985" s="1710"/>
      <c r="P1985" s="1710"/>
      <c r="Q1985" s="1710"/>
    </row>
    <row r="1986" spans="2:17" ht="59.25" x14ac:dyDescent="0.25">
      <c r="B1986" s="1010">
        <v>1</v>
      </c>
      <c r="C1986" s="336"/>
      <c r="D1986" s="336"/>
      <c r="E1986" s="529" t="s">
        <v>2777</v>
      </c>
      <c r="F1986" s="366">
        <f>SUM(F1987:F1991)</f>
        <v>14819.5</v>
      </c>
      <c r="G1986" s="366">
        <v>14984</v>
      </c>
      <c r="H1986" s="366">
        <f>H1987+H1988+H1989+H1990+H1991</f>
        <v>10689.6</v>
      </c>
      <c r="I1986" s="366">
        <v>10730.4</v>
      </c>
      <c r="J1986" s="366">
        <v>10730.4</v>
      </c>
      <c r="K1986" s="530" t="s">
        <v>34</v>
      </c>
      <c r="L1986" s="721" t="s">
        <v>35</v>
      </c>
      <c r="M1986" s="721">
        <v>33.700000000000003</v>
      </c>
      <c r="N1986" s="721">
        <v>33.700000000000003</v>
      </c>
      <c r="O1986" s="721">
        <v>33.700000000000003</v>
      </c>
      <c r="P1986" s="721">
        <v>33.700000000000003</v>
      </c>
      <c r="Q1986" s="721">
        <v>33.700000000000003</v>
      </c>
    </row>
    <row r="1987" spans="2:17" x14ac:dyDescent="0.25">
      <c r="B1987" s="531"/>
      <c r="C1987" s="532">
        <v>1</v>
      </c>
      <c r="D1987" s="336"/>
      <c r="E1987" s="343" t="s">
        <v>6</v>
      </c>
      <c r="F1987" s="364">
        <v>2510.6999999999998</v>
      </c>
      <c r="G1987" s="364">
        <v>2488.9</v>
      </c>
      <c r="H1987" s="364">
        <f>120+20.4+86.4+1242+214.2+645.6</f>
        <v>2328.6</v>
      </c>
      <c r="I1987" s="364"/>
      <c r="J1987" s="364"/>
      <c r="K1987" s="344" t="s">
        <v>36</v>
      </c>
      <c r="L1987" s="329" t="s">
        <v>37</v>
      </c>
      <c r="M1987" s="329">
        <v>0.92</v>
      </c>
      <c r="N1987" s="329">
        <v>0.92</v>
      </c>
      <c r="O1987" s="329">
        <v>0.92</v>
      </c>
      <c r="P1987" s="329">
        <v>0.92</v>
      </c>
      <c r="Q1987" s="329">
        <v>0.92</v>
      </c>
    </row>
    <row r="1988" spans="2:17" ht="30" x14ac:dyDescent="0.25">
      <c r="B1988" s="531"/>
      <c r="C1988" s="504">
        <v>2</v>
      </c>
      <c r="D1988" s="336"/>
      <c r="E1988" s="346" t="s">
        <v>8</v>
      </c>
      <c r="F1988" s="673">
        <v>9049</v>
      </c>
      <c r="G1988" s="673">
        <v>9214.7000000000007</v>
      </c>
      <c r="H1988" s="673">
        <f>70+11.9+30+713+121.2+857.3+634.2+1332.2+54.3</f>
        <v>3824.1000000000004</v>
      </c>
      <c r="I1988" s="673"/>
      <c r="J1988" s="673"/>
      <c r="K1988" s="344" t="s">
        <v>38</v>
      </c>
      <c r="L1988" s="329" t="s">
        <v>35</v>
      </c>
      <c r="M1988" s="329">
        <v>100</v>
      </c>
      <c r="N1988" s="329">
        <v>100</v>
      </c>
      <c r="O1988" s="329">
        <v>100</v>
      </c>
      <c r="P1988" s="329">
        <v>100</v>
      </c>
      <c r="Q1988" s="329">
        <v>100</v>
      </c>
    </row>
    <row r="1989" spans="2:17" ht="30" x14ac:dyDescent="0.25">
      <c r="B1989" s="531"/>
      <c r="C1989" s="504">
        <v>3</v>
      </c>
      <c r="D1989" s="336"/>
      <c r="E1989" s="346" t="s">
        <v>10</v>
      </c>
      <c r="F1989" s="364">
        <v>422.1</v>
      </c>
      <c r="G1989" s="364">
        <v>675</v>
      </c>
      <c r="H1989" s="364">
        <f>30+5.1+377.7+64.2</f>
        <v>477</v>
      </c>
      <c r="I1989" s="364"/>
      <c r="J1989" s="364"/>
      <c r="K1989" s="348" t="s">
        <v>39</v>
      </c>
      <c r="L1989" s="329" t="s">
        <v>35</v>
      </c>
      <c r="M1989" s="329"/>
      <c r="N1989" s="329"/>
      <c r="O1989" s="329"/>
      <c r="P1989" s="329"/>
      <c r="Q1989" s="329"/>
    </row>
    <row r="1990" spans="2:17" ht="30" x14ac:dyDescent="0.25">
      <c r="B1990" s="531"/>
      <c r="C1990" s="504">
        <v>4</v>
      </c>
      <c r="D1990" s="336"/>
      <c r="E1990" s="346" t="s">
        <v>12</v>
      </c>
      <c r="F1990" s="364">
        <v>798.9</v>
      </c>
      <c r="G1990" s="364">
        <v>798.9</v>
      </c>
      <c r="H1990" s="364">
        <v>854.2</v>
      </c>
      <c r="I1990" s="364"/>
      <c r="J1990" s="364"/>
      <c r="K1990" s="344" t="s">
        <v>191</v>
      </c>
      <c r="L1990" s="329" t="s">
        <v>192</v>
      </c>
      <c r="M1990" s="329"/>
      <c r="N1990" s="329"/>
      <c r="O1990" s="329"/>
      <c r="P1990" s="329"/>
      <c r="Q1990" s="329"/>
    </row>
    <row r="1991" spans="2:17" ht="45" x14ac:dyDescent="0.25">
      <c r="B1991" s="531"/>
      <c r="C1991" s="1013">
        <v>6</v>
      </c>
      <c r="D1991" s="336"/>
      <c r="E1991" s="328" t="s">
        <v>14</v>
      </c>
      <c r="F1991" s="364">
        <v>2038.8</v>
      </c>
      <c r="G1991" s="364">
        <v>1806.5</v>
      </c>
      <c r="H1991" s="364">
        <f>270+47.2+90+1717.5+291.9+789.1</f>
        <v>3205.7</v>
      </c>
      <c r="I1991" s="364"/>
      <c r="J1991" s="364"/>
      <c r="K1991" s="344" t="s">
        <v>41</v>
      </c>
      <c r="L1991" s="329" t="s">
        <v>35</v>
      </c>
      <c r="M1991" s="329">
        <v>16</v>
      </c>
      <c r="N1991" s="329">
        <v>16</v>
      </c>
      <c r="O1991" s="329">
        <v>16</v>
      </c>
      <c r="P1991" s="329">
        <v>16</v>
      </c>
      <c r="Q1991" s="329">
        <v>16</v>
      </c>
    </row>
    <row r="1992" spans="2:17" ht="58.5" x14ac:dyDescent="0.25">
      <c r="B1992" s="352" t="s">
        <v>467</v>
      </c>
      <c r="C1992" s="353"/>
      <c r="D1992" s="353"/>
      <c r="E1992" s="354" t="s">
        <v>2778</v>
      </c>
      <c r="F1992" s="359">
        <f>SUM(F1993:F1993)</f>
        <v>25843.8</v>
      </c>
      <c r="G1992" s="359">
        <f>SUM(G1993:G1993)</f>
        <v>25687.1</v>
      </c>
      <c r="H1992" s="359">
        <f>H1993</f>
        <v>49360.7</v>
      </c>
      <c r="I1992" s="359">
        <v>30055.1</v>
      </c>
      <c r="J1992" s="359">
        <v>30132.9</v>
      </c>
      <c r="K1992" s="328" t="s">
        <v>2779</v>
      </c>
      <c r="L1992" s="328" t="s">
        <v>35</v>
      </c>
      <c r="M1992" s="328">
        <v>100</v>
      </c>
      <c r="N1992" s="328">
        <v>100</v>
      </c>
      <c r="O1992" s="328">
        <v>100</v>
      </c>
      <c r="P1992" s="328">
        <v>100</v>
      </c>
      <c r="Q1992" s="328">
        <v>100</v>
      </c>
    </row>
    <row r="1993" spans="2:17" x14ac:dyDescent="0.25">
      <c r="B1993" s="353"/>
      <c r="C1993" s="533" t="s">
        <v>5</v>
      </c>
      <c r="D1993" s="353"/>
      <c r="E1993" s="328" t="s">
        <v>2780</v>
      </c>
      <c r="F1993" s="368">
        <v>25843.8</v>
      </c>
      <c r="G1993" s="368">
        <v>25687.1</v>
      </c>
      <c r="H1993" s="368">
        <v>49360.7</v>
      </c>
      <c r="I1993" s="368">
        <v>30055.1</v>
      </c>
      <c r="J1993" s="368">
        <v>30132.9</v>
      </c>
      <c r="K1993" s="356" t="s">
        <v>2781</v>
      </c>
      <c r="L1993" s="356" t="s">
        <v>313</v>
      </c>
      <c r="M1993" s="1672">
        <v>9500</v>
      </c>
      <c r="N1993" s="1672">
        <v>9500</v>
      </c>
      <c r="O1993" s="1672">
        <v>9500</v>
      </c>
      <c r="P1993" s="1672">
        <v>9500</v>
      </c>
      <c r="Q1993" s="1672">
        <v>9600</v>
      </c>
    </row>
    <row r="1994" spans="2:17" x14ac:dyDescent="0.25">
      <c r="B1994" s="1693" t="s">
        <v>2462</v>
      </c>
      <c r="C1994" s="1693"/>
      <c r="D1994" s="1693"/>
      <c r="E1994" s="1693"/>
      <c r="F1994" s="1018">
        <f>F1986+F1992</f>
        <v>40663.300000000003</v>
      </c>
      <c r="G1994" s="1018">
        <f>G1986+G1992</f>
        <v>40671.1</v>
      </c>
      <c r="H1994" s="1018">
        <f>H1986+H1992</f>
        <v>60050.299999999996</v>
      </c>
      <c r="I1994" s="1018">
        <f>I1986+I1992</f>
        <v>40785.5</v>
      </c>
      <c r="J1994" s="1018">
        <f>J1986+J1992</f>
        <v>40863.300000000003</v>
      </c>
      <c r="K1994" s="1400"/>
      <c r="L1994" s="1711"/>
      <c r="M1994" s="1711"/>
      <c r="N1994" s="1711"/>
      <c r="O1994" s="1711"/>
      <c r="P1994" s="1711"/>
      <c r="Q1994" s="1711"/>
    </row>
    <row r="1995" spans="2:17" x14ac:dyDescent="0.25">
      <c r="B1995" s="1696" t="s">
        <v>2782</v>
      </c>
      <c r="C1995" s="1697"/>
      <c r="D1995" s="1697"/>
      <c r="E1995" s="1697"/>
      <c r="F1995" s="1698"/>
      <c r="G1995" s="1698"/>
      <c r="H1995" s="1698"/>
      <c r="I1995" s="1698"/>
      <c r="J1995" s="1698"/>
      <c r="K1995" s="1698"/>
      <c r="L1995" s="1698"/>
      <c r="M1995" s="1698"/>
      <c r="N1995" s="1698"/>
      <c r="O1995" s="1698"/>
      <c r="P1995" s="1698"/>
      <c r="Q1995" s="1698"/>
    </row>
    <row r="1996" spans="2:17" ht="74.25" x14ac:dyDescent="0.25">
      <c r="B1996" s="1673" t="s">
        <v>516</v>
      </c>
      <c r="C1996" s="1674"/>
      <c r="D1996" s="1675"/>
      <c r="E1996" s="1676" t="s">
        <v>2783</v>
      </c>
      <c r="F1996" s="1349">
        <f>F1997+F1998+F1999</f>
        <v>1784.8999999999999</v>
      </c>
      <c r="G1996" s="1349">
        <f>G1997+G1998+G1999</f>
        <v>3092.3</v>
      </c>
      <c r="H1996" s="1349">
        <f>H1997+H1998+H1999</f>
        <v>3092.3</v>
      </c>
      <c r="I1996" s="1349">
        <f>I1997+I1998+I1999</f>
        <v>3617.6</v>
      </c>
      <c r="J1996" s="1349">
        <f>J1997+J1998+J1999</f>
        <v>3617.6</v>
      </c>
      <c r="K1996" s="1677"/>
      <c r="L1996" s="1117"/>
      <c r="M1996" s="1117"/>
      <c r="N1996" s="1674"/>
      <c r="O1996" s="1674"/>
      <c r="P1996" s="1674"/>
      <c r="Q1996" s="1674"/>
    </row>
    <row r="1997" spans="2:17" x14ac:dyDescent="0.25">
      <c r="B1997" s="1678"/>
      <c r="C1997" s="1114" t="s">
        <v>5</v>
      </c>
      <c r="D1997" s="1675"/>
      <c r="E1997" s="1115" t="s">
        <v>6</v>
      </c>
      <c r="F1997" s="1121">
        <v>506.8</v>
      </c>
      <c r="G1997" s="1121">
        <v>691.8</v>
      </c>
      <c r="H1997" s="1121">
        <v>691.8</v>
      </c>
      <c r="I1997" s="1121">
        <v>1420.7</v>
      </c>
      <c r="J1997" s="1121">
        <v>1420.7</v>
      </c>
      <c r="K1997" s="1115" t="s">
        <v>36</v>
      </c>
      <c r="L1997" s="1117" t="s">
        <v>35</v>
      </c>
      <c r="M1997" s="1117">
        <v>100</v>
      </c>
      <c r="N1997" s="1117">
        <v>100</v>
      </c>
      <c r="O1997" s="1117">
        <v>100</v>
      </c>
      <c r="P1997" s="1117">
        <v>100</v>
      </c>
      <c r="Q1997" s="1117">
        <v>100</v>
      </c>
    </row>
    <row r="1998" spans="2:17" ht="30" x14ac:dyDescent="0.25">
      <c r="B1998" s="1678"/>
      <c r="C1998" s="1114" t="s">
        <v>7</v>
      </c>
      <c r="D1998" s="1675"/>
      <c r="E1998" s="1115" t="s">
        <v>8</v>
      </c>
      <c r="F1998" s="1121">
        <v>1167</v>
      </c>
      <c r="G1998" s="1121">
        <v>487.3</v>
      </c>
      <c r="H1998" s="1121">
        <v>487.3</v>
      </c>
      <c r="I1998" s="1121">
        <v>800</v>
      </c>
      <c r="J1998" s="1121">
        <v>800</v>
      </c>
      <c r="K1998" s="1115" t="s">
        <v>38</v>
      </c>
      <c r="L1998" s="660" t="s">
        <v>35</v>
      </c>
      <c r="M1998" s="1350">
        <v>100</v>
      </c>
      <c r="N1998" s="1350">
        <v>100</v>
      </c>
      <c r="O1998" s="1350">
        <v>100</v>
      </c>
      <c r="P1998" s="1350">
        <v>100</v>
      </c>
      <c r="Q1998" s="1350">
        <v>100</v>
      </c>
    </row>
    <row r="1999" spans="2:17" ht="30" x14ac:dyDescent="0.25">
      <c r="B1999" s="1678"/>
      <c r="C1999" s="1114" t="s">
        <v>9</v>
      </c>
      <c r="D1999" s="1675"/>
      <c r="E1999" s="1679" t="s">
        <v>14</v>
      </c>
      <c r="F1999" s="1121">
        <v>111.1</v>
      </c>
      <c r="G1999" s="1121">
        <v>1913.2</v>
      </c>
      <c r="H1999" s="1121">
        <v>1913.2</v>
      </c>
      <c r="I1999" s="1121">
        <v>1396.9</v>
      </c>
      <c r="J1999" s="1121">
        <v>1396.9</v>
      </c>
      <c r="K1999" s="659" t="s">
        <v>2784</v>
      </c>
      <c r="L1999" s="660" t="s">
        <v>35</v>
      </c>
      <c r="M1999" s="1350">
        <v>100</v>
      </c>
      <c r="N1999" s="1350">
        <v>100</v>
      </c>
      <c r="O1999" s="1350">
        <v>100</v>
      </c>
      <c r="P1999" s="1350">
        <v>100</v>
      </c>
      <c r="Q1999" s="1350">
        <v>100</v>
      </c>
    </row>
    <row r="2000" spans="2:17" ht="86.25" x14ac:dyDescent="0.25">
      <c r="B2000" s="1699" t="s">
        <v>467</v>
      </c>
      <c r="C2000" s="1701"/>
      <c r="D2000" s="1702"/>
      <c r="E2000" s="1680" t="s">
        <v>2785</v>
      </c>
      <c r="F2000" s="1705"/>
      <c r="G2000" s="1705">
        <f>G2002+G2003+G2004+G2005+G2006+G2007+G2008</f>
        <v>15954.600000000002</v>
      </c>
      <c r="H2000" s="1705">
        <f>H2002+H2003+H2004+H2005+H2006+H2007+H2008</f>
        <v>15954.600000000002</v>
      </c>
      <c r="I2000" s="1705">
        <f>I2002+I2003+I2004+I2005+I2006+I2007+I2008</f>
        <v>15445.9</v>
      </c>
      <c r="J2000" s="1705">
        <f>J2002+J2003+J2004+J2005+J2006+J2007+J2008</f>
        <v>15483.1</v>
      </c>
      <c r="K2000" s="1694"/>
      <c r="L2000" s="1694"/>
      <c r="M2000" s="1695"/>
      <c r="N2000" s="1694"/>
      <c r="O2000" s="1694"/>
      <c r="P2000" s="1694"/>
      <c r="Q2000" s="678"/>
    </row>
    <row r="2001" spans="2:17" ht="60" x14ac:dyDescent="0.25">
      <c r="B2001" s="1700"/>
      <c r="C2001" s="1701"/>
      <c r="D2001" s="1702"/>
      <c r="E2001" s="1681" t="s">
        <v>2786</v>
      </c>
      <c r="F2001" s="1706"/>
      <c r="G2001" s="1706"/>
      <c r="H2001" s="1706"/>
      <c r="I2001" s="1706"/>
      <c r="J2001" s="1706"/>
      <c r="K2001" s="1694"/>
      <c r="L2001" s="1694"/>
      <c r="M2001" s="1695"/>
      <c r="N2001" s="1694"/>
      <c r="O2001" s="1694"/>
      <c r="P2001" s="1694"/>
      <c r="Q2001" s="679"/>
    </row>
    <row r="2002" spans="2:17" x14ac:dyDescent="0.25">
      <c r="B2002" s="1115"/>
      <c r="C2002" s="1114" t="s">
        <v>5</v>
      </c>
      <c r="D2002" s="1129"/>
      <c r="E2002" s="1682" t="s">
        <v>2787</v>
      </c>
      <c r="F2002" s="1121"/>
      <c r="G2002" s="1121">
        <v>6389.2</v>
      </c>
      <c r="H2002" s="1121">
        <v>6389.2</v>
      </c>
      <c r="I2002" s="1121">
        <v>6256.1</v>
      </c>
      <c r="J2002" s="1121">
        <v>6293.7</v>
      </c>
      <c r="K2002" s="659" t="s">
        <v>2788</v>
      </c>
      <c r="L2002" s="660" t="s">
        <v>40</v>
      </c>
      <c r="M2002" s="660">
        <v>20000</v>
      </c>
      <c r="N2002" s="660">
        <v>50000</v>
      </c>
      <c r="O2002" s="660">
        <v>60000</v>
      </c>
      <c r="P2002" s="660">
        <v>30000</v>
      </c>
      <c r="Q2002" s="660">
        <v>30000</v>
      </c>
    </row>
    <row r="2003" spans="2:17" ht="90" x14ac:dyDescent="0.25">
      <c r="B2003" s="1674"/>
      <c r="C2003" s="1132" t="s">
        <v>7</v>
      </c>
      <c r="D2003" s="1683"/>
      <c r="E2003" s="1115" t="s">
        <v>2789</v>
      </c>
      <c r="F2003" s="1121"/>
      <c r="G2003" s="1121">
        <v>2904</v>
      </c>
      <c r="H2003" s="1121">
        <v>2904</v>
      </c>
      <c r="I2003" s="1121">
        <v>2700</v>
      </c>
      <c r="J2003" s="1121">
        <v>2700</v>
      </c>
      <c r="K2003" s="1684" t="s">
        <v>2790</v>
      </c>
      <c r="L2003" s="1117" t="s">
        <v>40</v>
      </c>
      <c r="M2003" s="452">
        <v>25000</v>
      </c>
      <c r="N2003" s="452">
        <v>25000</v>
      </c>
      <c r="O2003" s="452">
        <v>5000</v>
      </c>
      <c r="P2003" s="452">
        <v>25000</v>
      </c>
      <c r="Q2003" s="452">
        <v>25000</v>
      </c>
    </row>
    <row r="2004" spans="2:17" ht="30" x14ac:dyDescent="0.25">
      <c r="B2004" s="1674"/>
      <c r="C2004" s="1132" t="s">
        <v>9</v>
      </c>
      <c r="D2004" s="1683"/>
      <c r="E2004" s="1685" t="s">
        <v>2791</v>
      </c>
      <c r="F2004" s="1121"/>
      <c r="G2004" s="1121">
        <v>2079</v>
      </c>
      <c r="H2004" s="1121">
        <v>2079</v>
      </c>
      <c r="I2004" s="1121">
        <v>1900</v>
      </c>
      <c r="J2004" s="1121">
        <v>1900</v>
      </c>
      <c r="K2004" s="1684" t="s">
        <v>2792</v>
      </c>
      <c r="L2004" s="1117" t="s">
        <v>40</v>
      </c>
      <c r="M2004" s="1051">
        <v>10000</v>
      </c>
      <c r="N2004" s="398">
        <v>20000</v>
      </c>
      <c r="O2004" s="398">
        <v>20000</v>
      </c>
      <c r="P2004" s="398">
        <v>30000</v>
      </c>
      <c r="Q2004" s="398">
        <v>30000</v>
      </c>
    </row>
    <row r="2005" spans="2:17" ht="60" x14ac:dyDescent="0.25">
      <c r="B2005" s="1674"/>
      <c r="C2005" s="1132" t="s">
        <v>11</v>
      </c>
      <c r="D2005" s="1683"/>
      <c r="E2005" s="1685" t="s">
        <v>2793</v>
      </c>
      <c r="F2005" s="1121"/>
      <c r="G2005" s="1121">
        <v>2297.6</v>
      </c>
      <c r="H2005" s="1121">
        <v>2297.6</v>
      </c>
      <c r="I2005" s="1121">
        <v>2200</v>
      </c>
      <c r="J2005" s="1121">
        <v>2200</v>
      </c>
      <c r="K2005" s="693" t="s">
        <v>2794</v>
      </c>
      <c r="L2005" s="660" t="s">
        <v>40</v>
      </c>
      <c r="M2005" s="1168">
        <v>1</v>
      </c>
      <c r="N2005" s="1168">
        <v>2</v>
      </c>
      <c r="O2005" s="1168">
        <v>2</v>
      </c>
      <c r="P2005" s="1168">
        <v>2</v>
      </c>
      <c r="Q2005" s="1168">
        <v>2</v>
      </c>
    </row>
    <row r="2006" spans="2:17" ht="90" x14ac:dyDescent="0.25">
      <c r="B2006" s="1674"/>
      <c r="C2006" s="1132" t="s">
        <v>127</v>
      </c>
      <c r="D2006" s="1683"/>
      <c r="E2006" s="1685" t="s">
        <v>2795</v>
      </c>
      <c r="F2006" s="1121"/>
      <c r="G2006" s="1121">
        <v>1472.5</v>
      </c>
      <c r="H2006" s="1121">
        <v>1472.5</v>
      </c>
      <c r="I2006" s="1121">
        <v>1000</v>
      </c>
      <c r="J2006" s="1121">
        <v>1000</v>
      </c>
      <c r="K2006" s="693" t="s">
        <v>2796</v>
      </c>
      <c r="L2006" s="660" t="s">
        <v>35</v>
      </c>
      <c r="M2006" s="398">
        <v>80</v>
      </c>
      <c r="N2006" s="398">
        <v>100</v>
      </c>
      <c r="O2006" s="398">
        <v>100</v>
      </c>
      <c r="P2006" s="398">
        <v>100</v>
      </c>
      <c r="Q2006" s="398">
        <v>100</v>
      </c>
    </row>
    <row r="2007" spans="2:17" ht="45" x14ac:dyDescent="0.25">
      <c r="B2007" s="1674"/>
      <c r="C2007" s="1132" t="s">
        <v>129</v>
      </c>
      <c r="D2007" s="1683"/>
      <c r="E2007" s="1115" t="s">
        <v>2797</v>
      </c>
      <c r="F2007" s="1121"/>
      <c r="G2007" s="1121">
        <v>531.1</v>
      </c>
      <c r="H2007" s="1121">
        <v>531.1</v>
      </c>
      <c r="I2007" s="1121">
        <v>800</v>
      </c>
      <c r="J2007" s="1121">
        <v>800.6</v>
      </c>
      <c r="K2007" s="452" t="s">
        <v>2788</v>
      </c>
      <c r="L2007" s="685" t="s">
        <v>40</v>
      </c>
      <c r="M2007" s="1686">
        <v>20000</v>
      </c>
      <c r="N2007" s="1686">
        <v>50000</v>
      </c>
      <c r="O2007" s="1686">
        <v>60000</v>
      </c>
      <c r="P2007" s="1686">
        <v>50000</v>
      </c>
      <c r="Q2007" s="1686">
        <v>50000</v>
      </c>
    </row>
    <row r="2008" spans="2:17" ht="75" x14ac:dyDescent="0.25">
      <c r="B2008" s="1674"/>
      <c r="C2008" s="1132" t="s">
        <v>131</v>
      </c>
      <c r="D2008" s="1683"/>
      <c r="E2008" s="1115" t="s">
        <v>2798</v>
      </c>
      <c r="F2008" s="1121"/>
      <c r="G2008" s="1121">
        <v>281.2</v>
      </c>
      <c r="H2008" s="1121">
        <v>281.2</v>
      </c>
      <c r="I2008" s="1121">
        <v>589.79999999999995</v>
      </c>
      <c r="J2008" s="1121">
        <v>588.79999999999995</v>
      </c>
      <c r="K2008" s="1677" t="s">
        <v>2799</v>
      </c>
      <c r="L2008" s="1370" t="s">
        <v>35</v>
      </c>
      <c r="M2008" s="1677">
        <v>60</v>
      </c>
      <c r="N2008" s="1677">
        <v>100</v>
      </c>
      <c r="O2008" s="1677">
        <v>100</v>
      </c>
      <c r="P2008" s="1677">
        <v>100</v>
      </c>
      <c r="Q2008" s="1677">
        <v>100</v>
      </c>
    </row>
    <row r="2009" spans="2:17" x14ac:dyDescent="0.25">
      <c r="B2009" s="1693" t="s">
        <v>2462</v>
      </c>
      <c r="C2009" s="1693"/>
      <c r="D2009" s="1693"/>
      <c r="E2009" s="1693"/>
      <c r="F2009" s="1687">
        <f>F1996+F2000</f>
        <v>1784.8999999999999</v>
      </c>
      <c r="G2009" s="1687">
        <f>G1996+G2000</f>
        <v>19046.900000000001</v>
      </c>
      <c r="H2009" s="1687">
        <f>H1996+H2000</f>
        <v>19046.900000000001</v>
      </c>
      <c r="I2009" s="1687">
        <f>I1996+I2000</f>
        <v>19063.5</v>
      </c>
      <c r="J2009" s="1687">
        <f>J1996+J2000</f>
        <v>19100.7</v>
      </c>
      <c r="K2009" s="1379"/>
      <c r="L2009" s="1379"/>
      <c r="M2009" s="995"/>
      <c r="N2009" s="995"/>
      <c r="O2009" s="1009"/>
      <c r="P2009" s="995"/>
      <c r="Q2009" s="995"/>
    </row>
    <row r="2010" spans="2:17" x14ac:dyDescent="0.25">
      <c r="B2010" s="1696" t="s">
        <v>2800</v>
      </c>
      <c r="C2010" s="1697"/>
      <c r="D2010" s="1697"/>
      <c r="E2010" s="1697"/>
      <c r="F2010" s="1698"/>
      <c r="G2010" s="1698"/>
      <c r="H2010" s="1698"/>
      <c r="I2010" s="1698"/>
      <c r="J2010" s="1698"/>
      <c r="K2010" s="1698"/>
      <c r="L2010" s="1698"/>
      <c r="M2010" s="1698"/>
      <c r="N2010" s="1698"/>
      <c r="O2010" s="1698"/>
      <c r="P2010" s="1698"/>
      <c r="Q2010" s="1698"/>
    </row>
    <row r="2011" spans="2:17" ht="74.25" x14ac:dyDescent="0.25">
      <c r="B2011" s="1673" t="s">
        <v>516</v>
      </c>
      <c r="C2011" s="1674"/>
      <c r="D2011" s="1675"/>
      <c r="E2011" s="1676" t="s">
        <v>2783</v>
      </c>
      <c r="F2011" s="1349"/>
      <c r="G2011" s="1349"/>
      <c r="H2011" s="1349">
        <f>H2012+H2013</f>
        <v>7059.1</v>
      </c>
      <c r="I2011" s="1349"/>
      <c r="J2011" s="1349"/>
      <c r="K2011" s="1677"/>
      <c r="L2011" s="1117"/>
      <c r="M2011" s="1117"/>
      <c r="N2011" s="1674"/>
      <c r="O2011" s="1674"/>
      <c r="P2011" s="1674"/>
      <c r="Q2011" s="1674"/>
    </row>
    <row r="2012" spans="2:17" x14ac:dyDescent="0.25">
      <c r="B2012" s="1678"/>
      <c r="C2012" s="1114" t="s">
        <v>7</v>
      </c>
      <c r="D2012" s="1675"/>
      <c r="E2012" s="1115" t="s">
        <v>8</v>
      </c>
      <c r="F2012" s="1121"/>
      <c r="G2012" s="1121"/>
      <c r="H2012" s="1121">
        <f>864.6+149.2+2200+155.3+48.5+1900</f>
        <v>5317.6</v>
      </c>
      <c r="I2012" s="1121"/>
      <c r="J2012" s="1121"/>
      <c r="K2012" s="1115"/>
      <c r="L2012" s="660"/>
      <c r="M2012" s="1350"/>
      <c r="N2012" s="1350"/>
      <c r="O2012" s="1350"/>
      <c r="P2012" s="1350"/>
      <c r="Q2012" s="1350"/>
    </row>
    <row r="2013" spans="2:17" ht="45" x14ac:dyDescent="0.25">
      <c r="B2013" s="1678"/>
      <c r="C2013" s="1114" t="s">
        <v>9</v>
      </c>
      <c r="D2013" s="1675"/>
      <c r="E2013" s="1679" t="s">
        <v>2801</v>
      </c>
      <c r="F2013" s="1121"/>
      <c r="G2013" s="1121"/>
      <c r="H2013" s="1121">
        <f>331.5+57.2+650+51.7+16.1+635</f>
        <v>1741.5</v>
      </c>
      <c r="I2013" s="1121"/>
      <c r="J2013" s="1121"/>
      <c r="K2013" s="659"/>
      <c r="L2013" s="660"/>
      <c r="M2013" s="1350"/>
      <c r="N2013" s="1350"/>
      <c r="O2013" s="1350"/>
      <c r="P2013" s="1350"/>
      <c r="Q2013" s="1350"/>
    </row>
    <row r="2014" spans="2:17" x14ac:dyDescent="0.25">
      <c r="B2014" s="1699" t="s">
        <v>467</v>
      </c>
      <c r="C2014" s="1701"/>
      <c r="D2014" s="1702"/>
      <c r="E2014" s="1703" t="s">
        <v>2802</v>
      </c>
      <c r="F2014" s="1705"/>
      <c r="G2014" s="1705"/>
      <c r="H2014" s="1705">
        <f>H2016</f>
        <v>28885.8</v>
      </c>
      <c r="I2014" s="1705"/>
      <c r="J2014" s="1705"/>
      <c r="K2014" s="1694"/>
      <c r="L2014" s="1694"/>
      <c r="M2014" s="1695"/>
      <c r="N2014" s="1694"/>
      <c r="O2014" s="1694"/>
      <c r="P2014" s="1694"/>
      <c r="Q2014" s="678"/>
    </row>
    <row r="2015" spans="2:17" x14ac:dyDescent="0.25">
      <c r="B2015" s="1700"/>
      <c r="C2015" s="1701"/>
      <c r="D2015" s="1702"/>
      <c r="E2015" s="1704"/>
      <c r="F2015" s="1706"/>
      <c r="G2015" s="1706"/>
      <c r="H2015" s="1706"/>
      <c r="I2015" s="1706"/>
      <c r="J2015" s="1706"/>
      <c r="K2015" s="1694"/>
      <c r="L2015" s="1694"/>
      <c r="M2015" s="1695"/>
      <c r="N2015" s="1694"/>
      <c r="O2015" s="1694"/>
      <c r="P2015" s="1694"/>
      <c r="Q2015" s="679"/>
    </row>
    <row r="2016" spans="2:17" ht="90" x14ac:dyDescent="0.25">
      <c r="B2016" s="1115"/>
      <c r="C2016" s="1114" t="s">
        <v>5</v>
      </c>
      <c r="D2016" s="1129"/>
      <c r="E2016" s="1682" t="s">
        <v>2803</v>
      </c>
      <c r="F2016" s="1121"/>
      <c r="G2016" s="1121"/>
      <c r="H2016" s="1121">
        <f>6098.3+1051.9+10483.4+828.5+258.7+10165</f>
        <v>28885.8</v>
      </c>
      <c r="I2016" s="1121"/>
      <c r="J2016" s="1121"/>
      <c r="K2016" s="659"/>
      <c r="L2016" s="660"/>
      <c r="M2016" s="660"/>
      <c r="N2016" s="660"/>
      <c r="O2016" s="660"/>
      <c r="P2016" s="660"/>
      <c r="Q2016" s="660"/>
    </row>
    <row r="2017" spans="2:17" x14ac:dyDescent="0.25">
      <c r="B2017" s="1693" t="s">
        <v>2462</v>
      </c>
      <c r="C2017" s="1693"/>
      <c r="D2017" s="1693"/>
      <c r="E2017" s="1693"/>
      <c r="F2017" s="1687">
        <f>F2011+F2014</f>
        <v>0</v>
      </c>
      <c r="G2017" s="1687">
        <f>G2011+G2014</f>
        <v>0</v>
      </c>
      <c r="H2017" s="1687">
        <f>H2011+H2014</f>
        <v>35944.9</v>
      </c>
      <c r="I2017" s="1687">
        <f>I2011+I2014</f>
        <v>0</v>
      </c>
      <c r="J2017" s="1687">
        <f>J2011+J2014</f>
        <v>0</v>
      </c>
      <c r="K2017" s="1379"/>
      <c r="L2017" s="1379"/>
      <c r="M2017" s="995"/>
      <c r="N2017" s="995"/>
      <c r="O2017" s="1009"/>
      <c r="P2017" s="995"/>
      <c r="Q2017" s="995"/>
    </row>
    <row r="2019" spans="2:17" x14ac:dyDescent="0.25">
      <c r="G2019" s="115" t="s">
        <v>2804</v>
      </c>
      <c r="H2019" s="115">
        <f>H39+H44+H49+H55+H89+H117+H144+H169+H218+H232+H240+H263+H280+H299+H341+H355+H364+H431+H532+H555+H627+H645+H663+H670+H740+H776+H839+H856+H861+H992+H1013+H1066+H1073+H1088+H1095+H1131+H1150+H1165+H1182+H1197+H1216+H1230+H1326+H1352+H1455+H1506+H1524+H1558+H1573+H1593+H1635+H1650+H1669+H1689+H1714+H1727+H1736+H1741+H1747+H1761+H1792+H1814+H1830+H1843+H1857+H1871+H1875+H1895+H1899+H1917+H1923+H1927+H1953+H1969+H1984+H1994+H2009+H2017</f>
        <v>151482071.53</v>
      </c>
      <c r="I2019" s="115">
        <v>179722488.90000001</v>
      </c>
      <c r="J2019" s="115">
        <f>I2019-H2019-I2020</f>
        <v>12848636.040000003</v>
      </c>
      <c r="L2019" s="1691"/>
    </row>
    <row r="2020" spans="2:17" x14ac:dyDescent="0.25">
      <c r="I2020" s="115">
        <v>15391781.330000002</v>
      </c>
    </row>
  </sheetData>
  <mergeCells count="2699">
    <mergeCell ref="B582:B583"/>
    <mergeCell ref="J567:J568"/>
    <mergeCell ref="J30:J31"/>
    <mergeCell ref="I37:I38"/>
    <mergeCell ref="H595:H598"/>
    <mergeCell ref="G569:G570"/>
    <mergeCell ref="G591:G592"/>
    <mergeCell ref="J586:J587"/>
    <mergeCell ref="E591:E592"/>
    <mergeCell ref="F591:F592"/>
    <mergeCell ref="F582:F583"/>
    <mergeCell ref="I577:I578"/>
    <mergeCell ref="H560:H564"/>
    <mergeCell ref="F557:F558"/>
    <mergeCell ref="J591:J592"/>
    <mergeCell ref="I76:I84"/>
    <mergeCell ref="J76:J84"/>
    <mergeCell ref="F85:F86"/>
    <mergeCell ref="G85:G86"/>
    <mergeCell ref="H85:H86"/>
    <mergeCell ref="I85:I86"/>
    <mergeCell ref="J85:J86"/>
    <mergeCell ref="F87:F88"/>
    <mergeCell ref="G87:G88"/>
    <mergeCell ref="H87:H88"/>
    <mergeCell ref="I87:I88"/>
    <mergeCell ref="J87:J88"/>
    <mergeCell ref="H318:H319"/>
    <mergeCell ref="J234:J235"/>
    <mergeCell ref="A341:E341"/>
    <mergeCell ref="I595:I598"/>
    <mergeCell ref="G595:G598"/>
    <mergeCell ref="J595:J598"/>
    <mergeCell ref="B586:B587"/>
    <mergeCell ref="F25:F26"/>
    <mergeCell ref="G25:G26"/>
    <mergeCell ref="H25:H26"/>
    <mergeCell ref="I25:I26"/>
    <mergeCell ref="B41:B43"/>
    <mergeCell ref="H37:H38"/>
    <mergeCell ref="D51:D52"/>
    <mergeCell ref="C25:C26"/>
    <mergeCell ref="B46:B48"/>
    <mergeCell ref="B51:B54"/>
    <mergeCell ref="E30:E31"/>
    <mergeCell ref="F30:F31"/>
    <mergeCell ref="F34:F36"/>
    <mergeCell ref="G34:G36"/>
    <mergeCell ref="G30:G31"/>
    <mergeCell ref="D25:D26"/>
    <mergeCell ref="E25:E26"/>
    <mergeCell ref="A39:E39"/>
    <mergeCell ref="A40:E40"/>
    <mergeCell ref="G37:G38"/>
    <mergeCell ref="C37:C38"/>
    <mergeCell ref="D37:D38"/>
    <mergeCell ref="E37:E38"/>
    <mergeCell ref="A44:E44"/>
    <mergeCell ref="I30:I31"/>
    <mergeCell ref="H34:H36"/>
    <mergeCell ref="F230:F231"/>
    <mergeCell ref="N213:N214"/>
    <mergeCell ref="H160:H161"/>
    <mergeCell ref="I160:I161"/>
    <mergeCell ref="G230:G231"/>
    <mergeCell ref="H230:H231"/>
    <mergeCell ref="I230:I231"/>
    <mergeCell ref="J230:J231"/>
    <mergeCell ref="H223:H224"/>
    <mergeCell ref="L199:L201"/>
    <mergeCell ref="I223:I224"/>
    <mergeCell ref="J223:J224"/>
    <mergeCell ref="B223:B224"/>
    <mergeCell ref="K213:K214"/>
    <mergeCell ref="L213:L214"/>
    <mergeCell ref="M213:M214"/>
    <mergeCell ref="N199:N201"/>
    <mergeCell ref="H225:H227"/>
    <mergeCell ref="I225:I227"/>
    <mergeCell ref="F225:F227"/>
    <mergeCell ref="M199:M201"/>
    <mergeCell ref="L39:Q39"/>
    <mergeCell ref="A56:Q56"/>
    <mergeCell ref="A51:A52"/>
    <mergeCell ref="L51:L52"/>
    <mergeCell ref="H51:H52"/>
    <mergeCell ref="I51:I52"/>
    <mergeCell ref="J51:J52"/>
    <mergeCell ref="I34:I36"/>
    <mergeCell ref="E94:E95"/>
    <mergeCell ref="I631:I632"/>
    <mergeCell ref="K375:K376"/>
    <mergeCell ref="L234:L235"/>
    <mergeCell ref="C234:C235"/>
    <mergeCell ref="F318:F319"/>
    <mergeCell ref="G318:G319"/>
    <mergeCell ref="H304:H305"/>
    <mergeCell ref="I304:I305"/>
    <mergeCell ref="J304:J305"/>
    <mergeCell ref="F304:F305"/>
    <mergeCell ref="H306:H309"/>
    <mergeCell ref="I306:I309"/>
    <mergeCell ref="J306:J309"/>
    <mergeCell ref="G304:G305"/>
    <mergeCell ref="G306:G309"/>
    <mergeCell ref="A264:Q264"/>
    <mergeCell ref="A281:Q281"/>
    <mergeCell ref="B631:B632"/>
    <mergeCell ref="C631:C632"/>
    <mergeCell ref="E328:E329"/>
    <mergeCell ref="D234:D235"/>
    <mergeCell ref="F565:F566"/>
    <mergeCell ref="I569:I570"/>
    <mergeCell ref="I557:I558"/>
    <mergeCell ref="G567:G568"/>
    <mergeCell ref="H567:H568"/>
    <mergeCell ref="I565:I566"/>
    <mergeCell ref="H386:H388"/>
    <mergeCell ref="I386:I388"/>
    <mergeCell ref="F377:F380"/>
    <mergeCell ref="G377:G380"/>
    <mergeCell ref="H377:H380"/>
    <mergeCell ref="G586:G587"/>
    <mergeCell ref="C567:C568"/>
    <mergeCell ref="E634:E635"/>
    <mergeCell ref="I441:I443"/>
    <mergeCell ref="H445:H446"/>
    <mergeCell ref="I445:I446"/>
    <mergeCell ref="H441:H443"/>
    <mergeCell ref="G490:G491"/>
    <mergeCell ref="H490:H491"/>
    <mergeCell ref="A496:E496"/>
    <mergeCell ref="A556:Q556"/>
    <mergeCell ref="C462:C465"/>
    <mergeCell ref="L473:L475"/>
    <mergeCell ref="B490:B491"/>
    <mergeCell ref="D591:D592"/>
    <mergeCell ref="I591:I592"/>
    <mergeCell ref="E567:E568"/>
    <mergeCell ref="D586:D587"/>
    <mergeCell ref="C586:C587"/>
    <mergeCell ref="G608:G612"/>
    <mergeCell ref="H608:H612"/>
    <mergeCell ref="I608:I612"/>
    <mergeCell ref="H613:H614"/>
    <mergeCell ref="I613:I614"/>
    <mergeCell ref="H605:H606"/>
    <mergeCell ref="I605:I606"/>
    <mergeCell ref="I621:I622"/>
    <mergeCell ref="G613:G614"/>
    <mergeCell ref="G599:G600"/>
    <mergeCell ref="J599:J600"/>
    <mergeCell ref="H599:H600"/>
    <mergeCell ref="K621:K622"/>
    <mergeCell ref="H557:H558"/>
    <mergeCell ref="J560:J564"/>
    <mergeCell ref="A280:E280"/>
    <mergeCell ref="G234:G235"/>
    <mergeCell ref="C321:C322"/>
    <mergeCell ref="E321:E322"/>
    <mergeCell ref="G321:G322"/>
    <mergeCell ref="H321:H322"/>
    <mergeCell ref="A458:A461"/>
    <mergeCell ref="A450:A451"/>
    <mergeCell ref="A443:A444"/>
    <mergeCell ref="A446:A448"/>
    <mergeCell ref="J445:J446"/>
    <mergeCell ref="B234:B235"/>
    <mergeCell ref="K234:K235"/>
    <mergeCell ref="B567:B568"/>
    <mergeCell ref="L240:P240"/>
    <mergeCell ref="L280:Q280"/>
    <mergeCell ref="D306:D309"/>
    <mergeCell ref="F234:F235"/>
    <mergeCell ref="I234:I235"/>
    <mergeCell ref="J321:J322"/>
    <mergeCell ref="L341:Q341"/>
    <mergeCell ref="O234:O235"/>
    <mergeCell ref="H234:H235"/>
    <mergeCell ref="B240:E240"/>
    <mergeCell ref="A241:Q241"/>
    <mergeCell ref="A263:E263"/>
    <mergeCell ref="B776:E776"/>
    <mergeCell ref="K771:K772"/>
    <mergeCell ref="L771:L772"/>
    <mergeCell ref="M771:M772"/>
    <mergeCell ref="G771:G772"/>
    <mergeCell ref="H771:H772"/>
    <mergeCell ref="I771:I772"/>
    <mergeCell ref="J771:J772"/>
    <mergeCell ref="E771:E772"/>
    <mergeCell ref="K690:K692"/>
    <mergeCell ref="M698:M701"/>
    <mergeCell ref="N698:N701"/>
    <mergeCell ref="O698:O701"/>
    <mergeCell ref="Q702:Q703"/>
    <mergeCell ref="L690:L692"/>
    <mergeCell ref="M690:M692"/>
    <mergeCell ref="O723:O724"/>
    <mergeCell ref="L702:L703"/>
    <mergeCell ref="L726:L727"/>
    <mergeCell ref="P702:P703"/>
    <mergeCell ref="F702:F703"/>
    <mergeCell ref="H702:J703"/>
    <mergeCell ref="I690:I693"/>
    <mergeCell ref="J690:J693"/>
    <mergeCell ref="N771:N772"/>
    <mergeCell ref="O771:O772"/>
    <mergeCell ref="P771:P772"/>
    <mergeCell ref="O695:O696"/>
    <mergeCell ref="K723:K724"/>
    <mergeCell ref="L723:L724"/>
    <mergeCell ref="M723:M724"/>
    <mergeCell ref="I744:I745"/>
    <mergeCell ref="J744:J745"/>
    <mergeCell ref="P690:P692"/>
    <mergeCell ref="P682:P683"/>
    <mergeCell ref="L688:L689"/>
    <mergeCell ref="M688:M689"/>
    <mergeCell ref="I721:I722"/>
    <mergeCell ref="J721:J722"/>
    <mergeCell ref="G708:G709"/>
    <mergeCell ref="O702:O703"/>
    <mergeCell ref="M695:M696"/>
    <mergeCell ref="N695:N696"/>
    <mergeCell ref="P726:P727"/>
    <mergeCell ref="K737:K738"/>
    <mergeCell ref="M737:M738"/>
    <mergeCell ref="O688:O689"/>
    <mergeCell ref="P688:P689"/>
    <mergeCell ref="H682:H689"/>
    <mergeCell ref="N723:N724"/>
    <mergeCell ref="O726:O727"/>
    <mergeCell ref="K682:K683"/>
    <mergeCell ref="L682:L683"/>
    <mergeCell ref="M682:M683"/>
    <mergeCell ref="N682:N683"/>
    <mergeCell ref="O682:O683"/>
    <mergeCell ref="N688:N689"/>
    <mergeCell ref="I695:I696"/>
    <mergeCell ref="J695:J696"/>
    <mergeCell ref="P737:P738"/>
    <mergeCell ref="H713:H717"/>
    <mergeCell ref="I728:I731"/>
    <mergeCell ref="J728:J731"/>
    <mergeCell ref="J723:J724"/>
    <mergeCell ref="F721:F722"/>
    <mergeCell ref="F708:F709"/>
    <mergeCell ref="J673:J678"/>
    <mergeCell ref="K688:K689"/>
    <mergeCell ref="D690:D693"/>
    <mergeCell ref="N690:N692"/>
    <mergeCell ref="O690:O692"/>
    <mergeCell ref="H634:H635"/>
    <mergeCell ref="A664:Q664"/>
    <mergeCell ref="A646:Q646"/>
    <mergeCell ref="C673:C678"/>
    <mergeCell ref="N716:N717"/>
    <mergeCell ref="O716:O717"/>
    <mergeCell ref="N702:N703"/>
    <mergeCell ref="C721:C722"/>
    <mergeCell ref="J713:J717"/>
    <mergeCell ref="L698:L701"/>
    <mergeCell ref="K695:K696"/>
    <mergeCell ref="L695:L696"/>
    <mergeCell ref="H690:H693"/>
    <mergeCell ref="A663:E663"/>
    <mergeCell ref="Q690:Q692"/>
    <mergeCell ref="Q682:Q683"/>
    <mergeCell ref="B673:B678"/>
    <mergeCell ref="Q688:Q689"/>
    <mergeCell ref="D682:D689"/>
    <mergeCell ref="E682:E689"/>
    <mergeCell ref="F682:F689"/>
    <mergeCell ref="G682:G689"/>
    <mergeCell ref="H673:H678"/>
    <mergeCell ref="R9:T9"/>
    <mergeCell ref="A6:E6"/>
    <mergeCell ref="A8:A10"/>
    <mergeCell ref="C8:C10"/>
    <mergeCell ref="D8:D10"/>
    <mergeCell ref="E8:E10"/>
    <mergeCell ref="B8:B10"/>
    <mergeCell ref="N8:Q9"/>
    <mergeCell ref="K8:K10"/>
    <mergeCell ref="L8:L10"/>
    <mergeCell ref="M8:M9"/>
    <mergeCell ref="F9:J9"/>
    <mergeCell ref="F8:J8"/>
    <mergeCell ref="R10:T10"/>
    <mergeCell ref="L663:Q663"/>
    <mergeCell ref="K557:K558"/>
    <mergeCell ref="B557:B558"/>
    <mergeCell ref="C557:C558"/>
    <mergeCell ref="D557:D558"/>
    <mergeCell ref="D621:D622"/>
    <mergeCell ref="I599:I600"/>
    <mergeCell ref="E608:E612"/>
    <mergeCell ref="J605:J606"/>
    <mergeCell ref="B499:Q499"/>
    <mergeCell ref="F462:F465"/>
    <mergeCell ref="G462:G465"/>
    <mergeCell ref="H462:H465"/>
    <mergeCell ref="G582:G583"/>
    <mergeCell ref="H582:H583"/>
    <mergeCell ref="I582:I583"/>
    <mergeCell ref="J582:J583"/>
    <mergeCell ref="I560:I564"/>
    <mergeCell ref="J682:J689"/>
    <mergeCell ref="C560:C564"/>
    <mergeCell ref="D560:D564"/>
    <mergeCell ref="B560:B564"/>
    <mergeCell ref="C582:C583"/>
    <mergeCell ref="B605:B606"/>
    <mergeCell ref="E631:E632"/>
    <mergeCell ref="J769:J770"/>
    <mergeCell ref="G758:G768"/>
    <mergeCell ref="H758:H768"/>
    <mergeCell ref="K702:K703"/>
    <mergeCell ref="K716:K717"/>
    <mergeCell ref="L716:L717"/>
    <mergeCell ref="M716:M717"/>
    <mergeCell ref="I706:I707"/>
    <mergeCell ref="J706:J707"/>
    <mergeCell ref="G706:G707"/>
    <mergeCell ref="H706:H707"/>
    <mergeCell ref="H708:H709"/>
    <mergeCell ref="H726:H727"/>
    <mergeCell ref="I726:I727"/>
    <mergeCell ref="J708:J709"/>
    <mergeCell ref="M702:M703"/>
    <mergeCell ref="I682:I689"/>
    <mergeCell ref="K599:K600"/>
    <mergeCell ref="G605:G606"/>
    <mergeCell ref="J617:J619"/>
    <mergeCell ref="G615:G616"/>
    <mergeCell ref="H615:H616"/>
    <mergeCell ref="D673:D678"/>
    <mergeCell ref="K615:K616"/>
    <mergeCell ref="E673:E678"/>
    <mergeCell ref="J631:J632"/>
    <mergeCell ref="B628:Q628"/>
    <mergeCell ref="D613:D614"/>
    <mergeCell ref="E613:E614"/>
    <mergeCell ref="J613:J614"/>
    <mergeCell ref="C591:C592"/>
    <mergeCell ref="F567:F568"/>
    <mergeCell ref="F586:F587"/>
    <mergeCell ref="C569:C570"/>
    <mergeCell ref="D569:D570"/>
    <mergeCell ref="E617:E619"/>
    <mergeCell ref="H621:H622"/>
    <mergeCell ref="J621:J622"/>
    <mergeCell ref="I615:I616"/>
    <mergeCell ref="J615:J616"/>
    <mergeCell ref="D615:D616"/>
    <mergeCell ref="D599:D600"/>
    <mergeCell ref="F621:F622"/>
    <mergeCell ref="D567:D568"/>
    <mergeCell ref="H569:H570"/>
    <mergeCell ref="H586:H587"/>
    <mergeCell ref="I586:I587"/>
    <mergeCell ref="K582:K583"/>
    <mergeCell ref="F569:F570"/>
    <mergeCell ref="I567:I568"/>
    <mergeCell ref="J608:J612"/>
    <mergeCell ref="J577:J578"/>
    <mergeCell ref="B569:B570"/>
    <mergeCell ref="J569:J570"/>
    <mergeCell ref="K569:K570"/>
    <mergeCell ref="B595:B598"/>
    <mergeCell ref="F595:F598"/>
    <mergeCell ref="F673:F678"/>
    <mergeCell ref="C682:C689"/>
    <mergeCell ref="A670:E670"/>
    <mergeCell ref="A627:E627"/>
    <mergeCell ref="B708:B709"/>
    <mergeCell ref="C708:C709"/>
    <mergeCell ref="D708:D709"/>
    <mergeCell ref="E708:E709"/>
    <mergeCell ref="I708:I709"/>
    <mergeCell ref="B706:B707"/>
    <mergeCell ref="C706:C707"/>
    <mergeCell ref="D706:D707"/>
    <mergeCell ref="E706:E707"/>
    <mergeCell ref="G673:G678"/>
    <mergeCell ref="B599:B600"/>
    <mergeCell ref="C599:C600"/>
    <mergeCell ref="B608:B612"/>
    <mergeCell ref="D608:D612"/>
    <mergeCell ref="C605:C606"/>
    <mergeCell ref="D605:D606"/>
    <mergeCell ref="E605:E606"/>
    <mergeCell ref="C608:C612"/>
    <mergeCell ref="F599:F600"/>
    <mergeCell ref="F608:F612"/>
    <mergeCell ref="D695:D696"/>
    <mergeCell ref="E695:E696"/>
    <mergeCell ref="B690:B693"/>
    <mergeCell ref="C690:C693"/>
    <mergeCell ref="G690:G693"/>
    <mergeCell ref="I673:I678"/>
    <mergeCell ref="F706:F707"/>
    <mergeCell ref="F605:F606"/>
    <mergeCell ref="C406:C408"/>
    <mergeCell ref="D406:D408"/>
    <mergeCell ref="D392:D393"/>
    <mergeCell ref="C394:C396"/>
    <mergeCell ref="I433:I434"/>
    <mergeCell ref="J433:J434"/>
    <mergeCell ref="J458:J461"/>
    <mergeCell ref="L569:Q570"/>
    <mergeCell ref="C595:C598"/>
    <mergeCell ref="D595:D598"/>
    <mergeCell ref="E595:E598"/>
    <mergeCell ref="B591:B592"/>
    <mergeCell ref="B565:B566"/>
    <mergeCell ref="K485:Q485"/>
    <mergeCell ref="A495:E495"/>
    <mergeCell ref="J448:J450"/>
    <mergeCell ref="D565:D566"/>
    <mergeCell ref="E565:E566"/>
    <mergeCell ref="G565:G566"/>
    <mergeCell ref="G560:G564"/>
    <mergeCell ref="K492:Q492"/>
    <mergeCell ref="K495:Q495"/>
    <mergeCell ref="K532:Q532"/>
    <mergeCell ref="J565:J566"/>
    <mergeCell ref="A456:A457"/>
    <mergeCell ref="A452:A455"/>
    <mergeCell ref="B438:B439"/>
    <mergeCell ref="C565:C566"/>
    <mergeCell ref="H591:H592"/>
    <mergeCell ref="H565:H566"/>
    <mergeCell ref="J557:J558"/>
    <mergeCell ref="G557:G558"/>
    <mergeCell ref="H458:H461"/>
    <mergeCell ref="D458:D461"/>
    <mergeCell ref="E690:E693"/>
    <mergeCell ref="J377:J380"/>
    <mergeCell ref="C383:C384"/>
    <mergeCell ref="D383:D384"/>
    <mergeCell ref="J383:J384"/>
    <mergeCell ref="J386:J388"/>
    <mergeCell ref="B621:B622"/>
    <mergeCell ref="G617:G619"/>
    <mergeCell ref="H617:H619"/>
    <mergeCell ref="I617:I619"/>
    <mergeCell ref="J438:J439"/>
    <mergeCell ref="I425:I426"/>
    <mergeCell ref="J425:J426"/>
    <mergeCell ref="I420:I424"/>
    <mergeCell ref="J398:J404"/>
    <mergeCell ref="I398:I404"/>
    <mergeCell ref="I406:I410"/>
    <mergeCell ref="F406:F410"/>
    <mergeCell ref="I392:I396"/>
    <mergeCell ref="G392:G396"/>
    <mergeCell ref="E586:E587"/>
    <mergeCell ref="B379:B380"/>
    <mergeCell ref="C392:C393"/>
    <mergeCell ref="E398:E399"/>
    <mergeCell ref="B445:B446"/>
    <mergeCell ref="C445:C446"/>
    <mergeCell ref="D582:D583"/>
    <mergeCell ref="E386:E387"/>
    <mergeCell ref="D386:D387"/>
    <mergeCell ref="C386:C387"/>
    <mergeCell ref="D631:D632"/>
    <mergeCell ref="F631:F632"/>
    <mergeCell ref="G631:G632"/>
    <mergeCell ref="H631:H632"/>
    <mergeCell ref="E490:E491"/>
    <mergeCell ref="F490:F491"/>
    <mergeCell ref="E560:E564"/>
    <mergeCell ref="F560:F564"/>
    <mergeCell ref="A342:Q342"/>
    <mergeCell ref="J375:J376"/>
    <mergeCell ref="J418:J419"/>
    <mergeCell ref="F418:F419"/>
    <mergeCell ref="A11:Q11"/>
    <mergeCell ref="F51:F52"/>
    <mergeCell ref="C51:C52"/>
    <mergeCell ref="E51:E52"/>
    <mergeCell ref="G51:G52"/>
    <mergeCell ref="A55:E55"/>
    <mergeCell ref="A50:Q50"/>
    <mergeCell ref="A45:Q45"/>
    <mergeCell ref="A49:E49"/>
    <mergeCell ref="J25:J26"/>
    <mergeCell ref="C30:C31"/>
    <mergeCell ref="D30:D31"/>
    <mergeCell ref="J34:J36"/>
    <mergeCell ref="C34:C36"/>
    <mergeCell ref="D34:D36"/>
    <mergeCell ref="E34:E36"/>
    <mergeCell ref="B422:B424"/>
    <mergeCell ref="E458:E461"/>
    <mergeCell ref="G458:G461"/>
    <mergeCell ref="B462:B465"/>
    <mergeCell ref="H30:H31"/>
    <mergeCell ref="J37:J38"/>
    <mergeCell ref="K51:K52"/>
    <mergeCell ref="F37:F38"/>
    <mergeCell ref="J225:J227"/>
    <mergeCell ref="C230:C231"/>
    <mergeCell ref="C304:C305"/>
    <mergeCell ref="J160:J161"/>
    <mergeCell ref="A90:Q90"/>
    <mergeCell ref="K70:K75"/>
    <mergeCell ref="K182:K184"/>
    <mergeCell ref="N234:N235"/>
    <mergeCell ref="A118:Q118"/>
    <mergeCell ref="A117:E117"/>
    <mergeCell ref="A169:E169"/>
    <mergeCell ref="A145:Q145"/>
    <mergeCell ref="B156:B157"/>
    <mergeCell ref="C156:C157"/>
    <mergeCell ref="A144:E144"/>
    <mergeCell ref="G223:G224"/>
    <mergeCell ref="A232:E232"/>
    <mergeCell ref="D304:D305"/>
    <mergeCell ref="L299:Q299"/>
    <mergeCell ref="B304:B305"/>
    <mergeCell ref="A89:E89"/>
    <mergeCell ref="B87:B88"/>
    <mergeCell ref="C87:C88"/>
    <mergeCell ref="D87:D88"/>
    <mergeCell ref="B69:B75"/>
    <mergeCell ref="B94:B95"/>
    <mergeCell ref="C94:C95"/>
    <mergeCell ref="D94:D95"/>
    <mergeCell ref="G327:G335"/>
    <mergeCell ref="K199:K201"/>
    <mergeCell ref="B76:B84"/>
    <mergeCell ref="C76:C84"/>
    <mergeCell ref="D76:D84"/>
    <mergeCell ref="E76:E84"/>
    <mergeCell ref="B85:B86"/>
    <mergeCell ref="F76:F84"/>
    <mergeCell ref="G76:G84"/>
    <mergeCell ref="H76:H84"/>
    <mergeCell ref="C69:C75"/>
    <mergeCell ref="D69:D75"/>
    <mergeCell ref="E69:E75"/>
    <mergeCell ref="E87:E88"/>
    <mergeCell ref="C85:C86"/>
    <mergeCell ref="D85:D86"/>
    <mergeCell ref="E85:E86"/>
    <mergeCell ref="H70:H75"/>
    <mergeCell ref="G225:G227"/>
    <mergeCell ref="I327:I335"/>
    <mergeCell ref="J318:J319"/>
    <mergeCell ref="E304:E305"/>
    <mergeCell ref="B306:B309"/>
    <mergeCell ref="E306:E309"/>
    <mergeCell ref="C328:C329"/>
    <mergeCell ref="F306:F309"/>
    <mergeCell ref="A300:Q300"/>
    <mergeCell ref="P234:P235"/>
    <mergeCell ref="Q234:Q235"/>
    <mergeCell ref="L232:Q232"/>
    <mergeCell ref="D160:D161"/>
    <mergeCell ref="E160:E161"/>
    <mergeCell ref="D225:D227"/>
    <mergeCell ref="F223:F224"/>
    <mergeCell ref="E225:E227"/>
    <mergeCell ref="C223:C224"/>
    <mergeCell ref="D223:D224"/>
    <mergeCell ref="E372:E373"/>
    <mergeCell ref="B372:B373"/>
    <mergeCell ref="D156:D157"/>
    <mergeCell ref="E156:E157"/>
    <mergeCell ref="F160:F161"/>
    <mergeCell ref="G160:G161"/>
    <mergeCell ref="B330:B334"/>
    <mergeCell ref="D330:D334"/>
    <mergeCell ref="B355:E355"/>
    <mergeCell ref="B364:E364"/>
    <mergeCell ref="C306:C309"/>
    <mergeCell ref="A218:E218"/>
    <mergeCell ref="B225:B227"/>
    <mergeCell ref="B230:B231"/>
    <mergeCell ref="C330:C334"/>
    <mergeCell ref="E330:E334"/>
    <mergeCell ref="B237:B238"/>
    <mergeCell ref="C237:C238"/>
    <mergeCell ref="D237:D238"/>
    <mergeCell ref="B233:Q233"/>
    <mergeCell ref="J327:J335"/>
    <mergeCell ref="D230:D231"/>
    <mergeCell ref="E230:E231"/>
    <mergeCell ref="A170:Q170"/>
    <mergeCell ref="F327:F335"/>
    <mergeCell ref="B160:B161"/>
    <mergeCell ref="C160:C161"/>
    <mergeCell ref="C375:C376"/>
    <mergeCell ref="D328:D329"/>
    <mergeCell ref="C225:C227"/>
    <mergeCell ref="E223:E224"/>
    <mergeCell ref="H327:H335"/>
    <mergeCell ref="L355:Q355"/>
    <mergeCell ref="E401:E403"/>
    <mergeCell ref="F420:F424"/>
    <mergeCell ref="N420:N421"/>
    <mergeCell ref="O420:O421"/>
    <mergeCell ref="P420:P421"/>
    <mergeCell ref="Q420:Q421"/>
    <mergeCell ref="G406:G410"/>
    <mergeCell ref="H406:H410"/>
    <mergeCell ref="F383:F384"/>
    <mergeCell ref="G383:G384"/>
    <mergeCell ref="E379:E380"/>
    <mergeCell ref="I383:I384"/>
    <mergeCell ref="D375:D376"/>
    <mergeCell ref="J372:J373"/>
    <mergeCell ref="B394:B396"/>
    <mergeCell ref="B398:B399"/>
    <mergeCell ref="B401:B403"/>
    <mergeCell ref="D418:D419"/>
    <mergeCell ref="C418:C419"/>
    <mergeCell ref="E418:E419"/>
    <mergeCell ref="C401:C403"/>
    <mergeCell ref="B321:B322"/>
    <mergeCell ref="D321:D322"/>
    <mergeCell ref="F321:F322"/>
    <mergeCell ref="A365:Q365"/>
    <mergeCell ref="J406:J410"/>
    <mergeCell ref="J392:J396"/>
    <mergeCell ref="C398:C399"/>
    <mergeCell ref="D398:D399"/>
    <mergeCell ref="G398:G404"/>
    <mergeCell ref="D394:D396"/>
    <mergeCell ref="E392:E393"/>
    <mergeCell ref="G375:G376"/>
    <mergeCell ref="H375:H376"/>
    <mergeCell ref="B392:B393"/>
    <mergeCell ref="A431:E431"/>
    <mergeCell ref="A432:Q432"/>
    <mergeCell ref="F425:F426"/>
    <mergeCell ref="G425:G426"/>
    <mergeCell ref="H425:H426"/>
    <mergeCell ref="G420:G424"/>
    <mergeCell ref="F386:F388"/>
    <mergeCell ref="G386:G388"/>
    <mergeCell ref="H383:H384"/>
    <mergeCell ref="B406:B408"/>
    <mergeCell ref="B418:B419"/>
    <mergeCell ref="H418:H419"/>
    <mergeCell ref="I418:I419"/>
    <mergeCell ref="H398:H404"/>
    <mergeCell ref="H392:H396"/>
    <mergeCell ref="I372:I373"/>
    <mergeCell ref="I375:I376"/>
    <mergeCell ref="I377:I380"/>
    <mergeCell ref="F375:F376"/>
    <mergeCell ref="B375:B376"/>
    <mergeCell ref="D401:D403"/>
    <mergeCell ref="A356:Q356"/>
    <mergeCell ref="F372:F373"/>
    <mergeCell ref="G372:G373"/>
    <mergeCell ref="H372:H373"/>
    <mergeCell ref="E406:E408"/>
    <mergeCell ref="C422:C424"/>
    <mergeCell ref="D422:D424"/>
    <mergeCell ref="G418:G419"/>
    <mergeCell ref="H420:H424"/>
    <mergeCell ref="A473:A475"/>
    <mergeCell ref="A468:A472"/>
    <mergeCell ref="A532:E532"/>
    <mergeCell ref="E452:E455"/>
    <mergeCell ref="G456:G457"/>
    <mergeCell ref="E433:E434"/>
    <mergeCell ref="G448:G450"/>
    <mergeCell ref="I490:I491"/>
    <mergeCell ref="C476:C479"/>
    <mergeCell ref="H438:H439"/>
    <mergeCell ref="I452:I455"/>
    <mergeCell ref="F441:F443"/>
    <mergeCell ref="G441:G443"/>
    <mergeCell ref="B433:B434"/>
    <mergeCell ref="C433:C434"/>
    <mergeCell ref="D433:D434"/>
    <mergeCell ref="C379:C380"/>
    <mergeCell ref="D379:D380"/>
    <mergeCell ref="G433:G434"/>
    <mergeCell ref="H433:H434"/>
    <mergeCell ref="B441:B443"/>
    <mergeCell ref="C441:C443"/>
    <mergeCell ref="D441:D443"/>
    <mergeCell ref="E394:E396"/>
    <mergeCell ref="F392:F396"/>
    <mergeCell ref="B383:B384"/>
    <mergeCell ref="E383:E384"/>
    <mergeCell ref="B386:B387"/>
    <mergeCell ref="Q771:Q772"/>
    <mergeCell ref="H749:H751"/>
    <mergeCell ref="I732:I733"/>
    <mergeCell ref="J732:J733"/>
    <mergeCell ref="P723:P724"/>
    <mergeCell ref="Q723:Q724"/>
    <mergeCell ref="D721:D722"/>
    <mergeCell ref="E721:E722"/>
    <mergeCell ref="B617:B619"/>
    <mergeCell ref="A665:Q665"/>
    <mergeCell ref="C723:C724"/>
    <mergeCell ref="D723:D724"/>
    <mergeCell ref="E723:E724"/>
    <mergeCell ref="M726:M727"/>
    <mergeCell ref="N726:N727"/>
    <mergeCell ref="G719:G720"/>
    <mergeCell ref="H719:H720"/>
    <mergeCell ref="I719:I720"/>
    <mergeCell ref="J719:J720"/>
    <mergeCell ref="F723:F724"/>
    <mergeCell ref="D698:D701"/>
    <mergeCell ref="E698:E701"/>
    <mergeCell ref="C719:C720"/>
    <mergeCell ref="D719:D720"/>
    <mergeCell ref="E719:E720"/>
    <mergeCell ref="A434:A435"/>
    <mergeCell ref="F458:F461"/>
    <mergeCell ref="I713:I717"/>
    <mergeCell ref="B723:B724"/>
    <mergeCell ref="B721:B722"/>
    <mergeCell ref="J755:J756"/>
    <mergeCell ref="I749:I751"/>
    <mergeCell ref="J749:J751"/>
    <mergeCell ref="N737:N738"/>
    <mergeCell ref="O737:O738"/>
    <mergeCell ref="C744:C745"/>
    <mergeCell ref="B771:B772"/>
    <mergeCell ref="C771:C772"/>
    <mergeCell ref="D771:D772"/>
    <mergeCell ref="B732:B733"/>
    <mergeCell ref="C732:C733"/>
    <mergeCell ref="D732:D733"/>
    <mergeCell ref="C728:C731"/>
    <mergeCell ref="D728:D731"/>
    <mergeCell ref="E728:E731"/>
    <mergeCell ref="C749:C751"/>
    <mergeCell ref="D749:D751"/>
    <mergeCell ref="E749:E751"/>
    <mergeCell ref="B758:B768"/>
    <mergeCell ref="C758:C768"/>
    <mergeCell ref="D758:D768"/>
    <mergeCell ref="E758:E768"/>
    <mergeCell ref="B747:B748"/>
    <mergeCell ref="B744:B745"/>
    <mergeCell ref="A741:Q741"/>
    <mergeCell ref="A740:E740"/>
    <mergeCell ref="C747:C748"/>
    <mergeCell ref="D747:D748"/>
    <mergeCell ref="F719:F720"/>
    <mergeCell ref="Q737:Q738"/>
    <mergeCell ref="I737:I738"/>
    <mergeCell ref="J737:J738"/>
    <mergeCell ref="F771:F772"/>
    <mergeCell ref="B749:B751"/>
    <mergeCell ref="F452:F455"/>
    <mergeCell ref="G452:G455"/>
    <mergeCell ref="H452:H455"/>
    <mergeCell ref="F433:F434"/>
    <mergeCell ref="J452:J455"/>
    <mergeCell ref="I438:I439"/>
    <mergeCell ref="F438:F439"/>
    <mergeCell ref="E445:E446"/>
    <mergeCell ref="B448:B450"/>
    <mergeCell ref="C448:C450"/>
    <mergeCell ref="B456:B457"/>
    <mergeCell ref="C456:C457"/>
    <mergeCell ref="D456:D457"/>
    <mergeCell ref="E456:E457"/>
    <mergeCell ref="F456:F457"/>
    <mergeCell ref="E441:E443"/>
    <mergeCell ref="D438:D439"/>
    <mergeCell ref="E438:E439"/>
    <mergeCell ref="F445:F446"/>
    <mergeCell ref="H448:H450"/>
    <mergeCell ref="I448:I450"/>
    <mergeCell ref="G438:G439"/>
    <mergeCell ref="C438:C439"/>
    <mergeCell ref="J441:J443"/>
    <mergeCell ref="C726:C727"/>
    <mergeCell ref="D726:D727"/>
    <mergeCell ref="E726:E727"/>
    <mergeCell ref="H721:H722"/>
    <mergeCell ref="F695:F696"/>
    <mergeCell ref="G695:G696"/>
    <mergeCell ref="H695:H696"/>
    <mergeCell ref="G698:G701"/>
    <mergeCell ref="H698:H701"/>
    <mergeCell ref="C458:C461"/>
    <mergeCell ref="B471:B475"/>
    <mergeCell ref="C471:C475"/>
    <mergeCell ref="I458:I461"/>
    <mergeCell ref="C621:C622"/>
    <mergeCell ref="I623:I624"/>
    <mergeCell ref="B533:Q533"/>
    <mergeCell ref="B555:E555"/>
    <mergeCell ref="L555:Q555"/>
    <mergeCell ref="L557:Q558"/>
    <mergeCell ref="L599:Q600"/>
    <mergeCell ref="I698:I701"/>
    <mergeCell ref="B615:B616"/>
    <mergeCell ref="C615:C616"/>
    <mergeCell ref="B613:B614"/>
    <mergeCell ref="Q698:Q701"/>
    <mergeCell ref="F623:F624"/>
    <mergeCell ref="C613:C614"/>
    <mergeCell ref="D617:D619"/>
    <mergeCell ref="F617:F619"/>
    <mergeCell ref="E713:E717"/>
    <mergeCell ref="F713:F717"/>
    <mergeCell ref="G713:G717"/>
    <mergeCell ref="B702:B703"/>
    <mergeCell ref="F690:F693"/>
    <mergeCell ref="B645:F645"/>
    <mergeCell ref="D445:D446"/>
    <mergeCell ref="C634:C635"/>
    <mergeCell ref="D634:D635"/>
    <mergeCell ref="K698:K701"/>
    <mergeCell ref="G445:G446"/>
    <mergeCell ref="B452:B455"/>
    <mergeCell ref="I462:I465"/>
    <mergeCell ref="J462:J465"/>
    <mergeCell ref="G471:G475"/>
    <mergeCell ref="H471:H475"/>
    <mergeCell ref="I471:I475"/>
    <mergeCell ref="J471:J475"/>
    <mergeCell ref="F698:F701"/>
    <mergeCell ref="J490:J491"/>
    <mergeCell ref="C490:C491"/>
    <mergeCell ref="D490:D491"/>
    <mergeCell ref="B476:B479"/>
    <mergeCell ref="D462:D465"/>
    <mergeCell ref="E462:E465"/>
    <mergeCell ref="E448:E450"/>
    <mergeCell ref="F448:F450"/>
    <mergeCell ref="J456:J457"/>
    <mergeCell ref="D448:D450"/>
    <mergeCell ref="C452:C455"/>
    <mergeCell ref="D452:D455"/>
    <mergeCell ref="I634:I635"/>
    <mergeCell ref="J634:J635"/>
    <mergeCell ref="B634:B635"/>
    <mergeCell ref="I456:I457"/>
    <mergeCell ref="B458:B461"/>
    <mergeCell ref="F634:F635"/>
    <mergeCell ref="G634:G635"/>
    <mergeCell ref="B713:B717"/>
    <mergeCell ref="P716:P717"/>
    <mergeCell ref="Q716:Q717"/>
    <mergeCell ref="L582:Q583"/>
    <mergeCell ref="I723:I724"/>
    <mergeCell ref="F728:F731"/>
    <mergeCell ref="G728:G731"/>
    <mergeCell ref="H728:H731"/>
    <mergeCell ref="B719:B720"/>
    <mergeCell ref="B726:B727"/>
    <mergeCell ref="P698:P701"/>
    <mergeCell ref="G623:G624"/>
    <mergeCell ref="L621:Q622"/>
    <mergeCell ref="C617:C619"/>
    <mergeCell ref="F615:F616"/>
    <mergeCell ref="F613:F614"/>
    <mergeCell ref="B682:B689"/>
    <mergeCell ref="Q726:Q727"/>
    <mergeCell ref="J726:J727"/>
    <mergeCell ref="K726:K727"/>
    <mergeCell ref="P695:P696"/>
    <mergeCell ref="Q695:Q696"/>
    <mergeCell ref="J623:J624"/>
    <mergeCell ref="G621:G622"/>
    <mergeCell ref="C713:C717"/>
    <mergeCell ref="D713:D717"/>
    <mergeCell ref="B698:B701"/>
    <mergeCell ref="C698:C701"/>
    <mergeCell ref="H623:H624"/>
    <mergeCell ref="F726:F727"/>
    <mergeCell ref="G726:G727"/>
    <mergeCell ref="G721:G722"/>
    <mergeCell ref="B769:B770"/>
    <mergeCell ref="C769:C770"/>
    <mergeCell ref="D769:D770"/>
    <mergeCell ref="E747:E748"/>
    <mergeCell ref="F747:F748"/>
    <mergeCell ref="G747:G748"/>
    <mergeCell ref="H747:H748"/>
    <mergeCell ref="F749:F751"/>
    <mergeCell ref="F758:F768"/>
    <mergeCell ref="B755:B756"/>
    <mergeCell ref="C755:C756"/>
    <mergeCell ref="D755:D756"/>
    <mergeCell ref="E755:E756"/>
    <mergeCell ref="F755:F756"/>
    <mergeCell ref="G769:G770"/>
    <mergeCell ref="G755:G756"/>
    <mergeCell ref="H755:H756"/>
    <mergeCell ref="G749:G751"/>
    <mergeCell ref="H769:H770"/>
    <mergeCell ref="E769:E770"/>
    <mergeCell ref="F769:F770"/>
    <mergeCell ref="I747:I748"/>
    <mergeCell ref="J747:J748"/>
    <mergeCell ref="I755:I756"/>
    <mergeCell ref="I769:I770"/>
    <mergeCell ref="I758:I768"/>
    <mergeCell ref="J758:J768"/>
    <mergeCell ref="C784:C786"/>
    <mergeCell ref="D784:D786"/>
    <mergeCell ref="E784:E786"/>
    <mergeCell ref="F784:F786"/>
    <mergeCell ref="G784:G786"/>
    <mergeCell ref="H784:H786"/>
    <mergeCell ref="I784:I786"/>
    <mergeCell ref="J784:J786"/>
    <mergeCell ref="I318:I319"/>
    <mergeCell ref="I321:I322"/>
    <mergeCell ref="B328:B329"/>
    <mergeCell ref="J698:J701"/>
    <mergeCell ref="B695:B696"/>
    <mergeCell ref="C695:C696"/>
    <mergeCell ref="A777:Q777"/>
    <mergeCell ref="B784:B786"/>
    <mergeCell ref="C702:C703"/>
    <mergeCell ref="D702:D703"/>
    <mergeCell ref="G732:G733"/>
    <mergeCell ref="H732:H733"/>
    <mergeCell ref="F737:F738"/>
    <mergeCell ref="G737:G738"/>
    <mergeCell ref="H737:H738"/>
    <mergeCell ref="B737:B738"/>
    <mergeCell ref="L737:L738"/>
    <mergeCell ref="C737:C738"/>
    <mergeCell ref="D737:D738"/>
    <mergeCell ref="E737:E738"/>
    <mergeCell ref="B728:B731"/>
    <mergeCell ref="F471:F475"/>
    <mergeCell ref="F476:F479"/>
    <mergeCell ref="B127:B132"/>
    <mergeCell ref="I476:I479"/>
    <mergeCell ref="J476:J479"/>
    <mergeCell ref="K420:K421"/>
    <mergeCell ref="L420:L421"/>
    <mergeCell ref="M420:M421"/>
    <mergeCell ref="J420:J424"/>
    <mergeCell ref="E422:E424"/>
    <mergeCell ref="H456:H457"/>
    <mergeCell ref="L615:Q616"/>
    <mergeCell ref="D744:D745"/>
    <mergeCell ref="E744:E745"/>
    <mergeCell ref="F744:F745"/>
    <mergeCell ref="G744:G745"/>
    <mergeCell ref="H744:H745"/>
    <mergeCell ref="E732:E733"/>
    <mergeCell ref="F732:F733"/>
    <mergeCell ref="E702:E703"/>
    <mergeCell ref="A671:Q671"/>
    <mergeCell ref="G476:G479"/>
    <mergeCell ref="H476:H479"/>
    <mergeCell ref="D471:D475"/>
    <mergeCell ref="E471:E475"/>
    <mergeCell ref="D476:D479"/>
    <mergeCell ref="E476:E479"/>
    <mergeCell ref="G723:G724"/>
    <mergeCell ref="H723:H724"/>
    <mergeCell ref="G794:G795"/>
    <mergeCell ref="H794:H795"/>
    <mergeCell ref="I794:I795"/>
    <mergeCell ref="J794:J795"/>
    <mergeCell ref="C792:C793"/>
    <mergeCell ref="D792:D793"/>
    <mergeCell ref="E792:E793"/>
    <mergeCell ref="F792:F793"/>
    <mergeCell ref="G792:G793"/>
    <mergeCell ref="H792:H793"/>
    <mergeCell ref="I792:I793"/>
    <mergeCell ref="J792:J793"/>
    <mergeCell ref="C787:C789"/>
    <mergeCell ref="D787:D789"/>
    <mergeCell ref="E787:E789"/>
    <mergeCell ref="F787:F789"/>
    <mergeCell ref="G787:G789"/>
    <mergeCell ref="H787:H789"/>
    <mergeCell ref="I787:I789"/>
    <mergeCell ref="J787:J789"/>
    <mergeCell ref="G805:G807"/>
    <mergeCell ref="H805:H807"/>
    <mergeCell ref="I805:I807"/>
    <mergeCell ref="J805:J807"/>
    <mergeCell ref="C802:C803"/>
    <mergeCell ref="D802:D803"/>
    <mergeCell ref="E802:E803"/>
    <mergeCell ref="F802:F803"/>
    <mergeCell ref="G802:G803"/>
    <mergeCell ref="H802:H803"/>
    <mergeCell ref="I802:I803"/>
    <mergeCell ref="J802:J803"/>
    <mergeCell ref="C796:C797"/>
    <mergeCell ref="D796:D797"/>
    <mergeCell ref="E796:E797"/>
    <mergeCell ref="F796:F797"/>
    <mergeCell ref="G796:G797"/>
    <mergeCell ref="H796:H797"/>
    <mergeCell ref="I796:I797"/>
    <mergeCell ref="J796:J797"/>
    <mergeCell ref="J816:J817"/>
    <mergeCell ref="C812:C814"/>
    <mergeCell ref="D812:D814"/>
    <mergeCell ref="E812:E814"/>
    <mergeCell ref="F812:F814"/>
    <mergeCell ref="G812:G814"/>
    <mergeCell ref="H812:H814"/>
    <mergeCell ref="I812:I814"/>
    <mergeCell ref="J812:J814"/>
    <mergeCell ref="C808:C811"/>
    <mergeCell ref="D808:D811"/>
    <mergeCell ref="E808:E811"/>
    <mergeCell ref="F808:F811"/>
    <mergeCell ref="G808:G811"/>
    <mergeCell ref="H808:H811"/>
    <mergeCell ref="I808:I811"/>
    <mergeCell ref="J808:J811"/>
    <mergeCell ref="C865:C875"/>
    <mergeCell ref="D865:D875"/>
    <mergeCell ref="E865:E875"/>
    <mergeCell ref="F865:F875"/>
    <mergeCell ref="G865:G875"/>
    <mergeCell ref="H865:H875"/>
    <mergeCell ref="I865:I875"/>
    <mergeCell ref="J865:J875"/>
    <mergeCell ref="G836:G837"/>
    <mergeCell ref="C859:C860"/>
    <mergeCell ref="D859:D860"/>
    <mergeCell ref="E859:E860"/>
    <mergeCell ref="F859:F860"/>
    <mergeCell ref="G859:G860"/>
    <mergeCell ref="H859:H860"/>
    <mergeCell ref="I859:I860"/>
    <mergeCell ref="J859:J860"/>
    <mergeCell ref="B857:Q857"/>
    <mergeCell ref="B859:B860"/>
    <mergeCell ref="B861:E861"/>
    <mergeCell ref="A862:Q862"/>
    <mergeCell ref="B865:B875"/>
    <mergeCell ref="C894:C898"/>
    <mergeCell ref="D894:D898"/>
    <mergeCell ref="E894:E898"/>
    <mergeCell ref="F894:F898"/>
    <mergeCell ref="G894:G898"/>
    <mergeCell ref="H894:H898"/>
    <mergeCell ref="I894:I898"/>
    <mergeCell ref="J894:J898"/>
    <mergeCell ref="C886:C891"/>
    <mergeCell ref="D886:D891"/>
    <mergeCell ref="E886:E891"/>
    <mergeCell ref="F886:F891"/>
    <mergeCell ref="G886:G891"/>
    <mergeCell ref="H886:H891"/>
    <mergeCell ref="I886:I891"/>
    <mergeCell ref="J886:J891"/>
    <mergeCell ref="C876:C885"/>
    <mergeCell ref="D876:D885"/>
    <mergeCell ref="E876:E885"/>
    <mergeCell ref="F876:F885"/>
    <mergeCell ref="G876:G885"/>
    <mergeCell ref="H876:H885"/>
    <mergeCell ref="I876:I885"/>
    <mergeCell ref="J876:J885"/>
    <mergeCell ref="C907:C908"/>
    <mergeCell ref="D907:D908"/>
    <mergeCell ref="E907:E908"/>
    <mergeCell ref="F907:F908"/>
    <mergeCell ref="G907:G908"/>
    <mergeCell ref="H907:H908"/>
    <mergeCell ref="I907:I908"/>
    <mergeCell ref="J907:J908"/>
    <mergeCell ref="C901:C906"/>
    <mergeCell ref="D901:D906"/>
    <mergeCell ref="E901:E906"/>
    <mergeCell ref="F901:F906"/>
    <mergeCell ref="G901:G906"/>
    <mergeCell ref="H901:H906"/>
    <mergeCell ref="I901:I906"/>
    <mergeCell ref="J901:J906"/>
    <mergeCell ref="C899:C900"/>
    <mergeCell ref="D899:D900"/>
    <mergeCell ref="E899:E900"/>
    <mergeCell ref="F899:F900"/>
    <mergeCell ref="G899:G900"/>
    <mergeCell ref="H899:H900"/>
    <mergeCell ref="I899:I900"/>
    <mergeCell ref="J899:J900"/>
    <mergeCell ref="Q909:Q913"/>
    <mergeCell ref="C919:C921"/>
    <mergeCell ref="D919:D921"/>
    <mergeCell ref="E919:E921"/>
    <mergeCell ref="F919:F921"/>
    <mergeCell ref="G919:G921"/>
    <mergeCell ref="H919:H921"/>
    <mergeCell ref="I919:I921"/>
    <mergeCell ref="J919:J921"/>
    <mergeCell ref="C909:C918"/>
    <mergeCell ref="D909:D918"/>
    <mergeCell ref="E909:E918"/>
    <mergeCell ref="F909:F918"/>
    <mergeCell ref="G909:G918"/>
    <mergeCell ref="H909:H918"/>
    <mergeCell ref="I909:I918"/>
    <mergeCell ref="J909:J918"/>
    <mergeCell ref="F928:F933"/>
    <mergeCell ref="G928:G933"/>
    <mergeCell ref="H928:H933"/>
    <mergeCell ref="I928:I933"/>
    <mergeCell ref="J928:J933"/>
    <mergeCell ref="D922:D926"/>
    <mergeCell ref="E922:E926"/>
    <mergeCell ref="F922:F926"/>
    <mergeCell ref="G922:G926"/>
    <mergeCell ref="H922:H926"/>
    <mergeCell ref="I922:I926"/>
    <mergeCell ref="J922:J926"/>
    <mergeCell ref="L909:L913"/>
    <mergeCell ref="M909:M913"/>
    <mergeCell ref="N909:N913"/>
    <mergeCell ref="O909:O913"/>
    <mergeCell ref="P909:P913"/>
    <mergeCell ref="C959:C961"/>
    <mergeCell ref="D959:D961"/>
    <mergeCell ref="E959:E961"/>
    <mergeCell ref="F959:F961"/>
    <mergeCell ref="G959:G961"/>
    <mergeCell ref="H959:H961"/>
    <mergeCell ref="I959:I961"/>
    <mergeCell ref="J959:J961"/>
    <mergeCell ref="C954:C958"/>
    <mergeCell ref="D954:D958"/>
    <mergeCell ref="E954:E958"/>
    <mergeCell ref="F954:F958"/>
    <mergeCell ref="G954:G958"/>
    <mergeCell ref="H954:H958"/>
    <mergeCell ref="I954:I958"/>
    <mergeCell ref="J954:J958"/>
    <mergeCell ref="C948:C953"/>
    <mergeCell ref="D948:D953"/>
    <mergeCell ref="E948:E953"/>
    <mergeCell ref="F948:F953"/>
    <mergeCell ref="G948:G953"/>
    <mergeCell ref="H948:H953"/>
    <mergeCell ref="I948:I953"/>
    <mergeCell ref="J948:J953"/>
    <mergeCell ref="C972:C975"/>
    <mergeCell ref="D972:D975"/>
    <mergeCell ref="E972:E975"/>
    <mergeCell ref="F972:F975"/>
    <mergeCell ref="G972:G975"/>
    <mergeCell ref="H972:H975"/>
    <mergeCell ref="I972:I975"/>
    <mergeCell ref="J972:J975"/>
    <mergeCell ref="C966:C968"/>
    <mergeCell ref="D966:D968"/>
    <mergeCell ref="E966:E968"/>
    <mergeCell ref="F966:F968"/>
    <mergeCell ref="G966:G968"/>
    <mergeCell ref="H966:H968"/>
    <mergeCell ref="I966:I968"/>
    <mergeCell ref="J966:J968"/>
    <mergeCell ref="C962:C964"/>
    <mergeCell ref="D962:D964"/>
    <mergeCell ref="E962:E964"/>
    <mergeCell ref="F962:F964"/>
    <mergeCell ref="G962:G964"/>
    <mergeCell ref="H962:H964"/>
    <mergeCell ref="I962:I964"/>
    <mergeCell ref="J962:J964"/>
    <mergeCell ref="B992:E992"/>
    <mergeCell ref="L992:Q992"/>
    <mergeCell ref="B993:Q993"/>
    <mergeCell ref="B994:B997"/>
    <mergeCell ref="C990:C991"/>
    <mergeCell ref="D990:D991"/>
    <mergeCell ref="E990:E991"/>
    <mergeCell ref="F990:F991"/>
    <mergeCell ref="G990:G991"/>
    <mergeCell ref="H990:H991"/>
    <mergeCell ref="I990:I991"/>
    <mergeCell ref="J990:J991"/>
    <mergeCell ref="C976:C987"/>
    <mergeCell ref="D976:D987"/>
    <mergeCell ref="E976:E987"/>
    <mergeCell ref="F976:F987"/>
    <mergeCell ref="G976:G987"/>
    <mergeCell ref="H976:H987"/>
    <mergeCell ref="I976:I987"/>
    <mergeCell ref="J976:J987"/>
    <mergeCell ref="I1020:I1021"/>
    <mergeCell ref="J1020:J1021"/>
    <mergeCell ref="L1009:L1010"/>
    <mergeCell ref="M1009:M1010"/>
    <mergeCell ref="N1009:N1010"/>
    <mergeCell ref="O1009:O1010"/>
    <mergeCell ref="P1009:P1010"/>
    <mergeCell ref="Q1009:Q1010"/>
    <mergeCell ref="C999:C1004"/>
    <mergeCell ref="D999:D1004"/>
    <mergeCell ref="E999:E1004"/>
    <mergeCell ref="F999:F1004"/>
    <mergeCell ref="G999:G1004"/>
    <mergeCell ref="H999:H1004"/>
    <mergeCell ref="I999:I1004"/>
    <mergeCell ref="J999:J1004"/>
    <mergeCell ref="C994:C997"/>
    <mergeCell ref="D994:D997"/>
    <mergeCell ref="E994:E997"/>
    <mergeCell ref="F994:F997"/>
    <mergeCell ref="G994:G997"/>
    <mergeCell ref="H994:H997"/>
    <mergeCell ref="I994:I997"/>
    <mergeCell ref="J994:J997"/>
    <mergeCell ref="C1030:C1032"/>
    <mergeCell ref="D1030:D1032"/>
    <mergeCell ref="E1030:E1032"/>
    <mergeCell ref="F1030:F1032"/>
    <mergeCell ref="G1030:G1032"/>
    <mergeCell ref="H1030:H1032"/>
    <mergeCell ref="I1030:I1032"/>
    <mergeCell ref="J1030:J1032"/>
    <mergeCell ref="C1027:C1029"/>
    <mergeCell ref="D1027:D1029"/>
    <mergeCell ref="E1027:E1029"/>
    <mergeCell ref="F1027:F1029"/>
    <mergeCell ref="G1027:G1029"/>
    <mergeCell ref="H1027:H1029"/>
    <mergeCell ref="I1027:I1029"/>
    <mergeCell ref="J1027:J1029"/>
    <mergeCell ref="C1024:C1025"/>
    <mergeCell ref="D1024:D1025"/>
    <mergeCell ref="E1024:E1025"/>
    <mergeCell ref="F1024:F1025"/>
    <mergeCell ref="G1024:G1025"/>
    <mergeCell ref="H1024:H1025"/>
    <mergeCell ref="I1024:I1025"/>
    <mergeCell ref="J1024:J1025"/>
    <mergeCell ref="C1046:C1047"/>
    <mergeCell ref="D1046:D1047"/>
    <mergeCell ref="E1046:E1047"/>
    <mergeCell ref="F1046:F1047"/>
    <mergeCell ref="G1046:G1047"/>
    <mergeCell ref="H1046:H1047"/>
    <mergeCell ref="I1046:I1047"/>
    <mergeCell ref="J1046:J1047"/>
    <mergeCell ref="C1039:C1042"/>
    <mergeCell ref="D1039:D1042"/>
    <mergeCell ref="E1039:E1042"/>
    <mergeCell ref="F1039:F1042"/>
    <mergeCell ref="G1039:G1042"/>
    <mergeCell ref="H1039:H1042"/>
    <mergeCell ref="I1039:I1042"/>
    <mergeCell ref="J1039:J1042"/>
    <mergeCell ref="C1034:C1037"/>
    <mergeCell ref="D1034:D1037"/>
    <mergeCell ref="E1034:E1037"/>
    <mergeCell ref="F1034:F1037"/>
    <mergeCell ref="G1034:G1037"/>
    <mergeCell ref="H1034:H1037"/>
    <mergeCell ref="I1034:I1037"/>
    <mergeCell ref="J1034:J1037"/>
    <mergeCell ref="C1059:C1061"/>
    <mergeCell ref="D1059:D1061"/>
    <mergeCell ref="E1059:E1061"/>
    <mergeCell ref="F1059:F1061"/>
    <mergeCell ref="G1059:G1061"/>
    <mergeCell ref="H1059:H1061"/>
    <mergeCell ref="I1059:I1061"/>
    <mergeCell ref="J1059:J1061"/>
    <mergeCell ref="C1054:C1056"/>
    <mergeCell ref="D1054:D1056"/>
    <mergeCell ref="E1054:E1056"/>
    <mergeCell ref="F1054:F1056"/>
    <mergeCell ref="G1054:G1056"/>
    <mergeCell ref="H1054:H1056"/>
    <mergeCell ref="I1054:I1056"/>
    <mergeCell ref="J1054:J1056"/>
    <mergeCell ref="C1050:C1052"/>
    <mergeCell ref="D1050:D1052"/>
    <mergeCell ref="E1050:E1052"/>
    <mergeCell ref="F1050:F1052"/>
    <mergeCell ref="G1050:G1052"/>
    <mergeCell ref="H1050:H1052"/>
    <mergeCell ref="I1050:I1052"/>
    <mergeCell ref="J1050:J1052"/>
    <mergeCell ref="O1108:O1109"/>
    <mergeCell ref="P1108:P1109"/>
    <mergeCell ref="Q1108:Q1109"/>
    <mergeCell ref="C1091:C1094"/>
    <mergeCell ref="D1091:D1094"/>
    <mergeCell ref="E1091:E1094"/>
    <mergeCell ref="F1091:F1094"/>
    <mergeCell ref="G1091:G1094"/>
    <mergeCell ref="H1091:H1094"/>
    <mergeCell ref="I1091:I1094"/>
    <mergeCell ref="J1091:J1094"/>
    <mergeCell ref="B1068:Q1068"/>
    <mergeCell ref="B1073:E1073"/>
    <mergeCell ref="L1073:Q1073"/>
    <mergeCell ref="B1074:Q1074"/>
    <mergeCell ref="B1088:E1088"/>
    <mergeCell ref="L1088:Q1088"/>
    <mergeCell ref="B1089:Q1089"/>
    <mergeCell ref="B1091:B1094"/>
    <mergeCell ref="B1095:E1095"/>
    <mergeCell ref="L1095:Q1095"/>
    <mergeCell ref="B1096:Q1096"/>
    <mergeCell ref="B1108:B1109"/>
    <mergeCell ref="F1111:F1114"/>
    <mergeCell ref="G1111:G1114"/>
    <mergeCell ref="H1111:H1114"/>
    <mergeCell ref="I1111:I1114"/>
    <mergeCell ref="J1111:J1114"/>
    <mergeCell ref="C1108:C1109"/>
    <mergeCell ref="D1108:D1109"/>
    <mergeCell ref="E1108:E1109"/>
    <mergeCell ref="F1108:F1109"/>
    <mergeCell ref="G1108:G1109"/>
    <mergeCell ref="H1108:H1109"/>
    <mergeCell ref="I1108:I1109"/>
    <mergeCell ref="J1108:J1109"/>
    <mergeCell ref="K1108:K1109"/>
    <mergeCell ref="L1108:L1109"/>
    <mergeCell ref="M1108:M1109"/>
    <mergeCell ref="N1108:N1109"/>
    <mergeCell ref="K1129:K1130"/>
    <mergeCell ref="C1127:C1128"/>
    <mergeCell ref="D1127:D1128"/>
    <mergeCell ref="E1127:E1128"/>
    <mergeCell ref="F1127:F1128"/>
    <mergeCell ref="G1127:G1128"/>
    <mergeCell ref="H1127:H1128"/>
    <mergeCell ref="I1127:I1128"/>
    <mergeCell ref="J1127:J1128"/>
    <mergeCell ref="K1127:K1128"/>
    <mergeCell ref="C1123:C1125"/>
    <mergeCell ref="D1123:D1125"/>
    <mergeCell ref="E1123:E1125"/>
    <mergeCell ref="F1123:F1125"/>
    <mergeCell ref="G1123:G1125"/>
    <mergeCell ref="H1123:H1125"/>
    <mergeCell ref="I1123:I1125"/>
    <mergeCell ref="J1123:J1125"/>
    <mergeCell ref="C1144:C1145"/>
    <mergeCell ref="D1144:D1145"/>
    <mergeCell ref="E1144:E1145"/>
    <mergeCell ref="F1144:F1145"/>
    <mergeCell ref="G1144:G1145"/>
    <mergeCell ref="H1144:H1145"/>
    <mergeCell ref="I1144:I1145"/>
    <mergeCell ref="J1144:J1145"/>
    <mergeCell ref="C1142:C1143"/>
    <mergeCell ref="D1142:D1143"/>
    <mergeCell ref="E1142:E1143"/>
    <mergeCell ref="F1142:F1143"/>
    <mergeCell ref="G1142:G1143"/>
    <mergeCell ref="H1142:H1143"/>
    <mergeCell ref="I1142:I1143"/>
    <mergeCell ref="J1142:J1143"/>
    <mergeCell ref="C1129:C1130"/>
    <mergeCell ref="D1129:D1130"/>
    <mergeCell ref="E1129:E1130"/>
    <mergeCell ref="F1129:F1130"/>
    <mergeCell ref="G1129:G1130"/>
    <mergeCell ref="H1129:H1130"/>
    <mergeCell ref="I1129:I1130"/>
    <mergeCell ref="J1129:J1130"/>
    <mergeCell ref="B1151:Q1151"/>
    <mergeCell ref="B1158:B1159"/>
    <mergeCell ref="C1148:C1149"/>
    <mergeCell ref="D1148:D1149"/>
    <mergeCell ref="E1148:E1149"/>
    <mergeCell ref="F1148:F1149"/>
    <mergeCell ref="G1148:G1149"/>
    <mergeCell ref="H1148:H1149"/>
    <mergeCell ref="I1148:I1149"/>
    <mergeCell ref="J1148:J1149"/>
    <mergeCell ref="C1146:C1147"/>
    <mergeCell ref="D1146:D1147"/>
    <mergeCell ref="E1146:E1147"/>
    <mergeCell ref="F1146:F1147"/>
    <mergeCell ref="G1146:G1147"/>
    <mergeCell ref="H1146:H1147"/>
    <mergeCell ref="I1146:I1147"/>
    <mergeCell ref="J1146:J1147"/>
    <mergeCell ref="K1176:K1177"/>
    <mergeCell ref="B1165:E1165"/>
    <mergeCell ref="L1165:Q1165"/>
    <mergeCell ref="B1166:Q1166"/>
    <mergeCell ref="B1176:B1177"/>
    <mergeCell ref="C1158:C1159"/>
    <mergeCell ref="D1158:D1159"/>
    <mergeCell ref="E1158:E1159"/>
    <mergeCell ref="F1158:F1159"/>
    <mergeCell ref="G1158:G1159"/>
    <mergeCell ref="H1158:H1159"/>
    <mergeCell ref="I1158:I1159"/>
    <mergeCell ref="J1158:J1159"/>
    <mergeCell ref="K1158:K1159"/>
    <mergeCell ref="L1158:L1159"/>
    <mergeCell ref="M1158:M1159"/>
    <mergeCell ref="N1158:N1159"/>
    <mergeCell ref="O1158:O1159"/>
    <mergeCell ref="P1158:P1159"/>
    <mergeCell ref="Q1158:Q1159"/>
    <mergeCell ref="J1184:J1185"/>
    <mergeCell ref="C1180:C1181"/>
    <mergeCell ref="D1180:D1181"/>
    <mergeCell ref="E1180:E1181"/>
    <mergeCell ref="F1180:F1181"/>
    <mergeCell ref="G1180:G1181"/>
    <mergeCell ref="H1180:H1181"/>
    <mergeCell ref="I1180:I1181"/>
    <mergeCell ref="J1180:J1181"/>
    <mergeCell ref="C1176:C1177"/>
    <mergeCell ref="D1176:D1177"/>
    <mergeCell ref="E1176:E1177"/>
    <mergeCell ref="F1176:F1177"/>
    <mergeCell ref="G1176:G1177"/>
    <mergeCell ref="H1176:H1177"/>
    <mergeCell ref="I1176:I1177"/>
    <mergeCell ref="J1176:J1177"/>
    <mergeCell ref="C1194:C1195"/>
    <mergeCell ref="D1194:D1195"/>
    <mergeCell ref="E1194:E1195"/>
    <mergeCell ref="F1194:F1195"/>
    <mergeCell ref="G1194:G1195"/>
    <mergeCell ref="H1194:H1195"/>
    <mergeCell ref="I1194:I1195"/>
    <mergeCell ref="J1194:J1195"/>
    <mergeCell ref="C1189:C1191"/>
    <mergeCell ref="D1189:D1191"/>
    <mergeCell ref="E1189:E1191"/>
    <mergeCell ref="F1189:F1191"/>
    <mergeCell ref="G1189:G1191"/>
    <mergeCell ref="H1189:H1191"/>
    <mergeCell ref="I1189:I1191"/>
    <mergeCell ref="J1189:J1191"/>
    <mergeCell ref="C1186:C1188"/>
    <mergeCell ref="D1186:D1188"/>
    <mergeCell ref="E1186:E1188"/>
    <mergeCell ref="F1186:F1188"/>
    <mergeCell ref="G1186:G1188"/>
    <mergeCell ref="H1186:H1188"/>
    <mergeCell ref="I1186:I1188"/>
    <mergeCell ref="J1186:J1188"/>
    <mergeCell ref="B1230:E1230"/>
    <mergeCell ref="L1230:Q1230"/>
    <mergeCell ref="B1231:Q1231"/>
    <mergeCell ref="B1241:B1242"/>
    <mergeCell ref="M1206:M1208"/>
    <mergeCell ref="N1221:N1222"/>
    <mergeCell ref="O1221:O1222"/>
    <mergeCell ref="P1221:P1222"/>
    <mergeCell ref="Q1221:Q1222"/>
    <mergeCell ref="B1217:Q1217"/>
    <mergeCell ref="M1221:M1222"/>
    <mergeCell ref="C1203:C1204"/>
    <mergeCell ref="D1203:D1204"/>
    <mergeCell ref="G1203:G1204"/>
    <mergeCell ref="H1203:H1204"/>
    <mergeCell ref="I1203:I1204"/>
    <mergeCell ref="J1203:J1204"/>
    <mergeCell ref="C1250:C1254"/>
    <mergeCell ref="D1250:D1254"/>
    <mergeCell ref="E1250:E1254"/>
    <mergeCell ref="F1250:F1254"/>
    <mergeCell ref="G1250:G1254"/>
    <mergeCell ref="H1250:H1254"/>
    <mergeCell ref="I1250:I1254"/>
    <mergeCell ref="J1250:J1254"/>
    <mergeCell ref="C1243:C1249"/>
    <mergeCell ref="D1243:D1249"/>
    <mergeCell ref="E1243:E1249"/>
    <mergeCell ref="F1243:F1249"/>
    <mergeCell ref="G1243:G1249"/>
    <mergeCell ref="H1243:H1249"/>
    <mergeCell ref="I1243:I1249"/>
    <mergeCell ref="J1243:J1249"/>
    <mergeCell ref="C1241:C1242"/>
    <mergeCell ref="D1241:D1242"/>
    <mergeCell ref="E1241:E1242"/>
    <mergeCell ref="F1241:F1242"/>
    <mergeCell ref="G1241:G1242"/>
    <mergeCell ref="H1241:H1242"/>
    <mergeCell ref="I1241:I1242"/>
    <mergeCell ref="J1241:J1242"/>
    <mergeCell ref="C1264:C1265"/>
    <mergeCell ref="D1264:D1265"/>
    <mergeCell ref="E1264:E1265"/>
    <mergeCell ref="F1264:F1265"/>
    <mergeCell ref="G1264:G1265"/>
    <mergeCell ref="H1264:H1265"/>
    <mergeCell ref="I1264:I1265"/>
    <mergeCell ref="J1264:J1265"/>
    <mergeCell ref="C1258:C1261"/>
    <mergeCell ref="D1258:D1261"/>
    <mergeCell ref="E1258:E1261"/>
    <mergeCell ref="F1258:F1261"/>
    <mergeCell ref="G1258:G1261"/>
    <mergeCell ref="H1258:H1261"/>
    <mergeCell ref="I1258:I1261"/>
    <mergeCell ref="J1258:J1261"/>
    <mergeCell ref="C1255:C1257"/>
    <mergeCell ref="D1255:D1257"/>
    <mergeCell ref="E1255:E1257"/>
    <mergeCell ref="F1255:F1257"/>
    <mergeCell ref="G1255:G1257"/>
    <mergeCell ref="H1255:H1257"/>
    <mergeCell ref="I1255:I1257"/>
    <mergeCell ref="J1255:J1257"/>
    <mergeCell ref="I1279:I1282"/>
    <mergeCell ref="J1279:J1282"/>
    <mergeCell ref="C1271:C1272"/>
    <mergeCell ref="D1271:D1272"/>
    <mergeCell ref="E1271:E1272"/>
    <mergeCell ref="F1271:F1272"/>
    <mergeCell ref="G1271:G1272"/>
    <mergeCell ref="H1271:H1272"/>
    <mergeCell ref="I1271:I1272"/>
    <mergeCell ref="J1271:J1272"/>
    <mergeCell ref="C1267:C1269"/>
    <mergeCell ref="D1267:D1269"/>
    <mergeCell ref="E1267:E1269"/>
    <mergeCell ref="F1267:F1269"/>
    <mergeCell ref="G1267:G1269"/>
    <mergeCell ref="H1267:H1269"/>
    <mergeCell ref="I1267:I1269"/>
    <mergeCell ref="J1267:J1269"/>
    <mergeCell ref="C1295:C1301"/>
    <mergeCell ref="D1295:D1301"/>
    <mergeCell ref="E1295:E1301"/>
    <mergeCell ref="F1295:F1301"/>
    <mergeCell ref="G1295:G1301"/>
    <mergeCell ref="H1295:H1301"/>
    <mergeCell ref="I1295:I1301"/>
    <mergeCell ref="J1295:J1301"/>
    <mergeCell ref="C1292:C1294"/>
    <mergeCell ref="D1292:D1294"/>
    <mergeCell ref="E1292:E1294"/>
    <mergeCell ref="F1292:F1294"/>
    <mergeCell ref="G1292:G1294"/>
    <mergeCell ref="H1292:H1294"/>
    <mergeCell ref="I1292:I1294"/>
    <mergeCell ref="J1292:J1294"/>
    <mergeCell ref="C1287:C1290"/>
    <mergeCell ref="D1287:D1290"/>
    <mergeCell ref="E1287:E1290"/>
    <mergeCell ref="F1287:F1290"/>
    <mergeCell ref="G1287:G1290"/>
    <mergeCell ref="H1287:H1290"/>
    <mergeCell ref="I1287:I1290"/>
    <mergeCell ref="J1287:J1290"/>
    <mergeCell ref="C1312:C1315"/>
    <mergeCell ref="D1312:D1315"/>
    <mergeCell ref="E1312:E1315"/>
    <mergeCell ref="F1312:F1315"/>
    <mergeCell ref="G1312:G1315"/>
    <mergeCell ref="H1312:H1315"/>
    <mergeCell ref="I1312:I1315"/>
    <mergeCell ref="J1312:J1315"/>
    <mergeCell ref="C1308:C1311"/>
    <mergeCell ref="D1308:D1311"/>
    <mergeCell ref="E1308:E1311"/>
    <mergeCell ref="F1308:F1311"/>
    <mergeCell ref="G1308:G1311"/>
    <mergeCell ref="H1308:H1311"/>
    <mergeCell ref="I1308:I1311"/>
    <mergeCell ref="J1308:J1311"/>
    <mergeCell ref="C1302:C1306"/>
    <mergeCell ref="D1302:D1306"/>
    <mergeCell ref="E1302:E1306"/>
    <mergeCell ref="F1302:F1306"/>
    <mergeCell ref="G1302:G1306"/>
    <mergeCell ref="H1302:H1306"/>
    <mergeCell ref="I1302:I1306"/>
    <mergeCell ref="J1302:J1306"/>
    <mergeCell ref="C1358:C1359"/>
    <mergeCell ref="D1358:D1359"/>
    <mergeCell ref="E1358:E1359"/>
    <mergeCell ref="F1358:F1359"/>
    <mergeCell ref="G1358:G1359"/>
    <mergeCell ref="H1358:H1359"/>
    <mergeCell ref="I1358:I1359"/>
    <mergeCell ref="J1358:J1359"/>
    <mergeCell ref="B1352:E1352"/>
    <mergeCell ref="L1352:Q1352"/>
    <mergeCell ref="B1353:Q1353"/>
    <mergeCell ref="B1358:B1359"/>
    <mergeCell ref="C1316:C1322"/>
    <mergeCell ref="D1316:D1322"/>
    <mergeCell ref="E1316:E1322"/>
    <mergeCell ref="F1316:F1322"/>
    <mergeCell ref="G1316:G1322"/>
    <mergeCell ref="H1316:H1322"/>
    <mergeCell ref="I1316:I1322"/>
    <mergeCell ref="J1316:J1322"/>
    <mergeCell ref="C1369:C1376"/>
    <mergeCell ref="D1369:D1376"/>
    <mergeCell ref="E1369:E1376"/>
    <mergeCell ref="F1369:F1376"/>
    <mergeCell ref="G1369:G1376"/>
    <mergeCell ref="H1369:H1376"/>
    <mergeCell ref="I1369:I1376"/>
    <mergeCell ref="J1369:J1376"/>
    <mergeCell ref="L1360:L1361"/>
    <mergeCell ref="M1360:M1361"/>
    <mergeCell ref="N1360:N1361"/>
    <mergeCell ref="O1360:O1361"/>
    <mergeCell ref="P1360:P1361"/>
    <mergeCell ref="Q1360:Q1361"/>
    <mergeCell ref="C1362:C1365"/>
    <mergeCell ref="D1362:D1365"/>
    <mergeCell ref="E1362:E1365"/>
    <mergeCell ref="F1362:F1365"/>
    <mergeCell ref="G1362:G1365"/>
    <mergeCell ref="H1362:H1365"/>
    <mergeCell ref="I1362:I1365"/>
    <mergeCell ref="J1362:J1365"/>
    <mergeCell ref="C1360:C1361"/>
    <mergeCell ref="D1360:D1361"/>
    <mergeCell ref="E1360:E1361"/>
    <mergeCell ref="F1360:F1361"/>
    <mergeCell ref="G1360:G1361"/>
    <mergeCell ref="H1360:H1361"/>
    <mergeCell ref="I1360:I1361"/>
    <mergeCell ref="J1360:J1361"/>
    <mergeCell ref="K1360:K1361"/>
    <mergeCell ref="H1390:H1394"/>
    <mergeCell ref="I1390:I1394"/>
    <mergeCell ref="J1390:J1394"/>
    <mergeCell ref="C1383:C1389"/>
    <mergeCell ref="D1383:D1389"/>
    <mergeCell ref="E1383:E1389"/>
    <mergeCell ref="F1383:F1389"/>
    <mergeCell ref="G1383:G1389"/>
    <mergeCell ref="H1383:H1389"/>
    <mergeCell ref="I1383:I1389"/>
    <mergeCell ref="J1383:J1389"/>
    <mergeCell ref="C1377:C1382"/>
    <mergeCell ref="D1377:D1382"/>
    <mergeCell ref="E1377:E1382"/>
    <mergeCell ref="F1377:F1382"/>
    <mergeCell ref="G1377:G1382"/>
    <mergeCell ref="H1377:H1382"/>
    <mergeCell ref="I1377:I1382"/>
    <mergeCell ref="J1377:J1382"/>
    <mergeCell ref="C1430:C1436"/>
    <mergeCell ref="D1430:D1436"/>
    <mergeCell ref="E1430:E1436"/>
    <mergeCell ref="F1430:F1436"/>
    <mergeCell ref="G1430:G1436"/>
    <mergeCell ref="H1430:H1436"/>
    <mergeCell ref="I1430:I1436"/>
    <mergeCell ref="J1430:J1436"/>
    <mergeCell ref="C1426:C1429"/>
    <mergeCell ref="D1426:D1429"/>
    <mergeCell ref="E1426:E1429"/>
    <mergeCell ref="F1426:F1429"/>
    <mergeCell ref="G1426:G1429"/>
    <mergeCell ref="H1426:H1429"/>
    <mergeCell ref="I1426:I1429"/>
    <mergeCell ref="J1426:J1429"/>
    <mergeCell ref="E1405:E1411"/>
    <mergeCell ref="F1405:F1411"/>
    <mergeCell ref="G1405:G1411"/>
    <mergeCell ref="J1405:J1411"/>
    <mergeCell ref="G1412:G1425"/>
    <mergeCell ref="J1412:J1425"/>
    <mergeCell ref="D1405:D1411"/>
    <mergeCell ref="H1405:H1425"/>
    <mergeCell ref="I1405:I1411"/>
    <mergeCell ref="D1412:D1425"/>
    <mergeCell ref="E1412:E1418"/>
    <mergeCell ref="F1412:F1425"/>
    <mergeCell ref="I1412:I1425"/>
    <mergeCell ref="C1449:C1454"/>
    <mergeCell ref="D1449:D1454"/>
    <mergeCell ref="E1449:E1454"/>
    <mergeCell ref="F1449:F1454"/>
    <mergeCell ref="G1449:G1454"/>
    <mergeCell ref="H1449:H1454"/>
    <mergeCell ref="I1449:I1454"/>
    <mergeCell ref="J1449:J1454"/>
    <mergeCell ref="C1443:C1448"/>
    <mergeCell ref="D1443:D1448"/>
    <mergeCell ref="E1443:E1448"/>
    <mergeCell ref="F1443:F1448"/>
    <mergeCell ref="G1443:G1448"/>
    <mergeCell ref="H1443:H1448"/>
    <mergeCell ref="I1443:I1448"/>
    <mergeCell ref="J1443:J1448"/>
    <mergeCell ref="C1437:C1442"/>
    <mergeCell ref="D1437:D1442"/>
    <mergeCell ref="E1437:E1442"/>
    <mergeCell ref="F1437:F1442"/>
    <mergeCell ref="G1437:G1442"/>
    <mergeCell ref="H1437:H1442"/>
    <mergeCell ref="I1437:I1442"/>
    <mergeCell ref="J1437:J1442"/>
    <mergeCell ref="I1465:I1466"/>
    <mergeCell ref="J1465:J1466"/>
    <mergeCell ref="C1463:C1464"/>
    <mergeCell ref="D1463:D1464"/>
    <mergeCell ref="E1463:E1464"/>
    <mergeCell ref="F1463:F1464"/>
    <mergeCell ref="G1463:G1464"/>
    <mergeCell ref="H1463:H1464"/>
    <mergeCell ref="I1463:I1464"/>
    <mergeCell ref="J1463:J1464"/>
    <mergeCell ref="C1459:C1460"/>
    <mergeCell ref="D1459:D1460"/>
    <mergeCell ref="E1459:E1460"/>
    <mergeCell ref="F1459:F1460"/>
    <mergeCell ref="G1459:G1460"/>
    <mergeCell ref="H1459:H1460"/>
    <mergeCell ref="I1459:I1460"/>
    <mergeCell ref="J1459:J1460"/>
    <mergeCell ref="N1484:P1484"/>
    <mergeCell ref="N1485:P1485"/>
    <mergeCell ref="C1482:C1483"/>
    <mergeCell ref="D1482:D1483"/>
    <mergeCell ref="E1482:E1483"/>
    <mergeCell ref="F1482:F1483"/>
    <mergeCell ref="G1482:G1483"/>
    <mergeCell ref="H1482:H1483"/>
    <mergeCell ref="I1482:I1483"/>
    <mergeCell ref="J1482:J1483"/>
    <mergeCell ref="K1482:K1483"/>
    <mergeCell ref="C1480:C1481"/>
    <mergeCell ref="D1480:D1481"/>
    <mergeCell ref="E1480:E1481"/>
    <mergeCell ref="F1480:F1481"/>
    <mergeCell ref="G1480:G1481"/>
    <mergeCell ref="H1480:H1481"/>
    <mergeCell ref="I1480:I1481"/>
    <mergeCell ref="J1480:J1481"/>
    <mergeCell ref="K1480:K1481"/>
    <mergeCell ref="C1497:C1498"/>
    <mergeCell ref="D1497:D1498"/>
    <mergeCell ref="E1497:E1498"/>
    <mergeCell ref="F1497:F1498"/>
    <mergeCell ref="G1497:G1498"/>
    <mergeCell ref="H1497:H1498"/>
    <mergeCell ref="I1497:I1498"/>
    <mergeCell ref="J1497:J1498"/>
    <mergeCell ref="C1494:C1495"/>
    <mergeCell ref="D1494:D1495"/>
    <mergeCell ref="E1494:E1495"/>
    <mergeCell ref="F1494:F1495"/>
    <mergeCell ref="G1494:G1495"/>
    <mergeCell ref="H1494:H1495"/>
    <mergeCell ref="I1494:I1495"/>
    <mergeCell ref="J1494:J1495"/>
    <mergeCell ref="C1492:C1493"/>
    <mergeCell ref="D1492:D1493"/>
    <mergeCell ref="E1492:E1493"/>
    <mergeCell ref="F1492:F1493"/>
    <mergeCell ref="G1492:G1493"/>
    <mergeCell ref="H1492:H1493"/>
    <mergeCell ref="I1492:I1493"/>
    <mergeCell ref="J1492:J1493"/>
    <mergeCell ref="N1522:N1523"/>
    <mergeCell ref="O1522:O1523"/>
    <mergeCell ref="C1510:C1517"/>
    <mergeCell ref="D1510:D1517"/>
    <mergeCell ref="E1510:E1517"/>
    <mergeCell ref="F1510:F1517"/>
    <mergeCell ref="G1510:G1517"/>
    <mergeCell ref="H1510:H1517"/>
    <mergeCell ref="I1510:I1517"/>
    <mergeCell ref="J1510:J1517"/>
    <mergeCell ref="C1499:C1500"/>
    <mergeCell ref="D1499:D1500"/>
    <mergeCell ref="E1499:E1500"/>
    <mergeCell ref="F1499:F1500"/>
    <mergeCell ref="G1499:G1500"/>
    <mergeCell ref="H1499:H1500"/>
    <mergeCell ref="I1499:I1500"/>
    <mergeCell ref="J1499:J1500"/>
    <mergeCell ref="O1560:O1561"/>
    <mergeCell ref="P1560:P1561"/>
    <mergeCell ref="Q1560:Q1561"/>
    <mergeCell ref="C1555:C1556"/>
    <mergeCell ref="D1555:D1556"/>
    <mergeCell ref="E1555:E1556"/>
    <mergeCell ref="F1555:F1556"/>
    <mergeCell ref="G1555:G1556"/>
    <mergeCell ref="H1555:H1556"/>
    <mergeCell ref="I1555:I1556"/>
    <mergeCell ref="J1555:J1556"/>
    <mergeCell ref="P1522:P1523"/>
    <mergeCell ref="Q1522:Q1523"/>
    <mergeCell ref="C1534:C1535"/>
    <mergeCell ref="D1534:D1535"/>
    <mergeCell ref="E1534:E1535"/>
    <mergeCell ref="F1534:F1535"/>
    <mergeCell ref="G1534:G1535"/>
    <mergeCell ref="H1534:H1535"/>
    <mergeCell ref="I1534:I1535"/>
    <mergeCell ref="J1534:J1535"/>
    <mergeCell ref="F1521:F1523"/>
    <mergeCell ref="K1522:K1523"/>
    <mergeCell ref="B1524:E1524"/>
    <mergeCell ref="B1525:Q1525"/>
    <mergeCell ref="B1534:B1535"/>
    <mergeCell ref="G1521:G1523"/>
    <mergeCell ref="H1521:H1523"/>
    <mergeCell ref="I1521:I1523"/>
    <mergeCell ref="J1521:J1523"/>
    <mergeCell ref="L1522:L1523"/>
    <mergeCell ref="M1522:M1523"/>
    <mergeCell ref="M1571:M1572"/>
    <mergeCell ref="N1571:N1572"/>
    <mergeCell ref="O1571:O1572"/>
    <mergeCell ref="P1571:P1572"/>
    <mergeCell ref="Q1571:Q1572"/>
    <mergeCell ref="C1571:C1572"/>
    <mergeCell ref="D1571:D1572"/>
    <mergeCell ref="E1571:E1572"/>
    <mergeCell ref="F1571:F1572"/>
    <mergeCell ref="G1571:G1572"/>
    <mergeCell ref="H1571:H1572"/>
    <mergeCell ref="I1571:I1572"/>
    <mergeCell ref="J1571:J1572"/>
    <mergeCell ref="K1571:K1572"/>
    <mergeCell ref="M1566:M1567"/>
    <mergeCell ref="N1566:N1567"/>
    <mergeCell ref="O1566:O1567"/>
    <mergeCell ref="P1566:P1567"/>
    <mergeCell ref="Q1566:Q1567"/>
    <mergeCell ref="C1569:C1570"/>
    <mergeCell ref="D1569:D1570"/>
    <mergeCell ref="E1569:E1570"/>
    <mergeCell ref="F1569:F1570"/>
    <mergeCell ref="G1569:G1570"/>
    <mergeCell ref="H1569:H1570"/>
    <mergeCell ref="I1569:I1570"/>
    <mergeCell ref="J1569:J1570"/>
    <mergeCell ref="C1566:C1567"/>
    <mergeCell ref="D1566:D1567"/>
    <mergeCell ref="G1566:G1567"/>
    <mergeCell ref="H1566:H1567"/>
    <mergeCell ref="I1566:I1567"/>
    <mergeCell ref="C1598:C1600"/>
    <mergeCell ref="D1598:D1600"/>
    <mergeCell ref="E1598:E1600"/>
    <mergeCell ref="F1598:F1600"/>
    <mergeCell ref="G1598:G1600"/>
    <mergeCell ref="H1598:H1600"/>
    <mergeCell ref="I1598:I1600"/>
    <mergeCell ref="J1598:J1600"/>
    <mergeCell ref="C1579:C1580"/>
    <mergeCell ref="D1579:D1580"/>
    <mergeCell ref="E1579:E1580"/>
    <mergeCell ref="F1579:F1580"/>
    <mergeCell ref="G1579:G1580"/>
    <mergeCell ref="H1579:H1580"/>
    <mergeCell ref="I1579:I1580"/>
    <mergeCell ref="J1579:J1580"/>
    <mergeCell ref="L1571:L1572"/>
    <mergeCell ref="C1607:C1608"/>
    <mergeCell ref="D1607:D1608"/>
    <mergeCell ref="E1607:E1608"/>
    <mergeCell ref="F1607:F1608"/>
    <mergeCell ref="G1607:G1608"/>
    <mergeCell ref="H1607:H1608"/>
    <mergeCell ref="I1607:I1608"/>
    <mergeCell ref="J1607:J1608"/>
    <mergeCell ref="C1605:C1606"/>
    <mergeCell ref="D1605:D1606"/>
    <mergeCell ref="E1605:E1606"/>
    <mergeCell ref="F1605:F1606"/>
    <mergeCell ref="G1605:G1606"/>
    <mergeCell ref="H1605:H1606"/>
    <mergeCell ref="I1605:I1606"/>
    <mergeCell ref="J1605:J1606"/>
    <mergeCell ref="C1603:C1604"/>
    <mergeCell ref="D1603:D1604"/>
    <mergeCell ref="E1603:E1604"/>
    <mergeCell ref="F1603:F1604"/>
    <mergeCell ref="G1603:G1604"/>
    <mergeCell ref="H1603:H1604"/>
    <mergeCell ref="I1603:I1604"/>
    <mergeCell ref="J1603:J1604"/>
    <mergeCell ref="E1616:E1619"/>
    <mergeCell ref="F1616:F1619"/>
    <mergeCell ref="G1616:G1619"/>
    <mergeCell ref="H1616:H1619"/>
    <mergeCell ref="I1616:I1619"/>
    <mergeCell ref="J1616:J1619"/>
    <mergeCell ref="C1609:C1612"/>
    <mergeCell ref="F1609:F1612"/>
    <mergeCell ref="G1609:G1612"/>
    <mergeCell ref="H1609:H1612"/>
    <mergeCell ref="I1609:I1612"/>
    <mergeCell ref="J1609:J1612"/>
    <mergeCell ref="F1613:F1615"/>
    <mergeCell ref="G1613:G1615"/>
    <mergeCell ref="H1613:H1615"/>
    <mergeCell ref="I1613:I1615"/>
    <mergeCell ref="J1613:J1615"/>
    <mergeCell ref="L1626:L1627"/>
    <mergeCell ref="M1626:M1627"/>
    <mergeCell ref="N1626:N1627"/>
    <mergeCell ref="O1626:O1627"/>
    <mergeCell ref="P1626:P1627"/>
    <mergeCell ref="Q1626:Q1627"/>
    <mergeCell ref="C1632:C1634"/>
    <mergeCell ref="D1632:D1634"/>
    <mergeCell ref="E1632:E1634"/>
    <mergeCell ref="F1632:F1634"/>
    <mergeCell ref="G1632:G1634"/>
    <mergeCell ref="H1632:H1634"/>
    <mergeCell ref="I1632:I1634"/>
    <mergeCell ref="J1632:J1634"/>
    <mergeCell ref="F1623:F1625"/>
    <mergeCell ref="G1623:G1625"/>
    <mergeCell ref="H1623:H1625"/>
    <mergeCell ref="I1623:I1625"/>
    <mergeCell ref="J1623:J1625"/>
    <mergeCell ref="C1626:C1628"/>
    <mergeCell ref="D1626:D1628"/>
    <mergeCell ref="E1626:E1628"/>
    <mergeCell ref="F1626:F1628"/>
    <mergeCell ref="G1626:G1628"/>
    <mergeCell ref="H1626:H1628"/>
    <mergeCell ref="I1626:I1628"/>
    <mergeCell ref="J1626:J1628"/>
    <mergeCell ref="C1623:C1625"/>
    <mergeCell ref="E1623:E1625"/>
    <mergeCell ref="H1663:H1664"/>
    <mergeCell ref="I1663:I1664"/>
    <mergeCell ref="J1663:J1664"/>
    <mergeCell ref="C1661:C1662"/>
    <mergeCell ref="D1661:D1662"/>
    <mergeCell ref="E1661:E1662"/>
    <mergeCell ref="F1661:F1662"/>
    <mergeCell ref="G1661:G1662"/>
    <mergeCell ref="H1661:H1662"/>
    <mergeCell ref="I1661:I1662"/>
    <mergeCell ref="J1661:J1662"/>
    <mergeCell ref="B1651:Q1651"/>
    <mergeCell ref="B1661:B1662"/>
    <mergeCell ref="C1637:C1638"/>
    <mergeCell ref="D1637:D1638"/>
    <mergeCell ref="G1637:G1638"/>
    <mergeCell ref="H1637:H1638"/>
    <mergeCell ref="I1637:I1638"/>
    <mergeCell ref="J1637:J1638"/>
    <mergeCell ref="K1637:K1638"/>
    <mergeCell ref="L1637:L1638"/>
    <mergeCell ref="B1663:B1664"/>
    <mergeCell ref="M1665:M1666"/>
    <mergeCell ref="N1665:N1666"/>
    <mergeCell ref="O1665:O1666"/>
    <mergeCell ref="P1665:P1666"/>
    <mergeCell ref="Q1665:Q1666"/>
    <mergeCell ref="C1667:C1668"/>
    <mergeCell ref="D1667:D1668"/>
    <mergeCell ref="E1667:E1668"/>
    <mergeCell ref="F1667:F1668"/>
    <mergeCell ref="G1667:G1668"/>
    <mergeCell ref="H1667:H1668"/>
    <mergeCell ref="I1667:I1668"/>
    <mergeCell ref="J1667:J1668"/>
    <mergeCell ref="K1667:K1668"/>
    <mergeCell ref="L1667:L1668"/>
    <mergeCell ref="M1667:M1668"/>
    <mergeCell ref="N1667:N1668"/>
    <mergeCell ref="O1667:O1668"/>
    <mergeCell ref="P1667:P1668"/>
    <mergeCell ref="Q1667:Q1668"/>
    <mergeCell ref="C1665:C1666"/>
    <mergeCell ref="D1665:D1666"/>
    <mergeCell ref="E1665:E1666"/>
    <mergeCell ref="F1665:F1666"/>
    <mergeCell ref="G1665:G1666"/>
    <mergeCell ref="H1665:H1666"/>
    <mergeCell ref="B787:B789"/>
    <mergeCell ref="F790:F791"/>
    <mergeCell ref="B792:B793"/>
    <mergeCell ref="B794:B795"/>
    <mergeCell ref="B796:B797"/>
    <mergeCell ref="B802:B803"/>
    <mergeCell ref="B805:B807"/>
    <mergeCell ref="B808:B811"/>
    <mergeCell ref="B812:B814"/>
    <mergeCell ref="B816:B817"/>
    <mergeCell ref="F827:F829"/>
    <mergeCell ref="B831:B832"/>
    <mergeCell ref="F836:F837"/>
    <mergeCell ref="A839:E839"/>
    <mergeCell ref="A856:E856"/>
    <mergeCell ref="C831:C832"/>
    <mergeCell ref="D831:D832"/>
    <mergeCell ref="E831:E832"/>
    <mergeCell ref="F831:F832"/>
    <mergeCell ref="C805:C807"/>
    <mergeCell ref="D805:D807"/>
    <mergeCell ref="E805:E807"/>
    <mergeCell ref="F805:F807"/>
    <mergeCell ref="C794:C795"/>
    <mergeCell ref="D794:D795"/>
    <mergeCell ref="E794:E795"/>
    <mergeCell ref="F794:F795"/>
    <mergeCell ref="G831:G832"/>
    <mergeCell ref="H831:H832"/>
    <mergeCell ref="I831:I832"/>
    <mergeCell ref="J831:J832"/>
    <mergeCell ref="C816:C817"/>
    <mergeCell ref="D816:D817"/>
    <mergeCell ref="E816:E817"/>
    <mergeCell ref="F816:F817"/>
    <mergeCell ref="G816:G817"/>
    <mergeCell ref="H816:H817"/>
    <mergeCell ref="I816:I817"/>
    <mergeCell ref="B919:B921"/>
    <mergeCell ref="B922:B925"/>
    <mergeCell ref="C922:C926"/>
    <mergeCell ref="B928:B933"/>
    <mergeCell ref="B934:B935"/>
    <mergeCell ref="B936:B941"/>
    <mergeCell ref="C936:C941"/>
    <mergeCell ref="D936:D941"/>
    <mergeCell ref="E936:E941"/>
    <mergeCell ref="F936:F941"/>
    <mergeCell ref="G936:G941"/>
    <mergeCell ref="H936:H941"/>
    <mergeCell ref="I936:I941"/>
    <mergeCell ref="J936:J941"/>
    <mergeCell ref="C934:C935"/>
    <mergeCell ref="D934:D935"/>
    <mergeCell ref="E934:E935"/>
    <mergeCell ref="F934:F935"/>
    <mergeCell ref="G934:G935"/>
    <mergeCell ref="H934:H935"/>
    <mergeCell ref="I934:I935"/>
    <mergeCell ref="B942:B943"/>
    <mergeCell ref="B944:B947"/>
    <mergeCell ref="B948:B953"/>
    <mergeCell ref="B876:B885"/>
    <mergeCell ref="B886:B891"/>
    <mergeCell ref="B894:B898"/>
    <mergeCell ref="B899:B900"/>
    <mergeCell ref="B901:B906"/>
    <mergeCell ref="B907:B908"/>
    <mergeCell ref="B909:B918"/>
    <mergeCell ref="K909:K913"/>
    <mergeCell ref="K917:K918"/>
    <mergeCell ref="C944:C947"/>
    <mergeCell ref="D944:D947"/>
    <mergeCell ref="E944:E947"/>
    <mergeCell ref="F944:F947"/>
    <mergeCell ref="G944:G947"/>
    <mergeCell ref="H944:H947"/>
    <mergeCell ref="I944:I947"/>
    <mergeCell ref="J944:J947"/>
    <mergeCell ref="C942:C943"/>
    <mergeCell ref="D942:D943"/>
    <mergeCell ref="E942:E943"/>
    <mergeCell ref="F942:F943"/>
    <mergeCell ref="G942:G943"/>
    <mergeCell ref="H942:H943"/>
    <mergeCell ref="I942:I943"/>
    <mergeCell ref="J942:J943"/>
    <mergeCell ref="J934:J935"/>
    <mergeCell ref="C928:C933"/>
    <mergeCell ref="D928:D933"/>
    <mergeCell ref="E928:E933"/>
    <mergeCell ref="B999:B1004"/>
    <mergeCell ref="K1009:K1010"/>
    <mergeCell ref="B1013:E1013"/>
    <mergeCell ref="L1013:Q1013"/>
    <mergeCell ref="B1014:Q1014"/>
    <mergeCell ref="B1020:B1021"/>
    <mergeCell ref="B1022:B1023"/>
    <mergeCell ref="B1024:B1025"/>
    <mergeCell ref="B1027:B1029"/>
    <mergeCell ref="B954:B958"/>
    <mergeCell ref="B959:B961"/>
    <mergeCell ref="B962:B964"/>
    <mergeCell ref="N962:Q964"/>
    <mergeCell ref="B966:B968"/>
    <mergeCell ref="B972:B975"/>
    <mergeCell ref="B976:B987"/>
    <mergeCell ref="M989:Q989"/>
    <mergeCell ref="B990:B991"/>
    <mergeCell ref="C1022:C1023"/>
    <mergeCell ref="D1022:D1023"/>
    <mergeCell ref="E1022:E1023"/>
    <mergeCell ref="F1022:F1023"/>
    <mergeCell ref="G1022:G1023"/>
    <mergeCell ref="H1022:H1023"/>
    <mergeCell ref="I1022:I1023"/>
    <mergeCell ref="J1022:J1023"/>
    <mergeCell ref="C1020:C1021"/>
    <mergeCell ref="D1020:D1021"/>
    <mergeCell ref="E1020:E1021"/>
    <mergeCell ref="F1020:F1021"/>
    <mergeCell ref="G1020:G1021"/>
    <mergeCell ref="H1020:H1021"/>
    <mergeCell ref="B1111:B1114"/>
    <mergeCell ref="B1115:B1118"/>
    <mergeCell ref="B1120:B1122"/>
    <mergeCell ref="B1123:B1125"/>
    <mergeCell ref="B1030:B1032"/>
    <mergeCell ref="B1034:B1037"/>
    <mergeCell ref="B1039:B1042"/>
    <mergeCell ref="B1046:B1047"/>
    <mergeCell ref="B1050:B1052"/>
    <mergeCell ref="B1054:B1056"/>
    <mergeCell ref="B1059:B1061"/>
    <mergeCell ref="B1066:E1066"/>
    <mergeCell ref="B1067:Q1067"/>
    <mergeCell ref="C1120:C1122"/>
    <mergeCell ref="D1120:D1122"/>
    <mergeCell ref="E1120:E1122"/>
    <mergeCell ref="F1120:F1122"/>
    <mergeCell ref="G1120:G1122"/>
    <mergeCell ref="H1120:H1122"/>
    <mergeCell ref="I1120:I1122"/>
    <mergeCell ref="J1120:J1122"/>
    <mergeCell ref="C1115:C1118"/>
    <mergeCell ref="D1115:D1118"/>
    <mergeCell ref="E1115:E1118"/>
    <mergeCell ref="F1115:F1118"/>
    <mergeCell ref="G1115:G1118"/>
    <mergeCell ref="H1115:H1118"/>
    <mergeCell ref="I1115:I1118"/>
    <mergeCell ref="J1115:J1118"/>
    <mergeCell ref="C1111:C1114"/>
    <mergeCell ref="D1111:D1114"/>
    <mergeCell ref="E1111:E1114"/>
    <mergeCell ref="B1180:B1181"/>
    <mergeCell ref="B1182:E1182"/>
    <mergeCell ref="L1182:Q1182"/>
    <mergeCell ref="B1183:Q1183"/>
    <mergeCell ref="B1184:B1185"/>
    <mergeCell ref="B1186:B1188"/>
    <mergeCell ref="B1189:B1191"/>
    <mergeCell ref="B1192:B1193"/>
    <mergeCell ref="D1192:D1193"/>
    <mergeCell ref="B1127:B1128"/>
    <mergeCell ref="B1129:B1130"/>
    <mergeCell ref="B1131:E1131"/>
    <mergeCell ref="B1132:Q1132"/>
    <mergeCell ref="B1142:B1143"/>
    <mergeCell ref="B1144:B1145"/>
    <mergeCell ref="B1146:B1147"/>
    <mergeCell ref="B1148:B1149"/>
    <mergeCell ref="B1150:E1150"/>
    <mergeCell ref="L1150:Q1150"/>
    <mergeCell ref="E1192:E1193"/>
    <mergeCell ref="F1192:F1193"/>
    <mergeCell ref="G1192:G1193"/>
    <mergeCell ref="H1192:H1193"/>
    <mergeCell ref="I1192:I1193"/>
    <mergeCell ref="J1192:J1193"/>
    <mergeCell ref="C1184:C1185"/>
    <mergeCell ref="D1184:D1185"/>
    <mergeCell ref="E1184:E1185"/>
    <mergeCell ref="F1184:F1185"/>
    <mergeCell ref="G1184:G1185"/>
    <mergeCell ref="H1184:H1185"/>
    <mergeCell ref="I1184:I1185"/>
    <mergeCell ref="B1243:B1249"/>
    <mergeCell ref="B1250:B1254"/>
    <mergeCell ref="B1255:B1257"/>
    <mergeCell ref="B1258:B1261"/>
    <mergeCell ref="B1264:B1265"/>
    <mergeCell ref="B1267:B1269"/>
    <mergeCell ref="B1271:B1272"/>
    <mergeCell ref="B1279:B1282"/>
    <mergeCell ref="B1283:B1286"/>
    <mergeCell ref="B1194:B1195"/>
    <mergeCell ref="B1197:E1197"/>
    <mergeCell ref="L1197:Q1197"/>
    <mergeCell ref="B1198:Q1198"/>
    <mergeCell ref="B1203:B1204"/>
    <mergeCell ref="F1203:F1204"/>
    <mergeCell ref="L1206:L1208"/>
    <mergeCell ref="L1214:Q1214"/>
    <mergeCell ref="B1216:E1216"/>
    <mergeCell ref="C1283:C1286"/>
    <mergeCell ref="D1283:D1286"/>
    <mergeCell ref="E1283:E1286"/>
    <mergeCell ref="F1283:F1286"/>
    <mergeCell ref="G1283:G1286"/>
    <mergeCell ref="H1283:H1286"/>
    <mergeCell ref="I1283:I1286"/>
    <mergeCell ref="J1283:J1286"/>
    <mergeCell ref="C1279:C1282"/>
    <mergeCell ref="D1279:D1282"/>
    <mergeCell ref="E1279:E1282"/>
    <mergeCell ref="F1279:F1282"/>
    <mergeCell ref="G1279:G1282"/>
    <mergeCell ref="H1279:H1282"/>
    <mergeCell ref="B1360:B1361"/>
    <mergeCell ref="B1362:B1365"/>
    <mergeCell ref="B1369:B1376"/>
    <mergeCell ref="B1377:B1382"/>
    <mergeCell ref="B1383:B1389"/>
    <mergeCell ref="B1390:B1394"/>
    <mergeCell ref="B1396:B1404"/>
    <mergeCell ref="B1405:B1411"/>
    <mergeCell ref="C1405:C1425"/>
    <mergeCell ref="B1412:B1425"/>
    <mergeCell ref="B1287:B1290"/>
    <mergeCell ref="B1292:B1294"/>
    <mergeCell ref="B1295:B1301"/>
    <mergeCell ref="B1302:B1306"/>
    <mergeCell ref="B1308:B1311"/>
    <mergeCell ref="B1312:B1315"/>
    <mergeCell ref="B1316:B1322"/>
    <mergeCell ref="B1326:E1326"/>
    <mergeCell ref="B1327:Q1327"/>
    <mergeCell ref="C1396:C1404"/>
    <mergeCell ref="D1396:D1404"/>
    <mergeCell ref="E1396:E1404"/>
    <mergeCell ref="F1396:F1404"/>
    <mergeCell ref="G1396:G1404"/>
    <mergeCell ref="H1396:H1404"/>
    <mergeCell ref="I1396:I1404"/>
    <mergeCell ref="J1396:J1404"/>
    <mergeCell ref="C1390:C1394"/>
    <mergeCell ref="D1390:D1394"/>
    <mergeCell ref="E1390:E1394"/>
    <mergeCell ref="F1390:F1394"/>
    <mergeCell ref="G1390:G1394"/>
    <mergeCell ref="B1463:B1464"/>
    <mergeCell ref="B1465:B1466"/>
    <mergeCell ref="B1467:B1468"/>
    <mergeCell ref="B1480:B1481"/>
    <mergeCell ref="N1480:P1480"/>
    <mergeCell ref="N1481:P1481"/>
    <mergeCell ref="B1482:B1483"/>
    <mergeCell ref="N1482:P1482"/>
    <mergeCell ref="N1483:P1483"/>
    <mergeCell ref="E1419:E1425"/>
    <mergeCell ref="B1426:B1429"/>
    <mergeCell ref="B1430:B1436"/>
    <mergeCell ref="B1437:B1442"/>
    <mergeCell ref="B1443:B1448"/>
    <mergeCell ref="B1449:B1454"/>
    <mergeCell ref="B1455:E1455"/>
    <mergeCell ref="B1456:Q1456"/>
    <mergeCell ref="B1459:B1460"/>
    <mergeCell ref="C1467:C1468"/>
    <mergeCell ref="D1467:D1468"/>
    <mergeCell ref="E1467:E1468"/>
    <mergeCell ref="F1467:F1468"/>
    <mergeCell ref="G1467:G1468"/>
    <mergeCell ref="H1467:H1468"/>
    <mergeCell ref="I1467:I1468"/>
    <mergeCell ref="J1467:J1468"/>
    <mergeCell ref="C1465:C1466"/>
    <mergeCell ref="D1465:D1466"/>
    <mergeCell ref="E1465:E1466"/>
    <mergeCell ref="F1465:F1466"/>
    <mergeCell ref="G1465:G1466"/>
    <mergeCell ref="H1465:H1466"/>
    <mergeCell ref="B1555:B1556"/>
    <mergeCell ref="B1558:E1558"/>
    <mergeCell ref="L1558:P1558"/>
    <mergeCell ref="B1559:Q1559"/>
    <mergeCell ref="B1560:B1561"/>
    <mergeCell ref="F1560:F1561"/>
    <mergeCell ref="B1566:B1567"/>
    <mergeCell ref="F1566:F1567"/>
    <mergeCell ref="B1569:B1570"/>
    <mergeCell ref="B1492:B1493"/>
    <mergeCell ref="B1494:B1495"/>
    <mergeCell ref="B1497:B1498"/>
    <mergeCell ref="B1499:B1500"/>
    <mergeCell ref="B1506:E1506"/>
    <mergeCell ref="L1506:Q1506"/>
    <mergeCell ref="B1507:Q1507"/>
    <mergeCell ref="B1508:Q1508"/>
    <mergeCell ref="B1510:B1517"/>
    <mergeCell ref="K1510:K1513"/>
    <mergeCell ref="J1566:J1567"/>
    <mergeCell ref="K1566:K1567"/>
    <mergeCell ref="L1566:L1567"/>
    <mergeCell ref="C1560:C1561"/>
    <mergeCell ref="D1560:D1561"/>
    <mergeCell ref="G1560:G1561"/>
    <mergeCell ref="H1560:H1561"/>
    <mergeCell ref="I1560:I1561"/>
    <mergeCell ref="J1560:J1561"/>
    <mergeCell ref="K1560:K1561"/>
    <mergeCell ref="L1560:L1561"/>
    <mergeCell ref="M1560:M1561"/>
    <mergeCell ref="N1560:N1561"/>
    <mergeCell ref="B1605:B1606"/>
    <mergeCell ref="B1607:B1608"/>
    <mergeCell ref="B1609:B1612"/>
    <mergeCell ref="E1609:E1612"/>
    <mergeCell ref="C1613:C1615"/>
    <mergeCell ref="E1613:E1615"/>
    <mergeCell ref="B1616:B1619"/>
    <mergeCell ref="K1616:K1617"/>
    <mergeCell ref="C1620:C1622"/>
    <mergeCell ref="E1620:E1622"/>
    <mergeCell ref="B1571:B1572"/>
    <mergeCell ref="B1573:E1573"/>
    <mergeCell ref="B1574:Q1574"/>
    <mergeCell ref="B1579:B1580"/>
    <mergeCell ref="B1593:E1593"/>
    <mergeCell ref="L1593:Q1593"/>
    <mergeCell ref="B1594:Q1594"/>
    <mergeCell ref="B1598:B1600"/>
    <mergeCell ref="B1603:B1604"/>
    <mergeCell ref="L1616:L1617"/>
    <mergeCell ref="M1616:M1617"/>
    <mergeCell ref="N1616:N1617"/>
    <mergeCell ref="O1616:O1617"/>
    <mergeCell ref="P1616:P1617"/>
    <mergeCell ref="Q1616:Q1617"/>
    <mergeCell ref="F1620:F1622"/>
    <mergeCell ref="G1620:G1622"/>
    <mergeCell ref="H1620:H1622"/>
    <mergeCell ref="I1620:I1622"/>
    <mergeCell ref="J1620:J1622"/>
    <mergeCell ref="C1616:C1619"/>
    <mergeCell ref="D1616:D1619"/>
    <mergeCell ref="B1665:B1666"/>
    <mergeCell ref="B1667:B1668"/>
    <mergeCell ref="B1669:E1669"/>
    <mergeCell ref="L1669:Q1669"/>
    <mergeCell ref="B1670:J1670"/>
    <mergeCell ref="B1679:B1680"/>
    <mergeCell ref="C1679:C1680"/>
    <mergeCell ref="D1679:D1680"/>
    <mergeCell ref="E1679:E1680"/>
    <mergeCell ref="F1679:F1680"/>
    <mergeCell ref="G1679:G1680"/>
    <mergeCell ref="H1679:H1680"/>
    <mergeCell ref="I1679:I1680"/>
    <mergeCell ref="J1679:J1680"/>
    <mergeCell ref="B1626:B1628"/>
    <mergeCell ref="K1626:K1627"/>
    <mergeCell ref="B1632:B1634"/>
    <mergeCell ref="B1635:E1635"/>
    <mergeCell ref="L1635:P1635"/>
    <mergeCell ref="B1636:Q1636"/>
    <mergeCell ref="B1637:B1638"/>
    <mergeCell ref="F1637:F1638"/>
    <mergeCell ref="B1650:E1650"/>
    <mergeCell ref="I1665:I1666"/>
    <mergeCell ref="J1665:J1666"/>
    <mergeCell ref="K1665:K1666"/>
    <mergeCell ref="C1663:C1664"/>
    <mergeCell ref="D1663:D1664"/>
    <mergeCell ref="E1663:E1664"/>
    <mergeCell ref="F1663:F1664"/>
    <mergeCell ref="G1663:G1664"/>
    <mergeCell ref="L1665:L1666"/>
    <mergeCell ref="B1684:B1685"/>
    <mergeCell ref="C1684:C1685"/>
    <mergeCell ref="D1684:D1685"/>
    <mergeCell ref="E1684:E1685"/>
    <mergeCell ref="F1684:F1685"/>
    <mergeCell ref="G1684:G1685"/>
    <mergeCell ref="H1684:H1685"/>
    <mergeCell ref="I1684:I1685"/>
    <mergeCell ref="J1684:J1685"/>
    <mergeCell ref="B1681:B1682"/>
    <mergeCell ref="C1681:C1682"/>
    <mergeCell ref="D1681:D1682"/>
    <mergeCell ref="E1681:E1682"/>
    <mergeCell ref="F1681:F1682"/>
    <mergeCell ref="G1681:G1682"/>
    <mergeCell ref="H1681:H1682"/>
    <mergeCell ref="I1681:I1682"/>
    <mergeCell ref="J1681:J1682"/>
    <mergeCell ref="B1689:E1689"/>
    <mergeCell ref="L1689:Q1689"/>
    <mergeCell ref="B1690:J1690"/>
    <mergeCell ref="C1704:C1705"/>
    <mergeCell ref="E1704:E1705"/>
    <mergeCell ref="F1704:F1705"/>
    <mergeCell ref="G1704:G1705"/>
    <mergeCell ref="H1704:H1705"/>
    <mergeCell ref="I1704:I1705"/>
    <mergeCell ref="J1704:J1705"/>
    <mergeCell ref="B1687:B1688"/>
    <mergeCell ref="C1687:C1688"/>
    <mergeCell ref="D1687:D1688"/>
    <mergeCell ref="E1687:E1688"/>
    <mergeCell ref="F1687:F1688"/>
    <mergeCell ref="G1687:G1688"/>
    <mergeCell ref="H1687:H1688"/>
    <mergeCell ref="I1687:I1688"/>
    <mergeCell ref="J1687:J1688"/>
    <mergeCell ref="B1747:E1747"/>
    <mergeCell ref="L1747:Q1747"/>
    <mergeCell ref="B1748:Q1748"/>
    <mergeCell ref="B1761:E1761"/>
    <mergeCell ref="L1761:Q1761"/>
    <mergeCell ref="B1762:Q1762"/>
    <mergeCell ref="B1770:B1771"/>
    <mergeCell ref="C1770:C1771"/>
    <mergeCell ref="D1770:D1771"/>
    <mergeCell ref="E1770:E1771"/>
    <mergeCell ref="F1770:F1771"/>
    <mergeCell ref="G1770:G1771"/>
    <mergeCell ref="H1770:H1771"/>
    <mergeCell ref="I1770:I1771"/>
    <mergeCell ref="J1770:J1771"/>
    <mergeCell ref="B1714:E1714"/>
    <mergeCell ref="B1715:Q1715"/>
    <mergeCell ref="B1727:E1727"/>
    <mergeCell ref="B1728:Q1728"/>
    <mergeCell ref="B1736:E1736"/>
    <mergeCell ref="B1737:Q1737"/>
    <mergeCell ref="B1741:E1741"/>
    <mergeCell ref="L1741:Q1741"/>
    <mergeCell ref="B1742:Q1742"/>
    <mergeCell ref="N1787:Q1787"/>
    <mergeCell ref="B1778:B1781"/>
    <mergeCell ref="C1778:C1781"/>
    <mergeCell ref="D1778:D1781"/>
    <mergeCell ref="E1778:E1781"/>
    <mergeCell ref="F1778:F1781"/>
    <mergeCell ref="G1778:G1781"/>
    <mergeCell ref="H1778:H1781"/>
    <mergeCell ref="I1778:I1781"/>
    <mergeCell ref="J1778:J1781"/>
    <mergeCell ref="B1772:B1773"/>
    <mergeCell ref="C1772:C1773"/>
    <mergeCell ref="D1772:D1773"/>
    <mergeCell ref="E1772:E1773"/>
    <mergeCell ref="G1772:G1773"/>
    <mergeCell ref="H1772:H1773"/>
    <mergeCell ref="I1772:I1773"/>
    <mergeCell ref="J1772:J1773"/>
    <mergeCell ref="B1776:B1777"/>
    <mergeCell ref="C1776:C1777"/>
    <mergeCell ref="D1776:D1777"/>
    <mergeCell ref="E1776:E1777"/>
    <mergeCell ref="G1776:G1777"/>
    <mergeCell ref="H1776:H1777"/>
    <mergeCell ref="I1776:I1777"/>
    <mergeCell ref="J1776:J1777"/>
    <mergeCell ref="B1788:B1790"/>
    <mergeCell ref="C1788:C1790"/>
    <mergeCell ref="D1788:D1790"/>
    <mergeCell ref="E1788:E1790"/>
    <mergeCell ref="G1788:G1790"/>
    <mergeCell ref="H1788:H1790"/>
    <mergeCell ref="I1788:I1790"/>
    <mergeCell ref="J1788:J1790"/>
    <mergeCell ref="B1792:E1792"/>
    <mergeCell ref="B1782:B1787"/>
    <mergeCell ref="C1782:C1787"/>
    <mergeCell ref="D1782:D1787"/>
    <mergeCell ref="E1782:E1787"/>
    <mergeCell ref="G1782:G1787"/>
    <mergeCell ref="H1782:H1787"/>
    <mergeCell ref="I1782:I1787"/>
    <mergeCell ref="J1782:J1787"/>
    <mergeCell ref="B1810:B1811"/>
    <mergeCell ref="C1810:C1811"/>
    <mergeCell ref="D1810:D1811"/>
    <mergeCell ref="E1810:E1811"/>
    <mergeCell ref="F1810:F1811"/>
    <mergeCell ref="G1810:G1811"/>
    <mergeCell ref="H1810:H1811"/>
    <mergeCell ref="I1810:I1811"/>
    <mergeCell ref="J1810:J1811"/>
    <mergeCell ref="L1792:Q1792"/>
    <mergeCell ref="B1793:Q1793"/>
    <mergeCell ref="B1797:B1798"/>
    <mergeCell ref="C1797:C1798"/>
    <mergeCell ref="D1797:D1798"/>
    <mergeCell ref="B1799:B1800"/>
    <mergeCell ref="C1799:C1800"/>
    <mergeCell ref="D1799:D1800"/>
    <mergeCell ref="E1799:E1800"/>
    <mergeCell ref="F1799:F1800"/>
    <mergeCell ref="G1799:G1800"/>
    <mergeCell ref="H1799:H1800"/>
    <mergeCell ref="I1799:I1800"/>
    <mergeCell ref="J1799:J1800"/>
    <mergeCell ref="K1799:K1800"/>
    <mergeCell ref="L1799:L1800"/>
    <mergeCell ref="M1799:M1800"/>
    <mergeCell ref="N1799:N1800"/>
    <mergeCell ref="O1799:O1800"/>
    <mergeCell ref="P1799:P1800"/>
    <mergeCell ref="Q1799:Q1800"/>
    <mergeCell ref="B1824:B1825"/>
    <mergeCell ref="C1824:C1825"/>
    <mergeCell ref="D1824:D1825"/>
    <mergeCell ref="E1824:E1825"/>
    <mergeCell ref="F1824:F1825"/>
    <mergeCell ref="G1824:G1825"/>
    <mergeCell ref="H1824:H1825"/>
    <mergeCell ref="I1824:I1825"/>
    <mergeCell ref="J1824:J1825"/>
    <mergeCell ref="B1812:B1813"/>
    <mergeCell ref="C1812:C1813"/>
    <mergeCell ref="D1812:D1813"/>
    <mergeCell ref="E1812:E1813"/>
    <mergeCell ref="B1814:E1814"/>
    <mergeCell ref="B1815:Q1815"/>
    <mergeCell ref="B1817:B1818"/>
    <mergeCell ref="C1817:C1818"/>
    <mergeCell ref="D1817:D1818"/>
    <mergeCell ref="E1817:E1818"/>
    <mergeCell ref="F1817:F1818"/>
    <mergeCell ref="G1817:G1818"/>
    <mergeCell ref="H1817:H1818"/>
    <mergeCell ref="I1817:I1818"/>
    <mergeCell ref="J1817:J1818"/>
    <mergeCell ref="B1836:B1840"/>
    <mergeCell ref="C1836:C1840"/>
    <mergeCell ref="D1836:D1840"/>
    <mergeCell ref="E1836:E1840"/>
    <mergeCell ref="F1836:F1840"/>
    <mergeCell ref="G1836:G1840"/>
    <mergeCell ref="H1836:H1840"/>
    <mergeCell ref="I1836:I1840"/>
    <mergeCell ref="J1836:J1840"/>
    <mergeCell ref="B1828:B1829"/>
    <mergeCell ref="C1828:C1829"/>
    <mergeCell ref="D1828:D1829"/>
    <mergeCell ref="B1830:E1830"/>
    <mergeCell ref="B1831:Q1831"/>
    <mergeCell ref="B1833:B1835"/>
    <mergeCell ref="C1833:C1835"/>
    <mergeCell ref="D1833:D1835"/>
    <mergeCell ref="E1833:E1835"/>
    <mergeCell ref="F1833:F1835"/>
    <mergeCell ref="G1833:G1835"/>
    <mergeCell ref="H1833:H1835"/>
    <mergeCell ref="I1833:I1835"/>
    <mergeCell ref="J1833:J1835"/>
    <mergeCell ref="B1843:E1843"/>
    <mergeCell ref="B1844:Q1844"/>
    <mergeCell ref="B1857:E1857"/>
    <mergeCell ref="B1858:Q1858"/>
    <mergeCell ref="B1863:B1864"/>
    <mergeCell ref="C1863:C1864"/>
    <mergeCell ref="D1863:D1864"/>
    <mergeCell ref="E1863:E1864"/>
    <mergeCell ref="F1863:F1864"/>
    <mergeCell ref="G1863:G1864"/>
    <mergeCell ref="H1863:H1864"/>
    <mergeCell ref="I1863:I1864"/>
    <mergeCell ref="J1863:J1864"/>
    <mergeCell ref="K1863:K1864"/>
    <mergeCell ref="L1863:L1864"/>
    <mergeCell ref="M1863:M1864"/>
    <mergeCell ref="N1863:N1864"/>
    <mergeCell ref="O1863:O1864"/>
    <mergeCell ref="P1863:P1864"/>
    <mergeCell ref="Q1863:Q1864"/>
    <mergeCell ref="K1865:K1866"/>
    <mergeCell ref="L1865:L1866"/>
    <mergeCell ref="M1865:M1866"/>
    <mergeCell ref="N1865:N1866"/>
    <mergeCell ref="O1865:O1866"/>
    <mergeCell ref="P1865:P1866"/>
    <mergeCell ref="Q1865:Q1866"/>
    <mergeCell ref="B1867:B1868"/>
    <mergeCell ref="C1867:C1868"/>
    <mergeCell ref="D1867:D1868"/>
    <mergeCell ref="E1867:E1868"/>
    <mergeCell ref="F1867:F1868"/>
    <mergeCell ref="G1867:G1868"/>
    <mergeCell ref="H1867:H1868"/>
    <mergeCell ref="I1867:I1868"/>
    <mergeCell ref="J1867:J1868"/>
    <mergeCell ref="K1867:K1868"/>
    <mergeCell ref="L1867:L1868"/>
    <mergeCell ref="M1867:M1868"/>
    <mergeCell ref="N1867:N1868"/>
    <mergeCell ref="O1867:O1868"/>
    <mergeCell ref="P1867:P1868"/>
    <mergeCell ref="Q1867:Q1868"/>
    <mergeCell ref="B1865:B1866"/>
    <mergeCell ref="C1865:C1866"/>
    <mergeCell ref="D1865:D1866"/>
    <mergeCell ref="E1865:E1866"/>
    <mergeCell ref="F1865:F1866"/>
    <mergeCell ref="G1865:G1866"/>
    <mergeCell ref="H1865:H1866"/>
    <mergeCell ref="I1865:I1866"/>
    <mergeCell ref="J1865:J1866"/>
    <mergeCell ref="B1872:Q1872"/>
    <mergeCell ref="B1875:E1875"/>
    <mergeCell ref="B1876:Q1876"/>
    <mergeCell ref="B1895:E1895"/>
    <mergeCell ref="L1895:Q1895"/>
    <mergeCell ref="B1896:Q1896"/>
    <mergeCell ref="B1899:E1899"/>
    <mergeCell ref="L1899:Q1899"/>
    <mergeCell ref="B1900:Q1900"/>
    <mergeCell ref="K1869:K1870"/>
    <mergeCell ref="L1869:L1870"/>
    <mergeCell ref="M1869:M1870"/>
    <mergeCell ref="N1869:N1870"/>
    <mergeCell ref="O1869:O1870"/>
    <mergeCell ref="P1869:P1870"/>
    <mergeCell ref="Q1869:Q1870"/>
    <mergeCell ref="B1871:E1871"/>
    <mergeCell ref="L1871:Q1871"/>
    <mergeCell ref="B1869:B1870"/>
    <mergeCell ref="C1869:C1870"/>
    <mergeCell ref="D1869:D1870"/>
    <mergeCell ref="E1869:E1870"/>
    <mergeCell ref="F1869:F1870"/>
    <mergeCell ref="G1869:G1870"/>
    <mergeCell ref="H1869:H1870"/>
    <mergeCell ref="I1869:I1870"/>
    <mergeCell ref="J1869:J1870"/>
    <mergeCell ref="N1914:N1915"/>
    <mergeCell ref="O1914:O1915"/>
    <mergeCell ref="P1914:P1915"/>
    <mergeCell ref="Q1914:Q1915"/>
    <mergeCell ref="B1917:E1917"/>
    <mergeCell ref="B1918:Q1918"/>
    <mergeCell ref="B1919:B1920"/>
    <mergeCell ref="C1919:C1920"/>
    <mergeCell ref="D1919:D1920"/>
    <mergeCell ref="E1919:E1920"/>
    <mergeCell ref="F1919:F1920"/>
    <mergeCell ref="G1919:G1920"/>
    <mergeCell ref="H1919:H1920"/>
    <mergeCell ref="I1919:I1920"/>
    <mergeCell ref="J1919:J1920"/>
    <mergeCell ref="B1914:B1915"/>
    <mergeCell ref="C1914:C1915"/>
    <mergeCell ref="D1914:D1915"/>
    <mergeCell ref="E1914:E1915"/>
    <mergeCell ref="F1914:F1915"/>
    <mergeCell ref="G1914:G1915"/>
    <mergeCell ref="H1914:H1915"/>
    <mergeCell ref="I1914:I1915"/>
    <mergeCell ref="J1914:J1915"/>
    <mergeCell ref="B1969:E1969"/>
    <mergeCell ref="L1969:Q1969"/>
    <mergeCell ref="B1970:Q1970"/>
    <mergeCell ref="B1984:E1984"/>
    <mergeCell ref="L1984:Q1984"/>
    <mergeCell ref="B1985:Q1985"/>
    <mergeCell ref="B1994:E1994"/>
    <mergeCell ref="L1994:Q1994"/>
    <mergeCell ref="B1995:Q1995"/>
    <mergeCell ref="B1923:E1923"/>
    <mergeCell ref="L1923:Q1923"/>
    <mergeCell ref="B1924:Q1924"/>
    <mergeCell ref="B1927:E1927"/>
    <mergeCell ref="L1927:Q1927"/>
    <mergeCell ref="B1928:Q1928"/>
    <mergeCell ref="B1929:Q1929"/>
    <mergeCell ref="B1953:E1953"/>
    <mergeCell ref="B1954:Q1954"/>
    <mergeCell ref="B2017:E2017"/>
    <mergeCell ref="L2000:L2001"/>
    <mergeCell ref="M2000:M2001"/>
    <mergeCell ref="N2000:N2001"/>
    <mergeCell ref="O2000:O2001"/>
    <mergeCell ref="P2000:P2001"/>
    <mergeCell ref="B2009:E2009"/>
    <mergeCell ref="B2010:Q2010"/>
    <mergeCell ref="B2014:B2015"/>
    <mergeCell ref="C2014:C2015"/>
    <mergeCell ref="D2014:D2015"/>
    <mergeCell ref="E2014:E2015"/>
    <mergeCell ref="F2014:F2015"/>
    <mergeCell ref="G2014:G2015"/>
    <mergeCell ref="H2014:H2015"/>
    <mergeCell ref="I2014:I2015"/>
    <mergeCell ref="J2014:J2015"/>
    <mergeCell ref="K2014:K2015"/>
    <mergeCell ref="L2014:L2015"/>
    <mergeCell ref="M2014:M2015"/>
    <mergeCell ref="N2014:N2015"/>
    <mergeCell ref="O2014:O2015"/>
    <mergeCell ref="P2014:P2015"/>
    <mergeCell ref="B2000:B2001"/>
    <mergeCell ref="C2000:C2001"/>
    <mergeCell ref="D2000:D2001"/>
    <mergeCell ref="F2000:F2001"/>
    <mergeCell ref="G2000:G2001"/>
    <mergeCell ref="H2000:H2001"/>
    <mergeCell ref="I2000:I2001"/>
    <mergeCell ref="J2000:J2001"/>
    <mergeCell ref="K2000:K2001"/>
  </mergeCells>
  <printOptions horizontalCentered="1"/>
  <pageMargins left="0.39370078740157483" right="0.39370078740157483" top="0.98425196850393704" bottom="0.19685039370078741" header="0" footer="0.19685039370078741"/>
  <pageSetup paperSize="9" scale="48" fitToHeight="0" orientation="landscape" r:id="rId1"/>
  <headerFooter>
    <oddFooter>&amp;R&amp;P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35" sqref="E35"/>
    </sheetView>
  </sheetViews>
  <sheetFormatPr defaultRowHeight="15" x14ac:dyDescent="0.25"/>
  <sheetData>
    <row r="1" spans="1:6" x14ac:dyDescent="0.25">
      <c r="A1" s="11"/>
      <c r="B1" s="20" t="s">
        <v>18</v>
      </c>
      <c r="C1" s="16"/>
      <c r="D1" s="6"/>
      <c r="E1" s="4"/>
      <c r="F1" s="5"/>
    </row>
    <row r="2" spans="1:6" x14ac:dyDescent="0.25">
      <c r="A2" s="11"/>
      <c r="B2" s="2618" t="s">
        <v>19</v>
      </c>
      <c r="C2" s="2618"/>
      <c r="D2" s="2618"/>
      <c r="E2" s="2618"/>
      <c r="F2" s="2618"/>
    </row>
    <row r="3" spans="1:6" x14ac:dyDescent="0.25">
      <c r="A3" s="11"/>
      <c r="B3" s="2618" t="s">
        <v>20</v>
      </c>
      <c r="C3" s="2618"/>
      <c r="D3" s="2618"/>
      <c r="E3" s="2618"/>
      <c r="F3" s="2618"/>
    </row>
    <row r="4" spans="1:6" x14ac:dyDescent="0.25">
      <c r="A4" s="11"/>
      <c r="B4" s="2618" t="s">
        <v>21</v>
      </c>
      <c r="C4" s="2618"/>
      <c r="D4" s="2618"/>
      <c r="E4" s="2618"/>
      <c r="F4" s="2618"/>
    </row>
    <row r="5" spans="1:6" x14ac:dyDescent="0.25">
      <c r="A5" s="12"/>
      <c r="B5" s="2618" t="s">
        <v>22</v>
      </c>
      <c r="C5" s="2618"/>
      <c r="D5" s="2618"/>
      <c r="E5" s="2618"/>
      <c r="F5" s="2618"/>
    </row>
    <row r="6" spans="1:6" x14ac:dyDescent="0.25">
      <c r="A6" s="12"/>
      <c r="B6" s="2618" t="s">
        <v>23</v>
      </c>
      <c r="C6" s="2618"/>
      <c r="D6" s="2618"/>
      <c r="E6" s="2618"/>
      <c r="F6" s="2618"/>
    </row>
    <row r="7" spans="1:6" x14ac:dyDescent="0.25">
      <c r="A7" s="12"/>
      <c r="B7" s="2618" t="s">
        <v>24</v>
      </c>
      <c r="C7" s="2618"/>
      <c r="D7" s="2618"/>
      <c r="E7" s="2618"/>
      <c r="F7" s="2618"/>
    </row>
  </sheetData>
  <mergeCells count="6">
    <mergeCell ref="B7:F7"/>
    <mergeCell ref="B2:F2"/>
    <mergeCell ref="B3:F3"/>
    <mergeCell ref="B4:F4"/>
    <mergeCell ref="B5:F5"/>
    <mergeCell ref="B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D753419-6C1C-42EC-8112-C8F61920401B}"/>
</file>

<file path=customXml/itemProps2.xml><?xml version="1.0" encoding="utf-8"?>
<ds:datastoreItem xmlns:ds="http://schemas.openxmlformats.org/officeDocument/2006/customXml" ds:itemID="{385AE4BA-9FBE-4C2D-AD59-C14A09EA2966}"/>
</file>

<file path=customXml/itemProps3.xml><?xml version="1.0" encoding="utf-8"?>
<ds:datastoreItem xmlns:ds="http://schemas.openxmlformats.org/officeDocument/2006/customXml" ds:itemID="{4469DD1F-BE3F-46D5-AFEE-6D38850CDF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Приложение 11</vt:lpstr>
      <vt:lpstr>Лист1</vt:lpstr>
      <vt:lpstr>'Приложение 11'!Заголовки_для_печати</vt:lpstr>
      <vt:lpstr>'Приложение 11'!Область_печати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Зарлык Исмаилов</cp:lastModifiedBy>
  <cp:lastPrinted>2019-12-11T08:33:05Z</cp:lastPrinted>
  <dcterms:created xsi:type="dcterms:W3CDTF">2018-08-08T11:01:49Z</dcterms:created>
  <dcterms:modified xsi:type="dcterms:W3CDTF">2019-12-11T08:33:07Z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