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.ismailov\Desktop\Новая папка (2)\Бюдж2020  ЖК\Бюдж2020  ЖК\Бюджет на 2020 (на государственном языке)\"/>
    </mc:Choice>
  </mc:AlternateContent>
  <bookViews>
    <workbookView xWindow="14505" yWindow="-15" windowWidth="14310" windowHeight="12345"/>
  </bookViews>
  <sheets>
    <sheet name="Тиркеме 11-2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Titles" localSheetId="0">'Тиркеме 11-2'!$7:$9</definedName>
    <definedName name="_xlnm.Print_Area" localSheetId="0">'Тиркеме 11-2'!$A$1:$P$166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5" i="1" l="1"/>
  <c r="F165" i="1"/>
  <c r="E165" i="1"/>
  <c r="I164" i="1"/>
  <c r="H164" i="1"/>
  <c r="F162" i="1"/>
  <c r="F158" i="1" s="1"/>
  <c r="E162" i="1"/>
  <c r="E158" i="1" s="1"/>
  <c r="I158" i="1"/>
  <c r="H158" i="1"/>
  <c r="G158" i="1"/>
  <c r="E156" i="1"/>
  <c r="E154" i="1" s="1"/>
  <c r="I154" i="1"/>
  <c r="H154" i="1"/>
  <c r="G154" i="1"/>
  <c r="F154" i="1"/>
  <c r="E151" i="1"/>
  <c r="E147" i="1" s="1"/>
  <c r="I147" i="1"/>
  <c r="H147" i="1"/>
  <c r="G147" i="1"/>
  <c r="F147" i="1"/>
  <c r="G133" i="1"/>
  <c r="G127" i="1"/>
  <c r="G120" i="1" s="1"/>
  <c r="I120" i="1"/>
  <c r="H120" i="1"/>
  <c r="F120" i="1"/>
  <c r="E120" i="1"/>
  <c r="F119" i="1"/>
  <c r="E119" i="1"/>
  <c r="F118" i="1"/>
  <c r="E118" i="1"/>
  <c r="F116" i="1"/>
  <c r="E116" i="1"/>
  <c r="F112" i="1"/>
  <c r="E112" i="1"/>
  <c r="G111" i="1"/>
  <c r="G105" i="1" s="1"/>
  <c r="F111" i="1"/>
  <c r="E111" i="1"/>
  <c r="F108" i="1"/>
  <c r="E108" i="1"/>
  <c r="I105" i="1"/>
  <c r="H105" i="1"/>
  <c r="I98" i="1"/>
  <c r="H98" i="1"/>
  <c r="G98" i="1"/>
  <c r="F98" i="1"/>
  <c r="E98" i="1"/>
  <c r="G166" i="1" l="1"/>
  <c r="F105" i="1"/>
  <c r="F166" i="1" s="1"/>
  <c r="E105" i="1"/>
  <c r="E166" i="1" s="1"/>
  <c r="H166" i="1"/>
  <c r="I166" i="1"/>
  <c r="G77" i="1" l="1"/>
  <c r="G36" i="1"/>
  <c r="G41" i="1"/>
  <c r="G51" i="1"/>
  <c r="G43" i="1"/>
  <c r="G29" i="1"/>
  <c r="G93" i="1"/>
  <c r="G90" i="1"/>
  <c r="G71" i="1"/>
  <c r="G70" i="1"/>
  <c r="G55" i="1"/>
  <c r="G27" i="1"/>
  <c r="G11" i="1" s="1"/>
  <c r="E33" i="1" l="1"/>
  <c r="F33" i="1"/>
  <c r="H93" i="1"/>
  <c r="I93" i="1" s="1"/>
  <c r="H90" i="1"/>
  <c r="I90" i="1" s="1"/>
  <c r="H88" i="1"/>
  <c r="I88" i="1" s="1"/>
  <c r="G88" i="1"/>
  <c r="H85" i="1"/>
  <c r="I85" i="1" s="1"/>
  <c r="F83" i="1"/>
  <c r="E83" i="1"/>
  <c r="H82" i="1"/>
  <c r="I82" i="1" s="1"/>
  <c r="H81" i="1"/>
  <c r="I81" i="1" s="1"/>
  <c r="H79" i="1"/>
  <c r="I79" i="1" s="1"/>
  <c r="H77" i="1"/>
  <c r="I77" i="1" s="1"/>
  <c r="H76" i="1"/>
  <c r="I76" i="1" s="1"/>
  <c r="H74" i="1"/>
  <c r="I74" i="1" s="1"/>
  <c r="F74" i="1"/>
  <c r="F57" i="1" s="1"/>
  <c r="I73" i="1"/>
  <c r="H73" i="1"/>
  <c r="G73" i="1"/>
  <c r="H71" i="1"/>
  <c r="I71" i="1" s="1"/>
  <c r="H70" i="1"/>
  <c r="I70" i="1" s="1"/>
  <c r="H68" i="1"/>
  <c r="I68" i="1" s="1"/>
  <c r="H66" i="1"/>
  <c r="I66" i="1" s="1"/>
  <c r="H65" i="1"/>
  <c r="I65" i="1" s="1"/>
  <c r="G65" i="1"/>
  <c r="H61" i="1"/>
  <c r="I61" i="1" s="1"/>
  <c r="G61" i="1"/>
  <c r="E57" i="1"/>
  <c r="H56" i="1"/>
  <c r="I56" i="1" s="1"/>
  <c r="G56" i="1"/>
  <c r="H55" i="1"/>
  <c r="I55" i="1" s="1"/>
  <c r="H54" i="1"/>
  <c r="I54" i="1" s="1"/>
  <c r="H51" i="1"/>
  <c r="I51" i="1" s="1"/>
  <c r="H43" i="1"/>
  <c r="I43" i="1" s="1"/>
  <c r="H41" i="1"/>
  <c r="I41" i="1" s="1"/>
  <c r="H36" i="1"/>
  <c r="I36" i="1" s="1"/>
  <c r="I33" i="1" s="1"/>
  <c r="H29" i="1"/>
  <c r="I29" i="1" s="1"/>
  <c r="H28" i="1"/>
  <c r="I28" i="1" s="1"/>
  <c r="H25" i="1"/>
  <c r="I25" i="1" s="1"/>
  <c r="H23" i="1"/>
  <c r="I23" i="1" s="1"/>
  <c r="H22" i="1"/>
  <c r="I22" i="1" s="1"/>
  <c r="H21" i="1"/>
  <c r="I21" i="1" s="1"/>
  <c r="H19" i="1"/>
  <c r="I19" i="1" s="1"/>
  <c r="H18" i="1"/>
  <c r="I18" i="1" s="1"/>
  <c r="H16" i="1"/>
  <c r="I16" i="1" s="1"/>
  <c r="I15" i="1"/>
  <c r="H15" i="1"/>
  <c r="F11" i="1"/>
  <c r="F96" i="1" s="1"/>
  <c r="E11" i="1"/>
  <c r="E96" i="1" l="1"/>
  <c r="G33" i="1"/>
  <c r="G57" i="1"/>
  <c r="H33" i="1"/>
  <c r="I83" i="1"/>
  <c r="G83" i="1"/>
  <c r="I11" i="1"/>
  <c r="I57" i="1"/>
  <c r="H11" i="1"/>
  <c r="H57" i="1"/>
  <c r="H83" i="1"/>
  <c r="G96" i="1" l="1"/>
  <c r="H96" i="1"/>
  <c r="I96" i="1"/>
</calcChain>
</file>

<file path=xl/sharedStrings.xml><?xml version="1.0" encoding="utf-8"?>
<sst xmlns="http://schemas.openxmlformats.org/spreadsheetml/2006/main" count="534" uniqueCount="310">
  <si>
    <t>коэфф</t>
  </si>
  <si>
    <t>01</t>
  </si>
  <si>
    <t>02</t>
  </si>
  <si>
    <t>03</t>
  </si>
  <si>
    <t>%</t>
  </si>
  <si>
    <t>км</t>
  </si>
  <si>
    <t>10/100</t>
  </si>
  <si>
    <t>17/100</t>
  </si>
  <si>
    <t>18/100</t>
  </si>
  <si>
    <t>21/100</t>
  </si>
  <si>
    <t>6/75/100</t>
  </si>
  <si>
    <t>5/80/100</t>
  </si>
  <si>
    <t>7/90/100</t>
  </si>
  <si>
    <t>км,%</t>
  </si>
  <si>
    <t>307,7/100</t>
  </si>
  <si>
    <t>444,1/100</t>
  </si>
  <si>
    <t>04</t>
  </si>
  <si>
    <t>05</t>
  </si>
  <si>
    <t>06</t>
  </si>
  <si>
    <t>07</t>
  </si>
  <si>
    <t>08</t>
  </si>
  <si>
    <t>003</t>
  </si>
  <si>
    <t>авт./сут.</t>
  </si>
  <si>
    <t>09</t>
  </si>
  <si>
    <t>004</t>
  </si>
  <si>
    <t>005</t>
  </si>
  <si>
    <t>006</t>
  </si>
  <si>
    <t>Код ПР</t>
  </si>
  <si>
    <t>Код МЕ</t>
  </si>
  <si>
    <t>≥13</t>
  </si>
  <si>
    <t>≤ 5</t>
  </si>
  <si>
    <t>31\5</t>
  </si>
  <si>
    <t>002</t>
  </si>
  <si>
    <t>6</t>
  </si>
  <si>
    <t>&gt;95</t>
  </si>
  <si>
    <t>&gt;90</t>
  </si>
  <si>
    <t>Литр</t>
  </si>
  <si>
    <t>10</t>
  </si>
  <si>
    <t>11</t>
  </si>
  <si>
    <t>12</t>
  </si>
  <si>
    <t>13</t>
  </si>
  <si>
    <t xml:space="preserve">ед.  </t>
  </si>
  <si>
    <t>Код ИН</t>
  </si>
  <si>
    <t>Натыйжалуулуктун индикаторлору</t>
  </si>
  <si>
    <t>Ченөө бирдиги</t>
  </si>
  <si>
    <t xml:space="preserve">Максаттуу маанилер </t>
  </si>
  <si>
    <t>Министрликтин ишин баалоо</t>
  </si>
  <si>
    <t>Калктын ишеним индекси</t>
  </si>
  <si>
    <t>Кабыл алынган ЧУА нормативдери жана транспорт менен жол стандарттарын жөнгө салуу стандарттары</t>
  </si>
  <si>
    <t xml:space="preserve">Тармактык программаларды аткаруунун деңгээли </t>
  </si>
  <si>
    <t xml:space="preserve">Планга карата жолдордун оңдоп-түзөлүшү </t>
  </si>
  <si>
    <t>Жолдордун тейленген жана пландаштырылган участкаларынын үлүшү</t>
  </si>
  <si>
    <t>жолдорду тейлөөгө болгон арыздардын саны</t>
  </si>
  <si>
    <t>Коюлган жол белгилеринин саны</t>
  </si>
  <si>
    <t xml:space="preserve">Стандарт боюнча  зарыл болгон жалпы сандан  алып коюлган жол чырактарынын  үлүшү </t>
  </si>
  <si>
    <t xml:space="preserve">акыркы оңдоп-түзөөдөн кийин кайрадан жаңыртууну талап кылган жолдордун узундугу </t>
  </si>
  <si>
    <t>Бүткөн жолдордун узундугу</t>
  </si>
  <si>
    <t>Жолдун убактысын кыскартуу</t>
  </si>
  <si>
    <t>Транспорттук каражаттардын кыймылынын интенсивдүүлүгү</t>
  </si>
  <si>
    <t>Кар көчкү менен байланыштуу жол транспорттук кырсыгын жоюу</t>
  </si>
  <si>
    <t>жол куруу техникасын оңдоо үчүн мастерскойлорду куруу</t>
  </si>
  <si>
    <t>Салмак-тыш өлчөө параметрин бузуу факторлоруна  
бөгөт коюу жана транспорт тармагындагы көрсөтүлгөн кызмат сапатын жогорулату</t>
  </si>
  <si>
    <t>арыздардын саны</t>
  </si>
  <si>
    <t>Кыргыз Республикасын калктуу конуштарын үзгүлтүксүз  жүргүнчү ташуу каттамы менен камсыздоо</t>
  </si>
  <si>
    <t>Эл аралык жүк ташууда ата-мекендик айдоочуларды көбөйтүү</t>
  </si>
  <si>
    <t>бузуулардын саны</t>
  </si>
  <si>
    <t>Учак кырсыгынын саны</t>
  </si>
  <si>
    <t xml:space="preserve">Учуу убактысы 1УК-50000саат </t>
  </si>
  <si>
    <t xml:space="preserve">Эл аралык талаптарга ылайык  Кыргыз Республикасынын авиация ченемдерин ишке ашыруу жана жакшыртуу </t>
  </si>
  <si>
    <t xml:space="preserve">Техникалык жогорку  кесиптик  билими жана квалификациясы бар адистерди чыгаруу. </t>
  </si>
  <si>
    <t>адам</t>
  </si>
  <si>
    <t xml:space="preserve">Орто кесиптик  билими бар дипломдуу адистердин чыгышы  </t>
  </si>
  <si>
    <t xml:space="preserve">Жогорку кесиптик  билими бар дипломдуу адистерди чыгаруу </t>
  </si>
  <si>
    <t>Жогорку  техникалык, орто кесиптик билими бар жана кайра даярдоодон өткөн адистерди чыгаруу</t>
  </si>
  <si>
    <t xml:space="preserve">78/381 </t>
  </si>
  <si>
    <t>Учурдагы оңдоолор (чуңкурларды оңдоо, түздөө, пландоо ж.б.)</t>
  </si>
  <si>
    <t>Автомобилдик жолдорду оңдоп-түзөп туруу (жолдорду жайы-кышы тазалап, оңдоп-түзөө)</t>
  </si>
  <si>
    <t>Өтүү бөлүгүн чийүү, жол белгилерин жана жол чырактарын орнотуу</t>
  </si>
  <si>
    <t xml:space="preserve">Эл аралык транспорттук коридорлорду реабилитациялоо 
</t>
  </si>
  <si>
    <t>Чыгыш багытындагы эл аралык  транспорттук коридорлорду реабилитациялоо  (Бишкек-Нарын-Торугарт)</t>
  </si>
  <si>
    <t>Батыш  багытындагы эл аралык  транспорттук коридорлорду реабилитациялоо (Ош-Баткен-Исфана)</t>
  </si>
  <si>
    <t>Батыш багытындагы эл аралык  транспорттук коридорлорду реабилитациялоо (Бишкек-Ош)</t>
  </si>
  <si>
    <t>Эл аралык  транспорттук коридорлорду реабилитациялоо (Түндүк-Түштүк)</t>
  </si>
  <si>
    <t>Жолду кароо үчүн жол техникаларын оңдоочу жайды жакшыртуу долбоору.</t>
  </si>
  <si>
    <t xml:space="preserve">Кыргыз Республикасынын жалпы колдонуудагы автоунаа жолдорунун сакталышына карата иш чаралардын өткөрүлүшү жана автоунаа, суу транспорт тармагын жөнгө салуу </t>
  </si>
  <si>
    <t>Учуу (аба) коопсуздугун камсыз кылуу</t>
  </si>
  <si>
    <t xml:space="preserve">Орто кесиптик  билим берүү  программасы  боюнча  жарандык авиацияга квалификациялуу  техникалык авиациялык адистерди  бюджеттик негизде мамлекеттик буйрутмага ылайык даярдоо    </t>
  </si>
  <si>
    <t>448,1/100</t>
  </si>
  <si>
    <t>449,1/100</t>
  </si>
  <si>
    <t>454,0/100</t>
  </si>
  <si>
    <t>252,3/100</t>
  </si>
  <si>
    <t>254,8/100</t>
  </si>
  <si>
    <t>257,3/100</t>
  </si>
  <si>
    <t>259,8/100</t>
  </si>
  <si>
    <t>263,4/100</t>
  </si>
  <si>
    <t>127/381</t>
  </si>
  <si>
    <t>165/630</t>
  </si>
  <si>
    <t>265/500</t>
  </si>
  <si>
    <t>261/500</t>
  </si>
  <si>
    <t>273/500</t>
  </si>
  <si>
    <t>105/630</t>
  </si>
  <si>
    <t>210/500</t>
  </si>
  <si>
    <t>213/500</t>
  </si>
  <si>
    <r>
      <t xml:space="preserve">Пландоо, башкаруу жана администрациялоо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Программанын максаттары: Бул стратегияга киргизилген башка программалардын жүзөгө ашырылышына карата координациялык жана уюштуруучулук таасир этүү</t>
    </r>
  </si>
  <si>
    <t>Жалпы жетекчиликти камсыз кылуу</t>
  </si>
  <si>
    <t>Каржылык менеджментти жана эсепти камсыз кылуу</t>
  </si>
  <si>
    <t>Адам ресурстары жана уюштуруу иштери башкармалыгы</t>
  </si>
  <si>
    <t>Укуктук колдоо</t>
  </si>
  <si>
    <t>Тышкы байланышты жана коомчулук менен болгон байланышты кармап туруу</t>
  </si>
  <si>
    <t>Ишмердүүлүктү уюштуруу жана камсыздоо кызматы</t>
  </si>
  <si>
    <t>Ички мониторинг менен контролду камсыз кылуу (ички аудит кызматы)</t>
  </si>
  <si>
    <t>Саламаттык сактоо секторунун мониторингин, анализин жана стратегиялык пландалуусун камсыз кылуу</t>
  </si>
  <si>
    <t>Кыргыз Республикасынын саламаттык  жана саламаттык сактоо  боюнча мамлекеттик жана тармактык-статистикалык отчетторду колдоо, түзүү, талдоо</t>
  </si>
  <si>
    <t>Он-лайн режиминде иштөөчү электрондук системаларды киргизүү (2018-ж. - БД "Каттоого алынган калк" 2019-ж. - Борбордук регистрлер "Кадрдык ресурстар" "Төрөлгөндөр жана өлгөндөр жөнүндө" "ССУ маалымдамасы") 2020-2021-ж.ж. "Бейтаптын эл.мед. картасын киргизүү" "Врачтын кабыл алуусуна эл. түрдө жазылуу" "Лаборатордук системалар" "Багыттоо жана кайра багыттоо" ИС акырындык менен киргизүү</t>
  </si>
  <si>
    <t>Жеке медициналык ишмердүүлүктү лицензиялоо</t>
  </si>
  <si>
    <t>Медицина кызматкерлерин социалдык-маданий жактан камсыздоо</t>
  </si>
  <si>
    <r>
      <t xml:space="preserve">Коомдук саламаттык сактоо.             
</t>
    </r>
    <r>
      <rPr>
        <i/>
        <sz val="11"/>
        <rFont val="Times New Roman"/>
        <family val="1"/>
        <charset val="204"/>
      </rPr>
      <t xml:space="preserve">Программанын максаты: Инфекциялар, паразитардык жана жугуштуу оорулар менен күрөшүү боюнча алдын алуучу жана эпидемияга каршы иш-чараларды уюштуруу жана өткөрүү. </t>
    </r>
  </si>
  <si>
    <t xml:space="preserve">Адамдын ден соолугунун коопсуздугун камсыз кылуу боюнча алдын алуучу чаралар (азык-түлүк продукциясынан, суудан, имараттагы абадан, радиациялык фондон) </t>
  </si>
  <si>
    <t>Калкты иммундаштыруу саясаты</t>
  </si>
  <si>
    <t xml:space="preserve"> Мамлекеттик социалдык заказды жүзөгө ашыруунун чегинде калктын негизги тобу үчүн (ВЖА, ИБКА, МСМ, ТГ) ВИЧке байланыштууалдын алуу, камкордук көрүү жана колдоо боюнча кызматтардын комплекстик пакетин берүү</t>
  </si>
  <si>
    <t xml:space="preserve">Социалдык-олуттуу ооруларды лаборатордук диагностикалоо сапатына контролдук кылуу </t>
  </si>
  <si>
    <r>
      <t xml:space="preserve">Саламаттык сактоо кызматтарын көрсөтүүнү уюштуруу                                                               </t>
    </r>
    <r>
      <rPr>
        <sz val="11"/>
        <rFont val="Times New Roman"/>
        <family val="1"/>
        <charset val="204"/>
      </rPr>
      <t xml:space="preserve">Программанын максаты: Калктын бардык тобу үчүн көрсөтүлүүчү медициналык кызматтардын сапатын жакшыртуу жана жогоркутехнологиялык жол менен калкка кызмат көрсөтүү сапатын жогорулатуу   </t>
    </r>
  </si>
  <si>
    <t>БМСЖларга басым жасоо менен мамлекеттик саламаттык сактоо уюмдары тарабынан көрсөтүлүп жаткан  медициналык кызматтардын сапатын жакшыртуу</t>
  </si>
  <si>
    <t>Кант диабети менен жабыркаган бейтаптарды күн мурда аныктоо</t>
  </si>
  <si>
    <t>Дары каражаттары менен медициналык буюмдарды жүгүртүү маселелери боюнча саламаттык сактоо уюмдарынын маалымдуулугун жана потенциалын жогорулатуу</t>
  </si>
  <si>
    <t>Кан препараттары менен компоненттерин даярдоо</t>
  </si>
  <si>
    <t>Эне жана баланы саламаттыгын коргоо</t>
  </si>
  <si>
    <t>Калктын саламаттыгын калыбына келтирүү жана коомго интегралдаштыруу</t>
  </si>
  <si>
    <t xml:space="preserve">Кымбат баалуу жана жогорку технологиялык жардамдардарды, ошондой эле коштоочу жана консультациялык кызматтарды киргизүү жолу менен бейтаптардын жашоо шартын жакшыртуу. </t>
  </si>
  <si>
    <t>Кант диабети  жана кантсыз диабет  менен ооругандарды инсулин менен камсыздоо</t>
  </si>
  <si>
    <t>Соттук-медициналык экспертизаларды уюштуруу</t>
  </si>
  <si>
    <t>Антигемофилдик препараттар менен камсыздоо</t>
  </si>
  <si>
    <t xml:space="preserve">Онкологиялык бейтаптардын  химиопрепараттарга карата болгон мүмкүнчүлүгүн жакшыртуу </t>
  </si>
  <si>
    <t>Органдарына транплантациялоо өткөргөн  пациенттерди  имуносупрессорлор менен камсыздоо</t>
  </si>
  <si>
    <r>
      <t xml:space="preserve">Программанын аталышы:  Медициналык билим берүү жана саламаттык сактоо тармагындагы адам ресурстарын башкаруу                                </t>
    </r>
    <r>
      <rPr>
        <i/>
        <sz val="11"/>
        <rFont val="Times New Roman"/>
        <family val="1"/>
        <charset val="204"/>
      </rPr>
      <t xml:space="preserve">Программанын максаты:Республиканын саламаттык сактоо уюмдарын квалификациялуу медициналык кадрлар менен камсыздоо  </t>
    </r>
  </si>
  <si>
    <t>Жогорку медициналык билимдүү адистерди даярдоо</t>
  </si>
  <si>
    <t>Саламаттык сактоо тармагындагы кызматкерлердин квалификацияларын жогорулатуу</t>
  </si>
  <si>
    <t>Орто медициналык билимдүү адистерди даярдоо</t>
  </si>
  <si>
    <t>Мамлектеттик инвестициялардын долбоорлорун ишке ашыруу</t>
  </si>
  <si>
    <t>43. Кыргыз Республикасынын транспорт жана жол министрлиги</t>
  </si>
  <si>
    <t xml:space="preserve">Пландаштыруу, башкаруу жана  администрлөө                                                                                                    </t>
  </si>
  <si>
    <t>Программанын максаты: Башка программаларды жүзөгө ашырууга координацялоочу жана уюштуруучу таасир этүү жана алдыга коюлган маселелерди жүзөгө ашыруу</t>
  </si>
  <si>
    <t>ЧУАны иштеп чыгуу менен транспорт жана жол секторундагы мамлекеттик ызмат көрсөтүүлөрдүн сапатын жакшыртуу</t>
  </si>
  <si>
    <t>Транспорт, жол  жана жарандык авиацияны тармагын өнүктүрүү жана колдоо үчүн зарыл болгон финансы ресурстарын пландаштыруу</t>
  </si>
  <si>
    <t>Оңдоо-түзөө иштери үчүн долбоордук-изилдөөчүлүк иштерди жана экспертизаларды дайындоо</t>
  </si>
  <si>
    <t xml:space="preserve">Автомобиль жолдорунун сапатынын стандартка туура келишин текшерүү </t>
  </si>
  <si>
    <t xml:space="preserve">Жолдорду сактоо иретинде  зарыл болгон материалдык-техника менен камсыздоо </t>
  </si>
  <si>
    <t xml:space="preserve">Программанын максаты: Дүйнөлүк экономикалык системага интеграцияланууну жогорулатуу,   калктын жана республиканын экономикалык субъектилеринин товарлардын, жумуштун жана кызмат көрсөтүүлөрдүн региондук рыногуна жеткиликтүү болушун камсыздоо, транзиттик потенциалды өнүктүрүү жана транспорттук көз карандысыздыкты камсыздоо.                                                                                        </t>
  </si>
  <si>
    <t>Тараз-Талас-Суусамыр автожолун реабилитациялоо Ф-3 ,км 75-105 (ИБР,СФР) 3.5 долбоору боюнча эл аралык транспорттук коридорлорду реабилитациялоо</t>
  </si>
  <si>
    <t>Борбор Азиядагы жол каттамдарын жакшыртуу долбоорунун үчүнчү фазасы ( Түп-Кеген унаа жолу, 39 -76-км  жана туризмди өнүктүрүү)</t>
  </si>
  <si>
    <t>Бишкек-Ош жолун кар көчкүдөн коргоо долбоору (ЛСА) (Грант) ДБ</t>
  </si>
  <si>
    <t>"Бишкек шшарынын айланма жолун реконструкциялоо" долбоору (пландалган)</t>
  </si>
  <si>
    <t xml:space="preserve">Программанын максаты:  Автоунаа жолдорунун сакталышы жана көрсөтүлгөн транспорттук кызматтын коопсуздугун  жана сапатын камсыз кылуу </t>
  </si>
  <si>
    <t xml:space="preserve">Автоунаа жана сууда жүрүүчү транспорт тармагындагы ишмердүүлүктү лициензиялоо жана жөнгө салуу </t>
  </si>
  <si>
    <t xml:space="preserve">Транспорттук көзөмөлдү күчөтүү </t>
  </si>
  <si>
    <t>Программанын максаты: авиакаттамдар боюнча рынокту өнүктүрүү</t>
  </si>
  <si>
    <t>Аба транспорту менен калкты камсыздандыруу</t>
  </si>
  <si>
    <t xml:space="preserve">Авиация жана суу транспорт тармактарында квалификациялуу адистерди даярдоо                                                                                                                          </t>
  </si>
  <si>
    <t xml:space="preserve">Кыргыз Республикасынын жарандык авиация жана суу транспортуна  жогорку кесиптик  билим  берүү программасы  боюнча квалификациялуу  адистерди  даярдоо (контракт).  </t>
  </si>
  <si>
    <t xml:space="preserve">Кыргыз Республикасынын жарандык авиация жана суу транспортуна  орто  кесиптик  билим  берүү программасы  боюнча квалификациялуу  адистерди  даярдоо, кайра  даярдоо жана квалификациясын  жогорулатуу   (контракт) </t>
  </si>
  <si>
    <t>БАРДЫГЫ:</t>
  </si>
  <si>
    <t>1000 тирүү төрөлгөн наристелердин өлүмүнүн көрсөткүчү</t>
  </si>
  <si>
    <t>1000 тирүү төрөлгөн наристелердин энелеринин  өлүм  көрсөткүчү</t>
  </si>
  <si>
    <t>Балдар өлүмүнүн коэфициенти</t>
  </si>
  <si>
    <t>Кан айлануу системасынын ооруларынан келип чыккан өлүм</t>
  </si>
  <si>
    <t>Жалпы мамлекеттик чыгалашардан алганда саламаттык сактоо чыгашаларынын салыштырмалуу көлөмү</t>
  </si>
  <si>
    <t>Бюджеттин четтөө индекси</t>
  </si>
  <si>
    <t>Саламаттыкты сактоо министрлигинин аткаруучулук дисциплинасы</t>
  </si>
  <si>
    <t>Соттон утуп алган иштердин жалпы санына катышы</t>
  </si>
  <si>
    <t>Каржылоо</t>
  </si>
  <si>
    <t>(программалар/чаралар боюнча) (миң сом.)</t>
  </si>
  <si>
    <t>ССМ БА кызматкерлеринин жалпы санынан камсыздоо кызматынын кызматкерлеринин үлүшү</t>
  </si>
  <si>
    <t>Коррупцияга каршы күрөшүү боюнча Комиссия тарабынан өткөрүлгөн отурумдардын саны</t>
  </si>
  <si>
    <t>Калктын саламаттыгын сактоо жана саламаттык сактоо системасын өнүктүрүү боюнча  өткөрүлгөн координациялык кеңештердин саны</t>
  </si>
  <si>
    <t xml:space="preserve"> 2030-жылга чейинки Ден соолук программасын жүзөгө ашыруунун чегинде аткарылган иш-чаралардын катыштык үлүшү</t>
  </si>
  <si>
    <t>Электрондук саламаттык сактоо киргизилген СС уюмдарынын саны</t>
  </si>
  <si>
    <t>Саламаттык сактоо боюнча статистикалык отчетторду өз убагында жана сапаттуу тапшыруу</t>
  </si>
  <si>
    <t>Медико-профилактикалык кызмат көрсөтүүчү мекемелердин алган лицензиясынын саны</t>
  </si>
  <si>
    <t>Китепканаларды  колдонгондордун саны</t>
  </si>
  <si>
    <t xml:space="preserve">Библиотекалык фонд (баары) </t>
  </si>
  <si>
    <t>Электрондук библиотеканын Библиотекалык фонду</t>
  </si>
  <si>
    <t>Бала-бакчадагы орундардын саны</t>
  </si>
  <si>
    <t xml:space="preserve">Популяциялык баскычта ЖЭО алдын алуу кызматтары тарабынан  иштелип чыккан жана бекитилген стандарттарынын саны   </t>
  </si>
  <si>
    <t xml:space="preserve">"Коомдук саламаттыкты сактоо жөнүндө" мыйзамдын УЧА иштелип чыккан жана бектилген саны </t>
  </si>
  <si>
    <t>ISO 17025, ISO 15189-2009 боюнча лабораторияларды аккредитациялоо  (бардыгы  49 лаборатория)</t>
  </si>
  <si>
    <t>Лабораториялык сыноолорго киргизилген жаңы методдордун  саны</t>
  </si>
  <si>
    <t>Бруцулез оорусу</t>
  </si>
  <si>
    <t xml:space="preserve"> Калктын вирустук гепатит менен оорусу</t>
  </si>
  <si>
    <t>Курч мүнөздөгү ичеги оорулары</t>
  </si>
  <si>
    <t xml:space="preserve">Вакциндүү комплекске тартылышкан 2 жашка чейинки балдардын үлүшү </t>
  </si>
  <si>
    <t>Оорулардын алдын алуу боюнча колдонмону көбөйтүү</t>
  </si>
  <si>
    <t>Ден соолукту чыңдоо кабинетинин жаңы колдонмо менен окутулган адистеринин саны</t>
  </si>
  <si>
    <t>Мектеп директорлорунун  окуудан өтүшкөн  тарбия иштери боюнча орун басарларынын саны</t>
  </si>
  <si>
    <t>Иштелип чыккан маалымат-билим берүүчү материалдарынын саны</t>
  </si>
  <si>
    <t>Жыл сайын саламаттык сактоо үчүн ден соолукту чындоо кабинети боюнча семинарлардын өткөрүлгөн саны</t>
  </si>
  <si>
    <t>Жаңы колдонмо боюнча окуудан өтүшкөн ден соолукту чындоо кабинетинин адистеринин саны</t>
  </si>
  <si>
    <t>Бир жыл ичинде АДК адистерин окутуу үчүн 1600 айылга чыгууларынын саны</t>
  </si>
  <si>
    <t>ВИЧтин жаңы катталган саны</t>
  </si>
  <si>
    <t>ВИЧ-инфекцияга карата тестирлөөдөн өтүшкөн жана өз жыйынтыктарын билишкен кош бойлуу аялдардын үлүшү</t>
  </si>
  <si>
    <t xml:space="preserve">Өзүнүн макамын билген жана АРТ алышкан ВЖА үлүшү </t>
  </si>
  <si>
    <t xml:space="preserve">Бишкек, Ош шаарларында,  Чүй жана (түштүк чыгыш) Жалал-Абад  облустарындагы ВЖА, ИБКА, МСМ, СР, ТГ үчүн комплекстик пакет кызматын көрсөтүү </t>
  </si>
  <si>
    <t>Кыймылдуу эпидемиологиялык түзүлүштөрдүн (эпидотряддардын, мониторинг топторунун, биргелешкен изилдөө топторунун ) саны</t>
  </si>
  <si>
    <t>Социалдык өңүттөгү жугуштуу оорулардын сапатына тышкы баа берүү программаларына катышкан лабораториялардын саны.</t>
  </si>
  <si>
    <t xml:space="preserve">Залалдуу жаңы жаралыштардан улам келип чыккан өлүм саны  </t>
  </si>
  <si>
    <t>Кант диабетинен өлгөндөрдүн саны</t>
  </si>
  <si>
    <t>Респиратордук өнөкөт ооруларга байланыштуу келип чыккан өлүм саны</t>
  </si>
  <si>
    <t>БМСЖ ССУларындагы стационар алмаштыруучу бөлүмдөрдүн, жатак орундардын саны</t>
  </si>
  <si>
    <t>БМСЖ ССУларында дары-дармекке сезимтал кургак учук оорулууларын дарылоо эффективдүүлүгү</t>
  </si>
  <si>
    <t>Гипертония менен (AH) катталган оорулуулардын саны жалпы калктын санына жараша</t>
  </si>
  <si>
    <t xml:space="preserve">Жыл сайын иштелип чыккан жана кайра каралган клиникалык протоколдор жана колдонмолордун саны. </t>
  </si>
  <si>
    <t>Кант диабети менен катталгандардын саны</t>
  </si>
  <si>
    <t>Кургак учук менен ооругандардын бир жыл ичиндеги саны</t>
  </si>
  <si>
    <t>Туберкулинди сатып алуу</t>
  </si>
  <si>
    <t>Ар кандай багыттагы ЛС жана М кайрылуу боюнча саламаттык  сактоо уюмдарынын окутулган адистеринин саны</t>
  </si>
  <si>
    <t>Каттоого алынган "Сары -карталардын"  катталгандардын саны</t>
  </si>
  <si>
    <t>Кандын компоненттерин жана препараттарын даярдалган көлөмү</t>
  </si>
  <si>
    <t>Калктын аялуу катмарындагы аялдарды контрацептивдер менен камсыздоо</t>
  </si>
  <si>
    <t>Баштапкы медициналык-санитардык жардам мекемелеринде  бактериурияга - заара анализин, гемоглобинге карата кан анализин биринчи үч айлыкта тапшырышкан кош бойлуу аялдардын пайызын жогорулатуу</t>
  </si>
  <si>
    <t>Реабилитациялык борборлордо реабилитациядан өткөн оорулуулардын саны</t>
  </si>
  <si>
    <t>ЖТФ программасынын  алкагында кымбат баалуу жана жогорку технологиялуу жардам алууга мүмкүнчүлүгү бар бейтаптардын саны.</t>
  </si>
  <si>
    <t>Терминалдык баскычтагы өнөкөт бөйрөк оорусу менен жабыркашкан жана жеңилдетилген гемодиализдик дарылоого тартылышкан бейтаптардын учётто турган пациенттердин жалпы санына карата катыштыгы</t>
  </si>
  <si>
    <t>Кант диабети менен жабыркаган бейтаптарды инсулин менен камсыздоо</t>
  </si>
  <si>
    <t>Өлгөндөр боюнча жүргүзүлгөн соттук-медициналык экспертиза</t>
  </si>
  <si>
    <t xml:space="preserve">Жабыркагандар, айыпталуучулар жана башка жактар боюнча сурамдардын санына жараша жүргүзүлгөн соттук-медициналык экспертизалардын саны </t>
  </si>
  <si>
    <t>Антигемофилдик препараттар менен камсыздандырылган пациенттердин  үлүшү</t>
  </si>
  <si>
    <t xml:space="preserve"> Онкологиялык оорулар менен жабыркаган жана бюджеттин эсебинен химиялык дары-дармек алып жатышкан бейтаптардын үлүшү</t>
  </si>
  <si>
    <t>Химиопрепараттар менен камсыздоого камтылган онкологиялык оорулуу балдардын үлүшү</t>
  </si>
  <si>
    <t xml:space="preserve">Имуносупрессорлор менен камсыздоого камтылгандардын үлүшү </t>
  </si>
  <si>
    <t>СС Кадрлар ресурсун өнүктүрүү боюнча ЧУА саны</t>
  </si>
  <si>
    <t>Клиникалык базалардын үлүшү, алардын жалпы санына аккредитация өткөндөр</t>
  </si>
  <si>
    <t>10 миң адамга карата региондордогу дарыгер кадрлардын саны</t>
  </si>
  <si>
    <t>Сертификацияланган үй-бүлөлүк дарыгерлердин саны</t>
  </si>
  <si>
    <t xml:space="preserve">Алыскы региондордогу айыл жерлеринде жана чакан шаарларда иштеген жана кошумча дем берүү программасына киргизилген дарыгерлердин саны </t>
  </si>
  <si>
    <t xml:space="preserve">Дипломго чейинки деңгээлде республикалык бюджеттин эсебинен даярдалган КММАнын бүтүрүүчүлөрүнүн саны </t>
  </si>
  <si>
    <t>Дипломдон кийинки деңгээлде республикалык бюджеттин эсебинен даярдалган бүтүрүүчүлөрүнүн саны</t>
  </si>
  <si>
    <t xml:space="preserve">Республикалык бюджеттин эсебинен кайра даярдоодон өткөн адистердин саны </t>
  </si>
  <si>
    <t>Республикалык бюджеттин эсебинен квалификацияны жогорулатуу боюнча курстан өтүшкөн адистердин саны</t>
  </si>
  <si>
    <t xml:space="preserve">Кошумча профессионалдык билимге бекитилген/иштелип чыккан окуу планы жана программалары </t>
  </si>
  <si>
    <t xml:space="preserve">Республикалык бюджеттин эсебинен даярдалган медколледждердин бүтүрүүчүлөрүнүн саны </t>
  </si>
  <si>
    <t xml:space="preserve">СМО боюнча бекитилген/иштелип чыккан окуу планы жана программалары </t>
  </si>
  <si>
    <t xml:space="preserve">Тармактын өнүктүрүү  стратегиясынын иштелип чыгышы жана күчүнө кирүүсү </t>
  </si>
  <si>
    <t>техника менен камсыз болуусу</t>
  </si>
  <si>
    <t>Бүткөн жолдордун узундугу (км)</t>
  </si>
  <si>
    <t>Жолдун өтмөгүнүн убактысын кыскартуу</t>
  </si>
  <si>
    <t>Жол өтмөгүнүн  убактысын кыскартуу</t>
  </si>
  <si>
    <t>Жол өтмөгүнүн убактысын кыскартуу</t>
  </si>
  <si>
    <t xml:space="preserve">Галлереяларды куруу </t>
  </si>
  <si>
    <t>Транспорт жана жол сферасындагы бузуу фактысын токтотуу</t>
  </si>
  <si>
    <t>Учуу (аба)коопсуздугунун алгылыктуу денгээлине жетишүү</t>
  </si>
  <si>
    <t>1000 тирүү төрөлгөн учурга</t>
  </si>
  <si>
    <t>100 миң тирүү төрөлгөн учурга</t>
  </si>
  <si>
    <t>100 миң калкка</t>
  </si>
  <si>
    <t>пайыз</t>
  </si>
  <si>
    <t>саны</t>
  </si>
  <si>
    <t>Лицензиянын саны</t>
  </si>
  <si>
    <t>бирдик</t>
  </si>
  <si>
    <t>даана</t>
  </si>
  <si>
    <t>методиканын саны</t>
  </si>
  <si>
    <t>100 миң калкка көрсөткүчү</t>
  </si>
  <si>
    <t>канча жолу</t>
  </si>
  <si>
    <t xml:space="preserve">100 миң калкка </t>
  </si>
  <si>
    <t>100 мин калкка карата учурлар</t>
  </si>
  <si>
    <t>мин доз</t>
  </si>
  <si>
    <t xml:space="preserve">адам </t>
  </si>
  <si>
    <t>10 миң калкка</t>
  </si>
  <si>
    <t>окуу программалары</t>
  </si>
  <si>
    <t>баллдардын суммасы</t>
  </si>
  <si>
    <t>даана/%</t>
  </si>
  <si>
    <t>даана/м/%</t>
  </si>
  <si>
    <t xml:space="preserve">каттам </t>
  </si>
  <si>
    <t xml:space="preserve"> даана </t>
  </si>
  <si>
    <t>миң м2,%</t>
  </si>
  <si>
    <t>бирд.</t>
  </si>
  <si>
    <t>Адистиги боюнча бүтүрүүчүлөрдүн иш менен камсыз кылуу пайызы</t>
  </si>
  <si>
    <t xml:space="preserve"> 16,2 көп эмес</t>
  </si>
  <si>
    <t>30,0 көп эмес</t>
  </si>
  <si>
    <t>18,0 көп эмес</t>
  </si>
  <si>
    <t>факт боюнча</t>
  </si>
  <si>
    <t>2 аз эмес</t>
  </si>
  <si>
    <t>ВЖА-2000 ИБКА-2000, МСМ-2000, СР-1000.</t>
  </si>
  <si>
    <t>ВЖА-3000 ИБКА-3000, МСМ-3000, СР-2000.</t>
  </si>
  <si>
    <t>ВЖА-4000 ИБКА-4000, МСМ-4000, СР-3000.</t>
  </si>
  <si>
    <t>64,0 көп эмес</t>
  </si>
  <si>
    <t>2% көбөйүү</t>
  </si>
  <si>
    <t xml:space="preserve"> 2% көбөйүү</t>
  </si>
  <si>
    <t xml:space="preserve">37. Кыргыз Республикасынын Саламаттык сактоо министрлиги </t>
  </si>
  <si>
    <t>Транспорт, жол тармагы жана жарандык авиация тармагын өнүктүрүүнү башкаруу жана координациялоо (Жетекчилик)</t>
  </si>
  <si>
    <r>
      <rPr>
        <b/>
        <sz val="11"/>
        <rFont val="Times New Roman"/>
        <family val="1"/>
        <charset val="204"/>
      </rPr>
      <t xml:space="preserve">Жолдордун ички тармагын жумушчу стандартка ылайык келтирүү    </t>
    </r>
    <r>
      <rPr>
        <sz val="11"/>
        <rFont val="Times New Roman"/>
        <family val="1"/>
        <charset val="204"/>
      </rPr>
      <t xml:space="preserve">                            </t>
    </r>
    <r>
      <rPr>
        <i/>
        <sz val="11"/>
        <rFont val="Times New Roman"/>
        <family val="1"/>
        <charset val="204"/>
      </rPr>
      <t xml:space="preserve">Программанын максаты: Ички жолдор тармагынын инфраструктурасын стандарттарга ылайык керектүү абалда сактоо </t>
    </r>
  </si>
  <si>
    <t>Нормативдик талаптарга жооп берүүчү жолдордун үлүшү</t>
  </si>
  <si>
    <t>Укуктук-ченемдеги актыларга жооп берүүчү жолдордун узундугу</t>
  </si>
  <si>
    <t>Ички жана эл аралык багыттар боюнча аткарылган авиа ташуулардын санынын өсүшү</t>
  </si>
  <si>
    <t xml:space="preserve">Программанын максаты: Кыргыз Республикасынын жарандык авиация жана суу тармактарын  эмгек рыногунун талаптарына ылайык  квалификациялык адистер менен камсыз кылуу  </t>
  </si>
  <si>
    <t xml:space="preserve">Пилоттук министрликтердин программалык негиздеги бюджети </t>
  </si>
  <si>
    <t xml:space="preserve">«Кыргыз Республикасынын
2020-жылга республикалык бюджети жана
2021-2022-жылдарга болжолу жөнүндө»
Кыргыз Республикасынын Мыйзамына </t>
  </si>
  <si>
    <t>11-2-Тиркеме</t>
  </si>
  <si>
    <t>Бюджеттик программалар/
Бюджеттик чаралар</t>
  </si>
  <si>
    <t>2018-ж.</t>
  </si>
  <si>
    <t>2019-ж.</t>
  </si>
  <si>
    <t>2020-ж.</t>
  </si>
  <si>
    <t>2021-ж.</t>
  </si>
  <si>
    <t>2022-ж.</t>
  </si>
  <si>
    <t>Эпидемиологиялык көрсөткүчтөр боюнча (кутурма, чума, клещтин вирус энцефалити) вакцинациялангандардын үлүшү</t>
  </si>
  <si>
    <t>Ден соолукту чыңдоо маселелери боюнча калк менен маалыматтык иш алып баруу</t>
  </si>
  <si>
    <t>ВИЧ-инфекцияны алдын алуу, диагностикалоо жана камкордук көрүү чаралары</t>
  </si>
  <si>
    <t>Өлкөнүн жаратылыштык-табигый аймактарындагы эпидемиологиялык жана зоо-энтомологиялык көзөмөлдү камсыз кылуу, ошондой эле санитардык кайтаруу боюнча алдын алуучу чаралар</t>
  </si>
  <si>
    <t>Калктын социалдык аярлуу катмарынын арасынан кургак учук оорусун алдын ала аныктоо (туберкулинди сатып алуу)</t>
  </si>
  <si>
    <t>Саламаттык сактоо системасындагы кадрдык ресурстарды башкаруу процессин жакшыртуу</t>
  </si>
  <si>
    <t>Бардыгы (контролдук цифралар)</t>
  </si>
  <si>
    <t xml:space="preserve">Капиталдык оңдоо (көпүрөлөрдү жана жолдорду куруу) </t>
  </si>
  <si>
    <t>Орто оңдоо иштери  (асфальтобетон  төшөө түзүлүштөрү, ШПО, кара шагыл төшөө түзүлүштөрү, шагыл төшөө түзүлүштөрү)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</si>
</sst>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##,000__;\-###,000__"/>
    <numFmt numFmtId="165" formatCode="#,##0.0"/>
    <numFmt numFmtId="166" formatCode="##,#00__;\-##,#00__"/>
    <numFmt numFmtId="167" formatCode="0.0%"/>
    <numFmt numFmtId="168" formatCode="0.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 tint="0.1499984740745262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MS Sans Serif"/>
      <family val="2"/>
      <charset val="204"/>
    </font>
    <font>
      <sz val="1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/>
    <xf numFmtId="0" fontId="6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" fillId="0" borderId="0"/>
    <xf numFmtId="165" fontId="14" fillId="0" borderId="0"/>
    <xf numFmtId="0" fontId="15" fillId="0" borderId="0"/>
    <xf numFmtId="0" fontId="16" fillId="0" borderId="0"/>
    <xf numFmtId="0" fontId="16" fillId="0" borderId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02">
    <xf numFmtId="0" fontId="0" fillId="0" borderId="0" xfId="0"/>
    <xf numFmtId="0" fontId="3" fillId="2" borderId="4" xfId="0" applyFont="1" applyFill="1" applyBorder="1" applyAlignment="1">
      <alignment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left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0" fontId="3" fillId="2" borderId="4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2" applyFont="1" applyFill="1" applyBorder="1" applyAlignment="1">
      <alignment vertical="center" wrapText="1"/>
    </xf>
    <xf numFmtId="9" fontId="3" fillId="2" borderId="4" xfId="0" applyNumberFormat="1" applyFont="1" applyFill="1" applyBorder="1" applyAlignment="1">
      <alignment horizontal="center" vertical="center"/>
    </xf>
    <xf numFmtId="9" fontId="3" fillId="2" borderId="4" xfId="4" applyFont="1" applyFill="1" applyBorder="1" applyAlignment="1">
      <alignment horizontal="center" vertical="center" wrapText="1"/>
    </xf>
    <xf numFmtId="9" fontId="3" fillId="2" borderId="4" xfId="0" applyNumberFormat="1" applyFont="1" applyFill="1" applyBorder="1" applyAlignment="1">
      <alignment vertical="center" wrapText="1"/>
    </xf>
    <xf numFmtId="9" fontId="3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vertical="center"/>
    </xf>
    <xf numFmtId="165" fontId="2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/>
    <xf numFmtId="3" fontId="3" fillId="2" borderId="4" xfId="0" applyNumberFormat="1" applyFont="1" applyFill="1" applyBorder="1" applyAlignment="1">
      <alignment vertical="center" wrapText="1"/>
    </xf>
    <xf numFmtId="164" fontId="3" fillId="0" borderId="4" xfId="0" applyNumberFormat="1" applyFont="1" applyFill="1" applyBorder="1" applyAlignment="1">
      <alignment horizontal="right" vertical="center"/>
    </xf>
    <xf numFmtId="166" fontId="3" fillId="0" borderId="4" xfId="0" applyNumberFormat="1" applyFont="1" applyFill="1" applyBorder="1" applyAlignment="1">
      <alignment horizontal="right" vertical="center"/>
    </xf>
    <xf numFmtId="165" fontId="3" fillId="2" borderId="4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top" wrapText="1"/>
    </xf>
    <xf numFmtId="9" fontId="3" fillId="2" borderId="4" xfId="4" applyFont="1" applyFill="1" applyBorder="1" applyAlignment="1">
      <alignment vertical="center" wrapText="1"/>
    </xf>
    <xf numFmtId="1" fontId="3" fillId="2" borderId="4" xfId="4" applyNumberFormat="1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/>
    </xf>
    <xf numFmtId="0" fontId="8" fillId="2" borderId="4" xfId="1" applyFont="1" applyFill="1" applyBorder="1" applyAlignment="1">
      <alignment vertical="center" wrapText="1"/>
    </xf>
    <xf numFmtId="165" fontId="8" fillId="0" borderId="4" xfId="1" applyNumberFormat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vertical="center" wrapText="1"/>
    </xf>
    <xf numFmtId="165" fontId="8" fillId="2" borderId="4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1" fontId="3" fillId="2" borderId="4" xfId="4" applyNumberFormat="1" applyFont="1" applyFill="1" applyBorder="1" applyAlignment="1">
      <alignment horizontal="center" vertical="center" wrapText="1"/>
    </xf>
    <xf numFmtId="1" fontId="8" fillId="2" borderId="4" xfId="1" applyNumberFormat="1" applyFont="1" applyFill="1" applyBorder="1" applyAlignment="1">
      <alignment horizontal="center" vertical="center" wrapText="1"/>
    </xf>
    <xf numFmtId="168" fontId="8" fillId="2" borderId="4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 wrapText="1"/>
    </xf>
    <xf numFmtId="3" fontId="8" fillId="2" borderId="4" xfId="1" applyNumberFormat="1" applyFont="1" applyFill="1" applyBorder="1" applyAlignment="1">
      <alignment horizontal="center" vertical="center" wrapText="1"/>
    </xf>
    <xf numFmtId="167" fontId="3" fillId="2" borderId="4" xfId="1" applyNumberFormat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/>
    </xf>
    <xf numFmtId="3" fontId="8" fillId="0" borderId="4" xfId="1" applyNumberFormat="1" applyFont="1" applyFill="1" applyBorder="1" applyAlignment="1">
      <alignment horizontal="center" vertical="center" wrapText="1"/>
    </xf>
    <xf numFmtId="3" fontId="8" fillId="0" borderId="4" xfId="1" applyNumberFormat="1" applyFont="1" applyBorder="1" applyAlignment="1">
      <alignment horizontal="center" vertical="center" wrapText="1"/>
    </xf>
    <xf numFmtId="0" fontId="3" fillId="0" borderId="4" xfId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vertical="center" wrapText="1"/>
    </xf>
    <xf numFmtId="165" fontId="3" fillId="0" borderId="4" xfId="0" applyNumberFormat="1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top" wrapText="1"/>
    </xf>
    <xf numFmtId="165" fontId="2" fillId="2" borderId="4" xfId="3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wrapText="1"/>
    </xf>
    <xf numFmtId="49" fontId="8" fillId="0" borderId="4" xfId="1" applyNumberFormat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164" fontId="3" fillId="2" borderId="4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 wrapText="1"/>
    </xf>
    <xf numFmtId="16" fontId="3" fillId="2" borderId="4" xfId="1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165" fontId="3" fillId="2" borderId="4" xfId="0" applyNumberFormat="1" applyFont="1" applyFill="1" applyBorder="1" applyAlignment="1">
      <alignment horizontal="center" vertical="center"/>
    </xf>
    <xf numFmtId="16" fontId="3" fillId="2" borderId="4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8" fillId="0" borderId="0" xfId="0" applyFont="1"/>
    <xf numFmtId="0" fontId="3" fillId="2" borderId="4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right" vertical="center" wrapText="1"/>
    </xf>
    <xf numFmtId="16" fontId="2" fillId="3" borderId="5" xfId="0" applyNumberFormat="1" applyFont="1" applyFill="1" applyBorder="1" applyAlignment="1">
      <alignment vertical="center" wrapText="1"/>
    </xf>
    <xf numFmtId="16" fontId="2" fillId="3" borderId="7" xfId="0" applyNumberFormat="1" applyFont="1" applyFill="1" applyBorder="1" applyAlignment="1">
      <alignment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165" fontId="7" fillId="2" borderId="4" xfId="0" applyNumberFormat="1" applyFont="1" applyFill="1" applyBorder="1" applyAlignment="1">
      <alignment horizontal="left" vertical="center" wrapText="1"/>
    </xf>
    <xf numFmtId="165" fontId="7" fillId="2" borderId="4" xfId="1" applyNumberFormat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8" fillId="2" borderId="4" xfId="1" applyNumberFormat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49" fontId="8" fillId="0" borderId="4" xfId="1" applyNumberFormat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165" fontId="3" fillId="3" borderId="4" xfId="0" applyNumberFormat="1" applyFont="1" applyFill="1" applyBorder="1"/>
    <xf numFmtId="0" fontId="3" fillId="2" borderId="4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top"/>
    </xf>
    <xf numFmtId="49" fontId="2" fillId="0" borderId="4" xfId="0" applyNumberFormat="1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wrapText="1"/>
    </xf>
    <xf numFmtId="164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5" xfId="3" applyNumberFormat="1" applyFont="1" applyFill="1" applyBorder="1" applyAlignment="1">
      <alignment horizontal="center" vertical="center" wrapText="1"/>
    </xf>
    <xf numFmtId="165" fontId="2" fillId="2" borderId="7" xfId="3" applyNumberFormat="1" applyFont="1" applyFill="1" applyBorder="1" applyAlignment="1">
      <alignment horizontal="center" vertical="center" wrapText="1"/>
    </xf>
    <xf numFmtId="165" fontId="2" fillId="2" borderId="6" xfId="3" applyNumberFormat="1" applyFont="1" applyFill="1" applyBorder="1" applyAlignment="1">
      <alignment horizontal="center" vertical="center" wrapText="1"/>
    </xf>
    <xf numFmtId="165" fontId="3" fillId="2" borderId="5" xfId="3" applyNumberFormat="1" applyFont="1" applyFill="1" applyBorder="1" applyAlignment="1">
      <alignment horizontal="center" vertical="center" wrapText="1"/>
    </xf>
    <xf numFmtId="165" fontId="3" fillId="2" borderId="7" xfId="3" applyNumberFormat="1" applyFont="1" applyFill="1" applyBorder="1" applyAlignment="1">
      <alignment horizontal="center" vertical="center" wrapText="1"/>
    </xf>
    <xf numFmtId="165" fontId="3" fillId="2" borderId="6" xfId="3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165" fontId="3" fillId="2" borderId="4" xfId="0" applyNumberFormat="1" applyFont="1" applyFill="1" applyBorder="1" applyAlignment="1">
      <alignment horizontal="center" vertical="center" wrapText="1"/>
    </xf>
    <xf numFmtId="166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 wrapText="1"/>
    </xf>
    <xf numFmtId="16" fontId="3" fillId="2" borderId="4" xfId="1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165" fontId="3" fillId="2" borderId="4" xfId="0" applyNumberFormat="1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left" vertical="center" wrapText="1"/>
    </xf>
    <xf numFmtId="16" fontId="3" fillId="2" borderId="4" xfId="0" applyNumberFormat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5" fillId="2" borderId="3" xfId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</cellXfs>
  <cellStyles count="17">
    <cellStyle name="Normal 4" xfId="6"/>
    <cellStyle name="Normal_Sheet1" xfId="7"/>
    <cellStyle name="Денежный 2" xfId="15"/>
    <cellStyle name="Обычный" xfId="0" builtinId="0"/>
    <cellStyle name="Обычный 2" xfId="1"/>
    <cellStyle name="Обычный 2 2" xfId="14"/>
    <cellStyle name="Обычный 3" xfId="2"/>
    <cellStyle name="Обычный 4" xfId="8"/>
    <cellStyle name="Обычный 5" xfId="9"/>
    <cellStyle name="Обычный 6" xfId="5"/>
    <cellStyle name="Процентный 2" xfId="10"/>
    <cellStyle name="Процентный 3" xfId="11"/>
    <cellStyle name="Процентный 4" xfId="4"/>
    <cellStyle name="Финансовый" xfId="3" builtinId="3"/>
    <cellStyle name="Финансовый 2" xfId="12"/>
    <cellStyle name="Финансовый 3" xfId="13"/>
    <cellStyle name="Финансовый 4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58;&#1063;&#1045;&#1058;%20&#1055;&#1041;/&#1086;&#1090;&#1095;&#1077;&#1090;%20&#1087;&#1086;%20&#1080;&#1089;&#1087;&#1086;&#1083;&#1085;&#1077;&#1085;&#1080;&#1102;%20&#1076;&#1083;&#1103;%20&#1052;&#1060;&#1050;&#10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56;&#1054;&#1043;&#1056;&#1040;&#1052;&#1052;&#1053;&#1067;&#1049;%20&#1041;&#1070;&#1044;&#1046;&#1045;&#1058;/&#1044;&#1086;&#1088;&#1072;&#1073;&#1086;&#1090;&#1072;&#1085;&#1085;&#1099;&#1081;%20&#1055;&#1041;%20250918/&#1057;&#1042;&#1054;&#1044;&#1053;&#1040;&#1071;%20&#1058;&#1040;&#1041;&#1051;&#1048;&#1062;&#1040;/&#1085;&#1072;%20&#1088;&#1091;&#1089;&#1089;&#1082;&#1086;&#1084;/&#1055;&#1041;%20&#1085;&#1072;%202019-2021%20&#1085;&#1072;%20&#1088;&#1091;&#1089;&#1089;&#1082;&#1086;&#10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0;&#1089;&#1087;&#1086;&#1083;&#1085;&#1077;&#1085;&#1080;&#1077;%20&#1079;&#1072;%202018%20&#1075;&#1086;&#1076;/&#1089;&#1074;&#1086;&#1076;&#1085;&#1072;&#1103;%20&#1090;&#1072;&#1073;&#1083;&#1080;&#1094;&#1072;%20&#1087;&#1086;%20&#1080;&#1089;&#1087;&#1086;&#1083;&#1085;&#1077;&#1085;&#1080;&#1102;%20&#1079;&#1072;%202018%20&#1075;&#1086;&#107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19%20&#1043;&#1054;&#1044;/&#1041;&#1070;&#1044;&#1046;&#1045;&#1058;/&#1047;&#1050;&#1056;&#1085;&#1072;2019/&#1055;&#1088;&#1080;&#1083;&#1086;&#1078;&#1077;&#1085;&#1080;&#1077;%206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7;&#1057;&#1041;&#1056;%20&#1053;&#1040;%202020-2022%20&#1043;&#1043;/&#1057;&#1057;&#1041;&#1056;%20&#1085;&#1072;%202020-2022%20&#1075;&#1075;/&#1054;&#1090;&#1074;&#1077;&#1090;&#1099;/&#1040;&#1074;&#1080;&#1072;&#1080;&#1085;&#1089;&#1090;&#1080;&#1090;&#1091;&#1090;/&#1050;&#1086;&#1087;&#1080;&#1103;%20&#1041;&#1062;&#1080;&#1088;&#1082;.2019-2021%20&#1088;&#1091;&#1089;&#1089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1"/>
      <sheetName val="приложение1-1"/>
      <sheetName val="Лист6"/>
      <sheetName val="ПГИ"/>
      <sheetName val="Лист1"/>
    </sheetNames>
    <sheetDataSet>
      <sheetData sheetId="0" refreshError="1">
        <row r="32">
          <cell r="L32">
            <v>1116578.4999999998</v>
          </cell>
        </row>
        <row r="44">
          <cell r="L44">
            <v>364834.1</v>
          </cell>
        </row>
        <row r="47">
          <cell r="L47">
            <v>18000</v>
          </cell>
        </row>
        <row r="48">
          <cell r="L48">
            <v>15000</v>
          </cell>
        </row>
        <row r="49">
          <cell r="L49">
            <v>3000</v>
          </cell>
        </row>
        <row r="50">
          <cell r="L50">
            <v>11000</v>
          </cell>
        </row>
        <row r="51">
          <cell r="L51">
            <v>166176.20000000001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1 "/>
      <sheetName val="приложение  2"/>
      <sheetName val="приложение 3ЦА"/>
      <sheetName val="приложение3ДДХ"/>
      <sheetName val="приложение3ААВТиВК"/>
      <sheetName val="приложение3АГА"/>
      <sheetName val="приложение3Авиак"/>
      <sheetName val="приложение4-1"/>
      <sheetName val="приложение 4-2"/>
      <sheetName val="проекты"/>
      <sheetName val="Лист1"/>
    </sheetNames>
    <sheetDataSet>
      <sheetData sheetId="0" refreshError="1">
        <row r="26">
          <cell r="J26">
            <v>1054267.8</v>
          </cell>
        </row>
        <row r="38">
          <cell r="J38">
            <v>289000</v>
          </cell>
        </row>
        <row r="41">
          <cell r="J41">
            <v>18000</v>
          </cell>
        </row>
        <row r="42">
          <cell r="J42">
            <v>15000</v>
          </cell>
        </row>
        <row r="43">
          <cell r="J43">
            <v>152291.9</v>
          </cell>
        </row>
        <row r="44">
          <cell r="J44">
            <v>11000</v>
          </cell>
        </row>
        <row r="45">
          <cell r="J45">
            <v>166541.29999999999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свод ГРИП"/>
      <sheetName val="текущийбюджет"/>
      <sheetName val="МФКР"/>
      <sheetName val="утвзакон"/>
      <sheetName val="уточзакон"/>
      <sheetName val="ЦА"/>
      <sheetName val="ДДХ"/>
      <sheetName val="АГА"/>
      <sheetName val="Авиаинститут"/>
      <sheetName val="ГРИПИБР"/>
      <sheetName val="ГРИПАБР"/>
      <sheetName val="ГРИПВБ"/>
    </sheetNames>
    <sheetDataSet>
      <sheetData sheetId="0" refreshError="1">
        <row r="9">
          <cell r="F9">
            <v>192053.80000000002</v>
          </cell>
        </row>
        <row r="10">
          <cell r="F10">
            <v>142322.19999999998</v>
          </cell>
        </row>
        <row r="11">
          <cell r="F11">
            <v>12989.699999999999</v>
          </cell>
        </row>
        <row r="14">
          <cell r="F14">
            <v>22852.799999999999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"/>
      <sheetName val="текущий бюджет"/>
      <sheetName val="ПГИ"/>
      <sheetName val="ГРИП"/>
      <sheetName val="Лист2"/>
    </sheetNames>
    <sheetDataSet>
      <sheetData sheetId="0" refreshError="1">
        <row r="991">
          <cell r="C991">
            <v>43138</v>
          </cell>
        </row>
        <row r="1043">
          <cell r="D1043">
            <v>12148.1</v>
          </cell>
          <cell r="E1043">
            <v>12383.2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1 "/>
      <sheetName val="приложение  2"/>
      <sheetName val="приложение 3"/>
      <sheetName val="приложение 4-1"/>
      <sheetName val="приложение 4-2"/>
      <sheetName val="Лист2"/>
      <sheetName val="Лист1"/>
    </sheetNames>
    <sheetDataSet>
      <sheetData sheetId="0" refreshError="1"/>
      <sheetData sheetId="1" refreshError="1">
        <row r="12">
          <cell r="J12">
            <v>20305.3</v>
          </cell>
        </row>
        <row r="22">
          <cell r="J22">
            <v>19566.400000000001</v>
          </cell>
        </row>
        <row r="32">
          <cell r="J32">
            <v>21512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6"/>
  <sheetViews>
    <sheetView tabSelected="1" zoomScale="80" zoomScaleNormal="80" workbookViewId="0">
      <selection activeCell="E133" sqref="E133:E135"/>
    </sheetView>
  </sheetViews>
  <sheetFormatPr defaultRowHeight="15" x14ac:dyDescent="0.25"/>
  <cols>
    <col min="1" max="3" width="9.140625" style="96"/>
    <col min="4" max="4" width="32.42578125" style="96" customWidth="1"/>
    <col min="5" max="6" width="13.140625" style="96" customWidth="1"/>
    <col min="7" max="7" width="13.140625" style="96" bestFit="1" customWidth="1"/>
    <col min="8" max="8" width="13.140625" style="96" customWidth="1"/>
    <col min="9" max="9" width="13.85546875" style="96" customWidth="1"/>
    <col min="10" max="10" width="30.85546875" style="96" customWidth="1"/>
    <col min="11" max="16384" width="9.140625" style="96"/>
  </cols>
  <sheetData>
    <row r="1" spans="1:16" ht="15" customHeight="1" x14ac:dyDescent="0.25">
      <c r="K1" s="198" t="s">
        <v>293</v>
      </c>
      <c r="L1" s="198"/>
      <c r="M1" s="198"/>
      <c r="N1" s="198"/>
      <c r="O1" s="198"/>
      <c r="P1" s="198"/>
    </row>
    <row r="2" spans="1:16" x14ac:dyDescent="0.25">
      <c r="K2" s="198"/>
      <c r="L2" s="198"/>
      <c r="M2" s="198"/>
      <c r="N2" s="198"/>
      <c r="O2" s="198"/>
      <c r="P2" s="198"/>
    </row>
    <row r="3" spans="1:16" x14ac:dyDescent="0.25">
      <c r="K3" s="198"/>
      <c r="L3" s="198"/>
      <c r="M3" s="198"/>
      <c r="N3" s="198"/>
      <c r="O3" s="198"/>
      <c r="P3" s="198"/>
    </row>
    <row r="4" spans="1:16" x14ac:dyDescent="0.25">
      <c r="K4" s="198"/>
      <c r="L4" s="198"/>
      <c r="M4" s="198"/>
      <c r="N4" s="198"/>
      <c r="O4" s="198"/>
      <c r="P4" s="198"/>
    </row>
    <row r="5" spans="1:16" ht="15" customHeight="1" x14ac:dyDescent="0.25">
      <c r="A5" s="149" t="s">
        <v>292</v>
      </c>
      <c r="B5" s="149"/>
      <c r="C5" s="149"/>
      <c r="D5" s="149"/>
      <c r="E5" s="19"/>
      <c r="F5" s="19"/>
      <c r="G5" s="19"/>
      <c r="H5" s="19"/>
      <c r="I5" s="19"/>
      <c r="J5" s="20"/>
      <c r="K5" s="199" t="s">
        <v>294</v>
      </c>
      <c r="L5" s="199"/>
      <c r="M5" s="199"/>
      <c r="N5" s="199"/>
      <c r="O5" s="199"/>
      <c r="P5" s="199"/>
    </row>
    <row r="6" spans="1:16" ht="15" customHeight="1" x14ac:dyDescent="0.25">
      <c r="A6" s="20"/>
      <c r="B6" s="19"/>
      <c r="C6" s="19"/>
      <c r="D6" s="21"/>
      <c r="E6" s="19"/>
      <c r="F6" s="19"/>
      <c r="G6" s="19"/>
      <c r="H6" s="19"/>
      <c r="I6" s="19"/>
      <c r="J6" s="20"/>
      <c r="K6" s="20"/>
      <c r="L6" s="20"/>
      <c r="M6" s="20"/>
      <c r="O6" s="20"/>
      <c r="P6" s="20"/>
    </row>
    <row r="7" spans="1:16" ht="15" customHeight="1" x14ac:dyDescent="0.25">
      <c r="A7" s="150" t="s">
        <v>27</v>
      </c>
      <c r="B7" s="151" t="s">
        <v>28</v>
      </c>
      <c r="C7" s="151" t="s">
        <v>42</v>
      </c>
      <c r="D7" s="152" t="s">
        <v>295</v>
      </c>
      <c r="E7" s="153" t="s">
        <v>169</v>
      </c>
      <c r="F7" s="154"/>
      <c r="G7" s="154"/>
      <c r="H7" s="154"/>
      <c r="I7" s="155"/>
      <c r="J7" s="163" t="s">
        <v>43</v>
      </c>
      <c r="K7" s="165" t="s">
        <v>44</v>
      </c>
      <c r="L7" s="166" t="s">
        <v>45</v>
      </c>
      <c r="M7" s="167"/>
      <c r="N7" s="167"/>
      <c r="O7" s="167"/>
      <c r="P7" s="168"/>
    </row>
    <row r="8" spans="1:16" ht="15" customHeight="1" x14ac:dyDescent="0.25">
      <c r="A8" s="150"/>
      <c r="B8" s="151"/>
      <c r="C8" s="151"/>
      <c r="D8" s="152"/>
      <c r="E8" s="156" t="s">
        <v>170</v>
      </c>
      <c r="F8" s="157"/>
      <c r="G8" s="157"/>
      <c r="H8" s="157"/>
      <c r="I8" s="158"/>
      <c r="J8" s="163"/>
      <c r="K8" s="165"/>
      <c r="L8" s="169"/>
      <c r="M8" s="170"/>
      <c r="N8" s="170"/>
      <c r="O8" s="170"/>
      <c r="P8" s="171"/>
    </row>
    <row r="9" spans="1:16" ht="15.75" customHeight="1" x14ac:dyDescent="0.25">
      <c r="A9" s="150"/>
      <c r="B9" s="151"/>
      <c r="C9" s="151"/>
      <c r="D9" s="152"/>
      <c r="E9" s="63" t="s">
        <v>296</v>
      </c>
      <c r="F9" s="63" t="s">
        <v>297</v>
      </c>
      <c r="G9" s="63" t="s">
        <v>298</v>
      </c>
      <c r="H9" s="63" t="s">
        <v>299</v>
      </c>
      <c r="I9" s="63" t="s">
        <v>300</v>
      </c>
      <c r="J9" s="163"/>
      <c r="K9" s="165"/>
      <c r="L9" s="95">
        <v>2018</v>
      </c>
      <c r="M9" s="95">
        <v>2019</v>
      </c>
      <c r="N9" s="95">
        <v>2020</v>
      </c>
      <c r="O9" s="95">
        <v>2021</v>
      </c>
      <c r="P9" s="95">
        <v>2022</v>
      </c>
    </row>
    <row r="10" spans="1:16" ht="15" customHeight="1" x14ac:dyDescent="0.25">
      <c r="A10" s="159" t="s">
        <v>285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</row>
    <row r="11" spans="1:16" ht="60" customHeight="1" x14ac:dyDescent="0.25">
      <c r="A11" s="160">
        <v>1</v>
      </c>
      <c r="B11" s="161"/>
      <c r="C11" s="161"/>
      <c r="D11" s="162" t="s">
        <v>103</v>
      </c>
      <c r="E11" s="141">
        <f>SUM(E15:E29)</f>
        <v>74410.489810856947</v>
      </c>
      <c r="F11" s="141">
        <f>SUM(F15:F29)</f>
        <v>81325.799999999988</v>
      </c>
      <c r="G11" s="141">
        <f>SUM(G15:G32)</f>
        <v>98507.239999999991</v>
      </c>
      <c r="H11" s="141">
        <f>SUM(H15:H29)</f>
        <v>98030.399999999994</v>
      </c>
      <c r="I11" s="141">
        <f>SUM(I15:I29)</f>
        <v>99841.73000000001</v>
      </c>
      <c r="J11" s="53" t="s">
        <v>161</v>
      </c>
      <c r="K11" s="73" t="s">
        <v>249</v>
      </c>
      <c r="L11" s="87">
        <v>14.8</v>
      </c>
      <c r="M11" s="87" t="s">
        <v>274</v>
      </c>
      <c r="N11" s="87" t="s">
        <v>274</v>
      </c>
      <c r="O11" s="87" t="s">
        <v>274</v>
      </c>
      <c r="P11" s="87" t="s">
        <v>274</v>
      </c>
    </row>
    <row r="12" spans="1:16" ht="60" x14ac:dyDescent="0.25">
      <c r="A12" s="160"/>
      <c r="B12" s="161"/>
      <c r="C12" s="161"/>
      <c r="D12" s="162"/>
      <c r="E12" s="141"/>
      <c r="F12" s="141"/>
      <c r="G12" s="141"/>
      <c r="H12" s="141"/>
      <c r="I12" s="141"/>
      <c r="J12" s="53" t="s">
        <v>162</v>
      </c>
      <c r="K12" s="73" t="s">
        <v>250</v>
      </c>
      <c r="L12" s="87">
        <v>30.4</v>
      </c>
      <c r="M12" s="87" t="s">
        <v>275</v>
      </c>
      <c r="N12" s="87" t="s">
        <v>275</v>
      </c>
      <c r="O12" s="87" t="s">
        <v>275</v>
      </c>
      <c r="P12" s="87" t="s">
        <v>275</v>
      </c>
    </row>
    <row r="13" spans="1:16" ht="60" x14ac:dyDescent="0.25">
      <c r="A13" s="160"/>
      <c r="B13" s="161"/>
      <c r="C13" s="161"/>
      <c r="D13" s="162"/>
      <c r="E13" s="141"/>
      <c r="F13" s="141"/>
      <c r="G13" s="141"/>
      <c r="H13" s="141"/>
      <c r="I13" s="141"/>
      <c r="J13" s="53" t="s">
        <v>163</v>
      </c>
      <c r="K13" s="73" t="s">
        <v>249</v>
      </c>
      <c r="L13" s="87">
        <v>17.3</v>
      </c>
      <c r="M13" s="87" t="s">
        <v>276</v>
      </c>
      <c r="N13" s="87" t="s">
        <v>276</v>
      </c>
      <c r="O13" s="87" t="s">
        <v>276</v>
      </c>
      <c r="P13" s="87" t="s">
        <v>276</v>
      </c>
    </row>
    <row r="14" spans="1:16" ht="45" x14ac:dyDescent="0.25">
      <c r="A14" s="160"/>
      <c r="B14" s="161"/>
      <c r="C14" s="161"/>
      <c r="D14" s="162"/>
      <c r="E14" s="141"/>
      <c r="F14" s="141"/>
      <c r="G14" s="141"/>
      <c r="H14" s="141"/>
      <c r="I14" s="141"/>
      <c r="J14" s="53" t="s">
        <v>164</v>
      </c>
      <c r="K14" s="73" t="s">
        <v>251</v>
      </c>
      <c r="L14" s="87">
        <v>265.7</v>
      </c>
      <c r="M14" s="87">
        <v>262.89999999999998</v>
      </c>
      <c r="N14" s="87">
        <v>262.89999999999998</v>
      </c>
      <c r="O14" s="87">
        <v>262.89999999999998</v>
      </c>
      <c r="P14" s="87">
        <v>262.89999999999998</v>
      </c>
    </row>
    <row r="15" spans="1:16" ht="15" customHeight="1" x14ac:dyDescent="0.25">
      <c r="A15" s="26"/>
      <c r="B15" s="75">
        <v>1</v>
      </c>
      <c r="C15" s="27"/>
      <c r="D15" s="52" t="s">
        <v>104</v>
      </c>
      <c r="E15" s="76">
        <v>3206.4</v>
      </c>
      <c r="F15" s="76">
        <v>3685.7</v>
      </c>
      <c r="G15" s="76">
        <v>4191</v>
      </c>
      <c r="H15" s="76">
        <f>4191</f>
        <v>4191</v>
      </c>
      <c r="I15" s="76">
        <f>4400.6</f>
        <v>4400.6000000000004</v>
      </c>
      <c r="J15" s="53" t="s">
        <v>47</v>
      </c>
      <c r="K15" s="73" t="s">
        <v>252</v>
      </c>
      <c r="L15" s="73">
        <v>15.5</v>
      </c>
      <c r="M15" s="73">
        <v>15.5</v>
      </c>
      <c r="N15" s="73">
        <v>15.5</v>
      </c>
      <c r="O15" s="73">
        <v>15.5</v>
      </c>
      <c r="P15" s="73">
        <v>15.5</v>
      </c>
    </row>
    <row r="16" spans="1:16" ht="75" x14ac:dyDescent="0.25">
      <c r="A16" s="137"/>
      <c r="B16" s="138">
        <v>2</v>
      </c>
      <c r="C16" s="138"/>
      <c r="D16" s="125" t="s">
        <v>105</v>
      </c>
      <c r="E16" s="134">
        <v>3657</v>
      </c>
      <c r="F16" s="134">
        <v>3349.8</v>
      </c>
      <c r="G16" s="134">
        <v>3745.5</v>
      </c>
      <c r="H16" s="134">
        <f>3745.5</f>
        <v>3745.5</v>
      </c>
      <c r="I16" s="134">
        <f>H16</f>
        <v>3745.5</v>
      </c>
      <c r="J16" s="77" t="s">
        <v>165</v>
      </c>
      <c r="K16" s="73" t="s">
        <v>252</v>
      </c>
      <c r="L16" s="86">
        <v>13.1</v>
      </c>
      <c r="M16" s="86" t="s">
        <v>29</v>
      </c>
      <c r="N16" s="86" t="s">
        <v>29</v>
      </c>
      <c r="O16" s="81" t="s">
        <v>29</v>
      </c>
      <c r="P16" s="81" t="s">
        <v>29</v>
      </c>
    </row>
    <row r="17" spans="1:16" x14ac:dyDescent="0.25">
      <c r="A17" s="137"/>
      <c r="B17" s="138"/>
      <c r="C17" s="138"/>
      <c r="D17" s="125"/>
      <c r="E17" s="134"/>
      <c r="F17" s="134"/>
      <c r="G17" s="134"/>
      <c r="H17" s="134"/>
      <c r="I17" s="134"/>
      <c r="J17" s="53" t="s">
        <v>166</v>
      </c>
      <c r="K17" s="73" t="s">
        <v>252</v>
      </c>
      <c r="L17" s="73">
        <v>4.5999999999999996</v>
      </c>
      <c r="M17" s="73" t="s">
        <v>30</v>
      </c>
      <c r="N17" s="73" t="s">
        <v>30</v>
      </c>
      <c r="O17" s="73" t="s">
        <v>30</v>
      </c>
      <c r="P17" s="73" t="s">
        <v>30</v>
      </c>
    </row>
    <row r="18" spans="1:16" ht="45" x14ac:dyDescent="0.25">
      <c r="A18" s="26"/>
      <c r="B18" s="75">
        <v>3</v>
      </c>
      <c r="C18" s="27"/>
      <c r="D18" s="65" t="s">
        <v>106</v>
      </c>
      <c r="E18" s="76">
        <v>4067.5</v>
      </c>
      <c r="F18" s="76">
        <v>4378.8</v>
      </c>
      <c r="G18" s="76">
        <v>5006.3</v>
      </c>
      <c r="H18" s="76">
        <f>5006.3</f>
        <v>5006.3</v>
      </c>
      <c r="I18" s="76">
        <f>H18</f>
        <v>5006.3</v>
      </c>
      <c r="J18" s="53" t="s">
        <v>167</v>
      </c>
      <c r="K18" s="73" t="s">
        <v>253</v>
      </c>
      <c r="L18" s="73">
        <v>49100</v>
      </c>
      <c r="M18" s="73">
        <v>49500</v>
      </c>
      <c r="N18" s="73">
        <v>49800</v>
      </c>
      <c r="O18" s="73">
        <v>50000</v>
      </c>
      <c r="P18" s="73">
        <v>50000</v>
      </c>
    </row>
    <row r="19" spans="1:16" ht="30" x14ac:dyDescent="0.25">
      <c r="A19" s="26"/>
      <c r="B19" s="75">
        <v>4</v>
      </c>
      <c r="C19" s="27"/>
      <c r="D19" s="89" t="s">
        <v>107</v>
      </c>
      <c r="E19" s="76">
        <v>1150.5</v>
      </c>
      <c r="F19" s="76">
        <v>1172.4000000000001</v>
      </c>
      <c r="G19" s="76">
        <v>1301.4000000000001</v>
      </c>
      <c r="H19" s="76">
        <f>1301.4</f>
        <v>1301.4000000000001</v>
      </c>
      <c r="I19" s="76">
        <f>H19</f>
        <v>1301.4000000000001</v>
      </c>
      <c r="J19" s="72" t="s">
        <v>168</v>
      </c>
      <c r="K19" s="73" t="s">
        <v>253</v>
      </c>
      <c r="L19" s="73" t="s">
        <v>31</v>
      </c>
      <c r="M19" s="73" t="s">
        <v>277</v>
      </c>
      <c r="N19" s="73" t="s">
        <v>277</v>
      </c>
      <c r="O19" s="73" t="s">
        <v>277</v>
      </c>
      <c r="P19" s="73" t="s">
        <v>277</v>
      </c>
    </row>
    <row r="20" spans="1:16" ht="45" x14ac:dyDescent="0.25">
      <c r="A20" s="26"/>
      <c r="B20" s="75">
        <v>5</v>
      </c>
      <c r="C20" s="27"/>
      <c r="D20" s="53" t="s">
        <v>108</v>
      </c>
      <c r="E20" s="76"/>
      <c r="F20" s="76"/>
      <c r="G20" s="76">
        <v>23460</v>
      </c>
      <c r="H20" s="76"/>
      <c r="I20" s="76"/>
      <c r="J20" s="72"/>
      <c r="K20" s="73"/>
      <c r="L20" s="73"/>
      <c r="M20" s="73"/>
      <c r="N20" s="73"/>
      <c r="O20" s="73"/>
      <c r="P20" s="73"/>
    </row>
    <row r="21" spans="1:16" ht="60" x14ac:dyDescent="0.25">
      <c r="A21" s="26"/>
      <c r="B21" s="75">
        <v>6</v>
      </c>
      <c r="C21" s="27"/>
      <c r="D21" s="53" t="s">
        <v>109</v>
      </c>
      <c r="E21" s="76">
        <v>4903.8898108569474</v>
      </c>
      <c r="F21" s="76">
        <v>12806.6</v>
      </c>
      <c r="G21" s="76">
        <v>3063.4</v>
      </c>
      <c r="H21" s="76">
        <f>26528.4</f>
        <v>26528.400000000001</v>
      </c>
      <c r="I21" s="76">
        <f>H21</f>
        <v>26528.400000000001</v>
      </c>
      <c r="J21" s="77" t="s">
        <v>171</v>
      </c>
      <c r="K21" s="73" t="s">
        <v>4</v>
      </c>
      <c r="L21" s="73">
        <v>18.7</v>
      </c>
      <c r="M21" s="73">
        <v>18.7</v>
      </c>
      <c r="N21" s="73">
        <v>18.7</v>
      </c>
      <c r="O21" s="73">
        <v>18.7</v>
      </c>
      <c r="P21" s="73">
        <v>18.7</v>
      </c>
    </row>
    <row r="22" spans="1:16" ht="45" x14ac:dyDescent="0.25">
      <c r="A22" s="26"/>
      <c r="B22" s="75">
        <v>27</v>
      </c>
      <c r="C22" s="27"/>
      <c r="D22" s="53" t="s">
        <v>110</v>
      </c>
      <c r="E22" s="76">
        <v>1394.9</v>
      </c>
      <c r="F22" s="76">
        <v>1329.9</v>
      </c>
      <c r="G22" s="76">
        <v>1514.8</v>
      </c>
      <c r="H22" s="76">
        <f>1514.8</f>
        <v>1514.8</v>
      </c>
      <c r="I22" s="76">
        <f>H22</f>
        <v>1514.8</v>
      </c>
      <c r="J22" s="77" t="s">
        <v>172</v>
      </c>
      <c r="K22" s="73" t="s">
        <v>253</v>
      </c>
      <c r="L22" s="73">
        <v>3</v>
      </c>
      <c r="M22" s="73" t="s">
        <v>278</v>
      </c>
      <c r="N22" s="73" t="s">
        <v>278</v>
      </c>
      <c r="O22" s="73" t="s">
        <v>278</v>
      </c>
      <c r="P22" s="73" t="s">
        <v>278</v>
      </c>
    </row>
    <row r="23" spans="1:16" ht="75" x14ac:dyDescent="0.25">
      <c r="A23" s="137"/>
      <c r="B23" s="138">
        <v>7</v>
      </c>
      <c r="C23" s="138"/>
      <c r="D23" s="147" t="s">
        <v>111</v>
      </c>
      <c r="E23" s="134">
        <v>2245</v>
      </c>
      <c r="F23" s="134">
        <v>2473.1999999999998</v>
      </c>
      <c r="G23" s="134">
        <v>2734.6</v>
      </c>
      <c r="H23" s="134">
        <f>2734.6</f>
        <v>2734.6</v>
      </c>
      <c r="I23" s="134">
        <f>H23*1.06</f>
        <v>2898.6759999999999</v>
      </c>
      <c r="J23" s="72" t="s">
        <v>173</v>
      </c>
      <c r="K23" s="73" t="s">
        <v>253</v>
      </c>
      <c r="L23" s="73">
        <v>2</v>
      </c>
      <c r="M23" s="73">
        <v>2</v>
      </c>
      <c r="N23" s="73">
        <v>2</v>
      </c>
      <c r="O23" s="73">
        <v>2</v>
      </c>
      <c r="P23" s="73">
        <v>2</v>
      </c>
    </row>
    <row r="24" spans="1:16" ht="93.75" customHeight="1" x14ac:dyDescent="0.25">
      <c r="A24" s="137"/>
      <c r="B24" s="138"/>
      <c r="C24" s="138"/>
      <c r="D24" s="147"/>
      <c r="E24" s="134"/>
      <c r="F24" s="134"/>
      <c r="G24" s="134"/>
      <c r="H24" s="134"/>
      <c r="I24" s="134"/>
      <c r="J24" s="77" t="s">
        <v>174</v>
      </c>
      <c r="K24" s="73" t="s">
        <v>252</v>
      </c>
      <c r="L24" s="73">
        <v>100</v>
      </c>
      <c r="M24" s="73">
        <v>100</v>
      </c>
      <c r="N24" s="73">
        <v>100</v>
      </c>
      <c r="O24" s="73">
        <v>100</v>
      </c>
      <c r="P24" s="73">
        <v>100</v>
      </c>
    </row>
    <row r="25" spans="1:16" ht="63" customHeight="1" x14ac:dyDescent="0.25">
      <c r="A25" s="137"/>
      <c r="B25" s="138">
        <v>8</v>
      </c>
      <c r="C25" s="138"/>
      <c r="D25" s="164" t="s">
        <v>112</v>
      </c>
      <c r="E25" s="134">
        <v>26929.1</v>
      </c>
      <c r="F25" s="134">
        <v>27169.3</v>
      </c>
      <c r="G25" s="134"/>
      <c r="H25" s="134">
        <f>27269.3+30</f>
        <v>27299.3</v>
      </c>
      <c r="I25" s="134">
        <f>H25</f>
        <v>27299.3</v>
      </c>
      <c r="J25" s="53" t="s">
        <v>175</v>
      </c>
      <c r="K25" s="73" t="s">
        <v>252</v>
      </c>
      <c r="L25" s="2">
        <v>34</v>
      </c>
      <c r="M25" s="2">
        <v>50</v>
      </c>
      <c r="N25" s="2">
        <v>60</v>
      </c>
      <c r="O25" s="2">
        <v>80</v>
      </c>
      <c r="P25" s="2">
        <v>80</v>
      </c>
    </row>
    <row r="26" spans="1:16" ht="60" x14ac:dyDescent="0.25">
      <c r="A26" s="137"/>
      <c r="B26" s="138"/>
      <c r="C26" s="138"/>
      <c r="D26" s="164"/>
      <c r="E26" s="134"/>
      <c r="F26" s="134"/>
      <c r="G26" s="134"/>
      <c r="H26" s="134"/>
      <c r="I26" s="134"/>
      <c r="J26" s="53" t="s">
        <v>176</v>
      </c>
      <c r="K26" s="73" t="s">
        <v>252</v>
      </c>
      <c r="L26" s="2"/>
      <c r="M26" s="2">
        <v>75</v>
      </c>
      <c r="N26" s="2">
        <v>75</v>
      </c>
      <c r="O26" s="2">
        <v>75</v>
      </c>
      <c r="P26" s="2">
        <v>75</v>
      </c>
    </row>
    <row r="27" spans="1:16" ht="210" x14ac:dyDescent="0.25">
      <c r="A27" s="74"/>
      <c r="B27" s="75">
        <v>28</v>
      </c>
      <c r="C27" s="75"/>
      <c r="D27" s="82" t="s">
        <v>113</v>
      </c>
      <c r="E27" s="76"/>
      <c r="F27" s="76"/>
      <c r="G27" s="76">
        <f>27269.3+300</f>
        <v>27569.3</v>
      </c>
      <c r="H27" s="76"/>
      <c r="I27" s="76"/>
      <c r="J27" s="53"/>
      <c r="K27" s="73"/>
      <c r="L27" s="2"/>
      <c r="M27" s="2"/>
      <c r="N27" s="2"/>
      <c r="O27" s="2"/>
      <c r="P27" s="2"/>
    </row>
    <row r="28" spans="1:16" ht="61.5" customHeight="1" x14ac:dyDescent="0.25">
      <c r="A28" s="26"/>
      <c r="B28" s="75">
        <v>29</v>
      </c>
      <c r="C28" s="27"/>
      <c r="D28" s="53" t="s">
        <v>114</v>
      </c>
      <c r="E28" s="76">
        <v>1490.7</v>
      </c>
      <c r="F28" s="76">
        <v>1439.2</v>
      </c>
      <c r="G28" s="76">
        <v>1548.2</v>
      </c>
      <c r="H28" s="76">
        <f>1748.2</f>
        <v>1748.2</v>
      </c>
      <c r="I28" s="76">
        <f>H28</f>
        <v>1748.2</v>
      </c>
      <c r="J28" s="79" t="s">
        <v>177</v>
      </c>
      <c r="K28" s="73" t="s">
        <v>254</v>
      </c>
      <c r="L28" s="2">
        <v>184</v>
      </c>
      <c r="M28" s="73" t="s">
        <v>277</v>
      </c>
      <c r="N28" s="73" t="s">
        <v>277</v>
      </c>
      <c r="O28" s="73" t="s">
        <v>277</v>
      </c>
      <c r="P28" s="73" t="s">
        <v>277</v>
      </c>
    </row>
    <row r="29" spans="1:16" ht="30" x14ac:dyDescent="0.25">
      <c r="A29" s="137"/>
      <c r="B29" s="138">
        <v>30</v>
      </c>
      <c r="C29" s="138"/>
      <c r="D29" s="143" t="s">
        <v>115</v>
      </c>
      <c r="E29" s="134">
        <v>25365.5</v>
      </c>
      <c r="F29" s="134">
        <v>23520.9</v>
      </c>
      <c r="G29" s="134">
        <f>15572.74+8800</f>
        <v>24372.739999999998</v>
      </c>
      <c r="H29" s="134">
        <f>14720.9+8800*1.05</f>
        <v>23960.9</v>
      </c>
      <c r="I29" s="134">
        <f>H29*1.06</f>
        <v>25398.554000000004</v>
      </c>
      <c r="J29" s="79" t="s">
        <v>178</v>
      </c>
      <c r="K29" s="73" t="s">
        <v>253</v>
      </c>
      <c r="L29" s="73">
        <v>13525</v>
      </c>
      <c r="M29" s="73">
        <v>13525</v>
      </c>
      <c r="N29" s="73">
        <v>13600</v>
      </c>
      <c r="O29" s="73">
        <v>13650</v>
      </c>
      <c r="P29" s="73">
        <v>13700</v>
      </c>
    </row>
    <row r="30" spans="1:16" x14ac:dyDescent="0.25">
      <c r="A30" s="137"/>
      <c r="B30" s="138"/>
      <c r="C30" s="138"/>
      <c r="D30" s="143"/>
      <c r="E30" s="134"/>
      <c r="F30" s="134"/>
      <c r="G30" s="134"/>
      <c r="H30" s="134"/>
      <c r="I30" s="134"/>
      <c r="J30" s="79" t="s">
        <v>179</v>
      </c>
      <c r="K30" s="73" t="s">
        <v>272</v>
      </c>
      <c r="L30" s="78">
        <v>295188</v>
      </c>
      <c r="M30" s="78">
        <v>300000</v>
      </c>
      <c r="N30" s="78">
        <v>300100</v>
      </c>
      <c r="O30" s="78">
        <v>300200</v>
      </c>
      <c r="P30" s="78">
        <v>300200</v>
      </c>
    </row>
    <row r="31" spans="1:16" ht="30" x14ac:dyDescent="0.25">
      <c r="A31" s="137"/>
      <c r="B31" s="138"/>
      <c r="C31" s="138"/>
      <c r="D31" s="143"/>
      <c r="E31" s="134"/>
      <c r="F31" s="134"/>
      <c r="G31" s="134"/>
      <c r="H31" s="134"/>
      <c r="I31" s="134"/>
      <c r="J31" s="79" t="s">
        <v>180</v>
      </c>
      <c r="K31" s="73" t="s">
        <v>272</v>
      </c>
      <c r="L31" s="73">
        <v>2058</v>
      </c>
      <c r="M31" s="73">
        <v>2100</v>
      </c>
      <c r="N31" s="73">
        <v>2200</v>
      </c>
      <c r="O31" s="73">
        <v>2300</v>
      </c>
      <c r="P31" s="73">
        <v>2300</v>
      </c>
    </row>
    <row r="32" spans="1:16" ht="36.75" customHeight="1" x14ac:dyDescent="0.25">
      <c r="A32" s="137"/>
      <c r="B32" s="138"/>
      <c r="C32" s="138"/>
      <c r="D32" s="143"/>
      <c r="E32" s="134"/>
      <c r="F32" s="134"/>
      <c r="G32" s="134"/>
      <c r="H32" s="134"/>
      <c r="I32" s="134"/>
      <c r="J32" s="77" t="s">
        <v>181</v>
      </c>
      <c r="K32" s="73" t="s">
        <v>272</v>
      </c>
      <c r="L32" s="73">
        <v>250</v>
      </c>
      <c r="M32" s="73" t="s">
        <v>277</v>
      </c>
      <c r="N32" s="73" t="s">
        <v>277</v>
      </c>
      <c r="O32" s="73" t="s">
        <v>277</v>
      </c>
      <c r="P32" s="73" t="s">
        <v>277</v>
      </c>
    </row>
    <row r="33" spans="1:16" ht="27" customHeight="1" x14ac:dyDescent="0.25">
      <c r="A33" s="140" t="s">
        <v>32</v>
      </c>
      <c r="B33" s="129"/>
      <c r="C33" s="129"/>
      <c r="D33" s="145" t="s">
        <v>116</v>
      </c>
      <c r="E33" s="141">
        <f t="shared" ref="E33:I33" si="0">SUM(E36:E56)</f>
        <v>896591.60000000009</v>
      </c>
      <c r="F33" s="141">
        <f t="shared" si="0"/>
        <v>819909.20000000007</v>
      </c>
      <c r="G33" s="141">
        <f t="shared" si="0"/>
        <v>965863.49999999988</v>
      </c>
      <c r="H33" s="141">
        <f t="shared" si="0"/>
        <v>966441.85799999989</v>
      </c>
      <c r="I33" s="141">
        <f t="shared" si="0"/>
        <v>967541.49947999988</v>
      </c>
      <c r="J33" s="200" t="s">
        <v>182</v>
      </c>
      <c r="K33" s="196" t="s">
        <v>255</v>
      </c>
      <c r="L33" s="4"/>
      <c r="M33" s="4"/>
      <c r="N33" s="4"/>
      <c r="O33" s="4"/>
      <c r="P33" s="4"/>
    </row>
    <row r="34" spans="1:16" ht="52.5" customHeight="1" x14ac:dyDescent="0.25">
      <c r="A34" s="140"/>
      <c r="B34" s="129"/>
      <c r="C34" s="129"/>
      <c r="D34" s="147"/>
      <c r="E34" s="141"/>
      <c r="F34" s="141"/>
      <c r="G34" s="141"/>
      <c r="H34" s="141"/>
      <c r="I34" s="141"/>
      <c r="J34" s="201"/>
      <c r="K34" s="197"/>
      <c r="L34" s="4"/>
      <c r="M34" s="73" t="s">
        <v>277</v>
      </c>
      <c r="N34" s="73" t="s">
        <v>277</v>
      </c>
      <c r="O34" s="73" t="s">
        <v>277</v>
      </c>
      <c r="P34" s="73" t="s">
        <v>277</v>
      </c>
    </row>
    <row r="35" spans="1:16" ht="72.75" customHeight="1" x14ac:dyDescent="0.25">
      <c r="A35" s="140"/>
      <c r="B35" s="129"/>
      <c r="C35" s="129"/>
      <c r="D35" s="147"/>
      <c r="E35" s="141"/>
      <c r="F35" s="141"/>
      <c r="G35" s="141"/>
      <c r="H35" s="141"/>
      <c r="I35" s="141"/>
      <c r="J35" s="77" t="s">
        <v>183</v>
      </c>
      <c r="K35" s="73" t="s">
        <v>255</v>
      </c>
      <c r="L35" s="4" t="s">
        <v>33</v>
      </c>
      <c r="M35" s="73" t="s">
        <v>277</v>
      </c>
      <c r="N35" s="73" t="s">
        <v>277</v>
      </c>
      <c r="O35" s="73" t="s">
        <v>277</v>
      </c>
      <c r="P35" s="73" t="s">
        <v>277</v>
      </c>
    </row>
    <row r="36" spans="1:16" ht="45" customHeight="1" x14ac:dyDescent="0.25">
      <c r="A36" s="129"/>
      <c r="B36" s="129" t="s">
        <v>1</v>
      </c>
      <c r="C36" s="129"/>
      <c r="D36" s="143" t="s">
        <v>117</v>
      </c>
      <c r="E36" s="134">
        <v>546303.6</v>
      </c>
      <c r="F36" s="134">
        <v>526962.80000000005</v>
      </c>
      <c r="G36" s="134">
        <f>408357.1+162571.6</f>
        <v>570928.69999999995</v>
      </c>
      <c r="H36" s="134">
        <f>408357.1+162537.1</f>
        <v>570894.19999999995</v>
      </c>
      <c r="I36" s="134">
        <f>H36</f>
        <v>570894.19999999995</v>
      </c>
      <c r="J36" s="59" t="s">
        <v>184</v>
      </c>
      <c r="K36" s="73" t="s">
        <v>256</v>
      </c>
      <c r="L36" s="87">
        <v>14</v>
      </c>
      <c r="M36" s="87">
        <v>15</v>
      </c>
      <c r="N36" s="87">
        <v>16</v>
      </c>
      <c r="O36" s="87">
        <v>17</v>
      </c>
      <c r="P36" s="87">
        <v>18</v>
      </c>
    </row>
    <row r="37" spans="1:16" ht="47.25" customHeight="1" x14ac:dyDescent="0.25">
      <c r="A37" s="129"/>
      <c r="B37" s="129"/>
      <c r="C37" s="129"/>
      <c r="D37" s="143"/>
      <c r="E37" s="134"/>
      <c r="F37" s="134"/>
      <c r="G37" s="134"/>
      <c r="H37" s="134"/>
      <c r="I37" s="134"/>
      <c r="J37" s="79" t="s">
        <v>185</v>
      </c>
      <c r="K37" s="73" t="s">
        <v>257</v>
      </c>
      <c r="L37" s="87">
        <v>57</v>
      </c>
      <c r="M37" s="87">
        <v>57</v>
      </c>
      <c r="N37" s="87">
        <v>57</v>
      </c>
      <c r="O37" s="87">
        <v>57</v>
      </c>
      <c r="P37" s="87">
        <v>57</v>
      </c>
    </row>
    <row r="38" spans="1:16" ht="60" x14ac:dyDescent="0.25">
      <c r="A38" s="129"/>
      <c r="B38" s="129"/>
      <c r="C38" s="129"/>
      <c r="D38" s="143"/>
      <c r="E38" s="134"/>
      <c r="F38" s="134"/>
      <c r="G38" s="134"/>
      <c r="H38" s="134"/>
      <c r="I38" s="134"/>
      <c r="J38" s="79" t="s">
        <v>186</v>
      </c>
      <c r="K38" s="73" t="s">
        <v>258</v>
      </c>
      <c r="L38" s="87">
        <v>12.4</v>
      </c>
      <c r="M38" s="87">
        <v>12.4</v>
      </c>
      <c r="N38" s="87">
        <v>12.2</v>
      </c>
      <c r="O38" s="87">
        <v>12</v>
      </c>
      <c r="P38" s="87">
        <v>11.9</v>
      </c>
    </row>
    <row r="39" spans="1:16" ht="33.75" customHeight="1" x14ac:dyDescent="0.25">
      <c r="A39" s="129"/>
      <c r="B39" s="129"/>
      <c r="C39" s="129"/>
      <c r="D39" s="143"/>
      <c r="E39" s="134"/>
      <c r="F39" s="134"/>
      <c r="G39" s="134"/>
      <c r="H39" s="134"/>
      <c r="I39" s="134"/>
      <c r="J39" s="53" t="s">
        <v>187</v>
      </c>
      <c r="K39" s="73" t="s">
        <v>258</v>
      </c>
      <c r="L39" s="76">
        <v>164</v>
      </c>
      <c r="M39" s="76">
        <v>150</v>
      </c>
      <c r="N39" s="76">
        <v>145.5</v>
      </c>
      <c r="O39" s="76">
        <v>144</v>
      </c>
      <c r="P39" s="76">
        <v>140</v>
      </c>
    </row>
    <row r="40" spans="1:16" ht="36.75" customHeight="1" x14ac:dyDescent="0.25">
      <c r="A40" s="129"/>
      <c r="B40" s="129"/>
      <c r="C40" s="129"/>
      <c r="D40" s="143"/>
      <c r="E40" s="134"/>
      <c r="F40" s="134"/>
      <c r="G40" s="134"/>
      <c r="H40" s="134"/>
      <c r="I40" s="134"/>
      <c r="J40" s="53" t="s">
        <v>188</v>
      </c>
      <c r="K40" s="73" t="s">
        <v>258</v>
      </c>
      <c r="L40" s="76">
        <v>498</v>
      </c>
      <c r="M40" s="76">
        <v>490</v>
      </c>
      <c r="N40" s="76">
        <v>485</v>
      </c>
      <c r="O40" s="76">
        <v>480</v>
      </c>
      <c r="P40" s="76">
        <v>475</v>
      </c>
    </row>
    <row r="41" spans="1:16" ht="45" x14ac:dyDescent="0.25">
      <c r="A41" s="129"/>
      <c r="B41" s="129" t="s">
        <v>2</v>
      </c>
      <c r="C41" s="129"/>
      <c r="D41" s="147" t="s">
        <v>118</v>
      </c>
      <c r="E41" s="134">
        <v>88131</v>
      </c>
      <c r="F41" s="134">
        <v>13004.8</v>
      </c>
      <c r="G41" s="134">
        <f>98602.5+22751.7</f>
        <v>121354.2</v>
      </c>
      <c r="H41" s="134">
        <f>97477.5+22751.7</f>
        <v>120229.2</v>
      </c>
      <c r="I41" s="134">
        <f>H41</f>
        <v>120229.2</v>
      </c>
      <c r="J41" s="53" t="s">
        <v>189</v>
      </c>
      <c r="K41" s="73" t="s">
        <v>252</v>
      </c>
      <c r="L41" s="73">
        <v>94.1</v>
      </c>
      <c r="M41" s="73" t="s">
        <v>34</v>
      </c>
      <c r="N41" s="73" t="s">
        <v>34</v>
      </c>
      <c r="O41" s="73" t="s">
        <v>34</v>
      </c>
      <c r="P41" s="73" t="s">
        <v>34</v>
      </c>
    </row>
    <row r="42" spans="1:16" ht="75" customHeight="1" x14ac:dyDescent="0.25">
      <c r="A42" s="129"/>
      <c r="B42" s="129"/>
      <c r="C42" s="129"/>
      <c r="D42" s="147"/>
      <c r="E42" s="134"/>
      <c r="F42" s="134"/>
      <c r="G42" s="134"/>
      <c r="H42" s="134"/>
      <c r="I42" s="134"/>
      <c r="J42" s="79" t="s">
        <v>301</v>
      </c>
      <c r="K42" s="73" t="s">
        <v>252</v>
      </c>
      <c r="L42" s="78">
        <v>95</v>
      </c>
      <c r="M42" s="73" t="s">
        <v>35</v>
      </c>
      <c r="N42" s="73" t="s">
        <v>35</v>
      </c>
      <c r="O42" s="73" t="s">
        <v>35</v>
      </c>
      <c r="P42" s="73" t="s">
        <v>35</v>
      </c>
    </row>
    <row r="43" spans="1:16" ht="30" x14ac:dyDescent="0.25">
      <c r="A43" s="129"/>
      <c r="B43" s="129" t="s">
        <v>3</v>
      </c>
      <c r="C43" s="139"/>
      <c r="D43" s="147" t="s">
        <v>302</v>
      </c>
      <c r="E43" s="134">
        <v>40544.9</v>
      </c>
      <c r="F43" s="134">
        <v>42548.7</v>
      </c>
      <c r="G43" s="134">
        <f>15358.7+489</f>
        <v>15847.7</v>
      </c>
      <c r="H43" s="134">
        <f>15358.7+523.5</f>
        <v>15882.2</v>
      </c>
      <c r="I43" s="134">
        <f>H43</f>
        <v>15882.2</v>
      </c>
      <c r="J43" s="53" t="s">
        <v>190</v>
      </c>
      <c r="K43" s="73" t="s">
        <v>256</v>
      </c>
      <c r="L43" s="87">
        <v>250</v>
      </c>
      <c r="M43" s="87">
        <v>250</v>
      </c>
      <c r="N43" s="87">
        <v>250</v>
      </c>
      <c r="O43" s="87">
        <v>250</v>
      </c>
      <c r="P43" s="87">
        <v>250</v>
      </c>
    </row>
    <row r="44" spans="1:16" ht="60" x14ac:dyDescent="0.25">
      <c r="A44" s="129"/>
      <c r="B44" s="129"/>
      <c r="C44" s="139"/>
      <c r="D44" s="147"/>
      <c r="E44" s="134"/>
      <c r="F44" s="134"/>
      <c r="G44" s="134"/>
      <c r="H44" s="134"/>
      <c r="I44" s="134"/>
      <c r="J44" s="79" t="s">
        <v>191</v>
      </c>
      <c r="K44" s="73" t="s">
        <v>70</v>
      </c>
      <c r="L44" s="87">
        <v>200</v>
      </c>
      <c r="M44" s="28">
        <v>230</v>
      </c>
      <c r="N44" s="28">
        <v>230</v>
      </c>
      <c r="O44" s="28">
        <v>250</v>
      </c>
      <c r="P44" s="28">
        <v>250</v>
      </c>
    </row>
    <row r="45" spans="1:16" ht="60" x14ac:dyDescent="0.25">
      <c r="A45" s="129"/>
      <c r="B45" s="129"/>
      <c r="C45" s="139"/>
      <c r="D45" s="147"/>
      <c r="E45" s="134"/>
      <c r="F45" s="134"/>
      <c r="G45" s="134"/>
      <c r="H45" s="134"/>
      <c r="I45" s="134"/>
      <c r="J45" s="79" t="s">
        <v>192</v>
      </c>
      <c r="K45" s="73" t="s">
        <v>70</v>
      </c>
      <c r="L45" s="87">
        <v>2000</v>
      </c>
      <c r="M45" s="28">
        <v>2000</v>
      </c>
      <c r="N45" s="28">
        <v>2000</v>
      </c>
      <c r="O45" s="28">
        <v>2000</v>
      </c>
      <c r="P45" s="28">
        <v>2000</v>
      </c>
    </row>
    <row r="46" spans="1:16" x14ac:dyDescent="0.25">
      <c r="A46" s="129"/>
      <c r="B46" s="129"/>
      <c r="C46" s="139"/>
      <c r="D46" s="147"/>
      <c r="E46" s="134"/>
      <c r="F46" s="134"/>
      <c r="G46" s="134"/>
      <c r="H46" s="134"/>
      <c r="I46" s="134"/>
      <c r="J46" s="200" t="s">
        <v>193</v>
      </c>
      <c r="K46" s="73" t="s">
        <v>256</v>
      </c>
      <c r="L46" s="87">
        <v>15</v>
      </c>
      <c r="M46" s="28">
        <v>15</v>
      </c>
      <c r="N46" s="28">
        <v>15</v>
      </c>
      <c r="O46" s="28">
        <v>15</v>
      </c>
      <c r="P46" s="28">
        <v>15</v>
      </c>
    </row>
    <row r="47" spans="1:16" ht="30" x14ac:dyDescent="0.25">
      <c r="A47" s="129"/>
      <c r="B47" s="129"/>
      <c r="C47" s="139"/>
      <c r="D47" s="147"/>
      <c r="E47" s="134"/>
      <c r="F47" s="134"/>
      <c r="G47" s="134"/>
      <c r="H47" s="134"/>
      <c r="I47" s="134"/>
      <c r="J47" s="201"/>
      <c r="K47" s="73" t="s">
        <v>259</v>
      </c>
      <c r="L47" s="87">
        <v>4</v>
      </c>
      <c r="M47" s="28">
        <v>4</v>
      </c>
      <c r="N47" s="28">
        <v>4</v>
      </c>
      <c r="O47" s="28">
        <v>4</v>
      </c>
      <c r="P47" s="28">
        <v>4</v>
      </c>
    </row>
    <row r="48" spans="1:16" ht="75" x14ac:dyDescent="0.25">
      <c r="A48" s="129"/>
      <c r="B48" s="129"/>
      <c r="C48" s="139"/>
      <c r="D48" s="147"/>
      <c r="E48" s="134"/>
      <c r="F48" s="134"/>
      <c r="G48" s="134"/>
      <c r="H48" s="134"/>
      <c r="I48" s="134"/>
      <c r="J48" s="53" t="s">
        <v>194</v>
      </c>
      <c r="K48" s="73" t="s">
        <v>259</v>
      </c>
      <c r="L48" s="87">
        <v>4</v>
      </c>
      <c r="M48" s="28">
        <v>4</v>
      </c>
      <c r="N48" s="28">
        <v>4</v>
      </c>
      <c r="O48" s="28">
        <v>4</v>
      </c>
      <c r="P48" s="28">
        <v>4</v>
      </c>
    </row>
    <row r="49" spans="1:16" ht="46.5" customHeight="1" x14ac:dyDescent="0.25">
      <c r="A49" s="129"/>
      <c r="B49" s="129"/>
      <c r="C49" s="139"/>
      <c r="D49" s="147"/>
      <c r="E49" s="134"/>
      <c r="F49" s="134"/>
      <c r="G49" s="134"/>
      <c r="H49" s="134"/>
      <c r="I49" s="134"/>
      <c r="J49" s="79" t="s">
        <v>195</v>
      </c>
      <c r="K49" s="73" t="s">
        <v>70</v>
      </c>
      <c r="L49" s="87">
        <v>200</v>
      </c>
      <c r="M49" s="28">
        <v>230</v>
      </c>
      <c r="N49" s="28">
        <v>230</v>
      </c>
      <c r="O49" s="28">
        <v>230</v>
      </c>
      <c r="P49" s="28">
        <v>230</v>
      </c>
    </row>
    <row r="50" spans="1:16" ht="30" customHeight="1" x14ac:dyDescent="0.25">
      <c r="A50" s="129"/>
      <c r="B50" s="129"/>
      <c r="C50" s="139"/>
      <c r="D50" s="147"/>
      <c r="E50" s="134"/>
      <c r="F50" s="134"/>
      <c r="G50" s="134"/>
      <c r="H50" s="134"/>
      <c r="I50" s="134"/>
      <c r="J50" s="79" t="s">
        <v>196</v>
      </c>
      <c r="K50" s="73" t="s">
        <v>259</v>
      </c>
      <c r="L50" s="87">
        <v>4</v>
      </c>
      <c r="M50" s="28">
        <v>4</v>
      </c>
      <c r="N50" s="28">
        <v>4</v>
      </c>
      <c r="O50" s="28">
        <v>4</v>
      </c>
      <c r="P50" s="28">
        <v>4</v>
      </c>
    </row>
    <row r="51" spans="1:16" ht="30" x14ac:dyDescent="0.25">
      <c r="A51" s="129"/>
      <c r="B51" s="129" t="s">
        <v>16</v>
      </c>
      <c r="C51" s="129"/>
      <c r="D51" s="143" t="s">
        <v>303</v>
      </c>
      <c r="E51" s="134">
        <v>149475.29999999999</v>
      </c>
      <c r="F51" s="134">
        <v>153959.20000000001</v>
      </c>
      <c r="G51" s="134">
        <f>105833.9+73807.2</f>
        <v>179641.09999999998</v>
      </c>
      <c r="H51" s="134">
        <f>102833.9+73807.2</f>
        <v>176641.09999999998</v>
      </c>
      <c r="I51" s="134">
        <f>H51</f>
        <v>176641.09999999998</v>
      </c>
      <c r="J51" s="79" t="s">
        <v>197</v>
      </c>
      <c r="K51" s="73" t="s">
        <v>260</v>
      </c>
      <c r="L51" s="87">
        <v>13</v>
      </c>
      <c r="M51" s="87">
        <v>13</v>
      </c>
      <c r="N51" s="87">
        <v>13</v>
      </c>
      <c r="O51" s="87">
        <v>13</v>
      </c>
      <c r="P51" s="87">
        <v>13</v>
      </c>
    </row>
    <row r="52" spans="1:16" ht="65.25" customHeight="1" x14ac:dyDescent="0.25">
      <c r="A52" s="129"/>
      <c r="B52" s="129"/>
      <c r="C52" s="129"/>
      <c r="D52" s="143"/>
      <c r="E52" s="134"/>
      <c r="F52" s="134"/>
      <c r="G52" s="134"/>
      <c r="H52" s="134"/>
      <c r="I52" s="134"/>
      <c r="J52" s="60" t="s">
        <v>198</v>
      </c>
      <c r="K52" s="73" t="s">
        <v>252</v>
      </c>
      <c r="L52" s="87">
        <v>77.3</v>
      </c>
      <c r="M52" s="28">
        <v>85</v>
      </c>
      <c r="N52" s="28">
        <v>85</v>
      </c>
      <c r="O52" s="28">
        <v>85</v>
      </c>
      <c r="P52" s="28">
        <v>85</v>
      </c>
    </row>
    <row r="53" spans="1:16" ht="30" x14ac:dyDescent="0.25">
      <c r="A53" s="129"/>
      <c r="B53" s="129"/>
      <c r="C53" s="129"/>
      <c r="D53" s="143"/>
      <c r="E53" s="134"/>
      <c r="F53" s="134"/>
      <c r="G53" s="134"/>
      <c r="H53" s="134"/>
      <c r="I53" s="134"/>
      <c r="J53" s="79" t="s">
        <v>199</v>
      </c>
      <c r="K53" s="73" t="s">
        <v>252</v>
      </c>
      <c r="L53" s="87">
        <v>58.3</v>
      </c>
      <c r="M53" s="28">
        <v>67</v>
      </c>
      <c r="N53" s="28">
        <v>75</v>
      </c>
      <c r="O53" s="28">
        <v>90</v>
      </c>
      <c r="P53" s="28">
        <v>90</v>
      </c>
    </row>
    <row r="54" spans="1:16" ht="120" x14ac:dyDescent="0.25">
      <c r="A54" s="29"/>
      <c r="B54" s="68" t="s">
        <v>17</v>
      </c>
      <c r="C54" s="29"/>
      <c r="D54" s="53" t="s">
        <v>119</v>
      </c>
      <c r="E54" s="76">
        <v>0</v>
      </c>
      <c r="F54" s="76">
        <v>3000</v>
      </c>
      <c r="G54" s="76"/>
      <c r="H54" s="76">
        <f>3000</f>
        <v>3000</v>
      </c>
      <c r="I54" s="76">
        <f>H54</f>
        <v>3000</v>
      </c>
      <c r="J54" s="79" t="s">
        <v>200</v>
      </c>
      <c r="K54" s="73" t="s">
        <v>253</v>
      </c>
      <c r="L54" s="78" t="s">
        <v>279</v>
      </c>
      <c r="M54" s="78" t="s">
        <v>279</v>
      </c>
      <c r="N54" s="78" t="s">
        <v>280</v>
      </c>
      <c r="O54" s="78" t="s">
        <v>281</v>
      </c>
      <c r="P54" s="78" t="s">
        <v>281</v>
      </c>
    </row>
    <row r="55" spans="1:16" ht="108.75" customHeight="1" x14ac:dyDescent="0.25">
      <c r="A55" s="29"/>
      <c r="B55" s="68" t="s">
        <v>18</v>
      </c>
      <c r="C55" s="29"/>
      <c r="D55" s="79" t="s">
        <v>304</v>
      </c>
      <c r="E55" s="76">
        <v>54740.9</v>
      </c>
      <c r="F55" s="76">
        <v>62914.8</v>
      </c>
      <c r="G55" s="76">
        <f>57479.7+2863.1</f>
        <v>60342.799999999996</v>
      </c>
      <c r="H55" s="76">
        <f>58604.7+2863.1</f>
        <v>61467.799999999996</v>
      </c>
      <c r="I55" s="76">
        <f>H55</f>
        <v>61467.799999999996</v>
      </c>
      <c r="J55" s="79" t="s">
        <v>201</v>
      </c>
      <c r="K55" s="73" t="s">
        <v>256</v>
      </c>
      <c r="L55" s="78">
        <v>9</v>
      </c>
      <c r="M55" s="78">
        <v>10</v>
      </c>
      <c r="N55" s="78">
        <v>10</v>
      </c>
      <c r="O55" s="78">
        <v>11</v>
      </c>
      <c r="P55" s="78">
        <v>11</v>
      </c>
    </row>
    <row r="56" spans="1:16" ht="85.5" customHeight="1" x14ac:dyDescent="0.25">
      <c r="A56" s="29"/>
      <c r="B56" s="68" t="s">
        <v>19</v>
      </c>
      <c r="C56" s="29"/>
      <c r="D56" s="79" t="s">
        <v>120</v>
      </c>
      <c r="E56" s="76">
        <v>17395.900000000001</v>
      </c>
      <c r="F56" s="76">
        <v>17518.900000000001</v>
      </c>
      <c r="G56" s="76">
        <f>8109.7+9639.3</f>
        <v>17749</v>
      </c>
      <c r="H56" s="76">
        <f>8109.7+9639.3*1.06</f>
        <v>18327.358</v>
      </c>
      <c r="I56" s="76">
        <f>H56*1.06</f>
        <v>19426.999480000002</v>
      </c>
      <c r="J56" s="79" t="s">
        <v>202</v>
      </c>
      <c r="K56" s="73" t="s">
        <v>256</v>
      </c>
      <c r="L56" s="78">
        <v>65</v>
      </c>
      <c r="M56" s="25">
        <v>70</v>
      </c>
      <c r="N56" s="25">
        <v>75</v>
      </c>
      <c r="O56" s="25">
        <v>80</v>
      </c>
      <c r="P56" s="25">
        <v>80</v>
      </c>
    </row>
    <row r="57" spans="1:16" ht="15" customHeight="1" x14ac:dyDescent="0.25">
      <c r="A57" s="140" t="s">
        <v>21</v>
      </c>
      <c r="B57" s="129"/>
      <c r="C57" s="129"/>
      <c r="D57" s="162" t="s">
        <v>121</v>
      </c>
      <c r="E57" s="141">
        <f>SUM(E61:E82)</f>
        <v>1712573</v>
      </c>
      <c r="F57" s="141">
        <f>SUM(F61:F82)</f>
        <v>1726570.7000000002</v>
      </c>
      <c r="G57" s="141">
        <f>SUM(G61:G82)</f>
        <v>1534138.19</v>
      </c>
      <c r="H57" s="141">
        <f>H61+H65+H68+H70+H71+H74+H77+H80+H81+H82+H66+H73+H76+H79</f>
        <v>1723825.5799999998</v>
      </c>
      <c r="I57" s="141">
        <f>SUM(I61:I82)</f>
        <v>1731895.88</v>
      </c>
      <c r="J57" s="147" t="s">
        <v>203</v>
      </c>
      <c r="K57" s="136" t="s">
        <v>251</v>
      </c>
      <c r="L57" s="148">
        <v>65.599999999999994</v>
      </c>
      <c r="M57" s="146" t="s">
        <v>282</v>
      </c>
      <c r="N57" s="146" t="s">
        <v>282</v>
      </c>
      <c r="O57" s="146" t="s">
        <v>282</v>
      </c>
      <c r="P57" s="146" t="s">
        <v>282</v>
      </c>
    </row>
    <row r="58" spans="1:16" x14ac:dyDescent="0.25">
      <c r="A58" s="140"/>
      <c r="B58" s="129"/>
      <c r="C58" s="129"/>
      <c r="D58" s="143"/>
      <c r="E58" s="141"/>
      <c r="F58" s="141"/>
      <c r="G58" s="141"/>
      <c r="H58" s="141"/>
      <c r="I58" s="141"/>
      <c r="J58" s="147"/>
      <c r="K58" s="136"/>
      <c r="L58" s="148"/>
      <c r="M58" s="146"/>
      <c r="N58" s="146"/>
      <c r="O58" s="146"/>
      <c r="P58" s="146"/>
    </row>
    <row r="59" spans="1:16" ht="30" x14ac:dyDescent="0.25">
      <c r="A59" s="140"/>
      <c r="B59" s="129"/>
      <c r="C59" s="129"/>
      <c r="D59" s="143"/>
      <c r="E59" s="141"/>
      <c r="F59" s="141"/>
      <c r="G59" s="141"/>
      <c r="H59" s="141"/>
      <c r="I59" s="141"/>
      <c r="J59" s="79" t="s">
        <v>204</v>
      </c>
      <c r="K59" s="73" t="s">
        <v>251</v>
      </c>
      <c r="L59" s="78">
        <v>6.8</v>
      </c>
      <c r="M59" s="146" t="s">
        <v>282</v>
      </c>
      <c r="N59" s="146" t="s">
        <v>282</v>
      </c>
      <c r="O59" s="146" t="s">
        <v>282</v>
      </c>
      <c r="P59" s="146" t="s">
        <v>282</v>
      </c>
    </row>
    <row r="60" spans="1:16" ht="88.5" customHeight="1" x14ac:dyDescent="0.25">
      <c r="A60" s="140"/>
      <c r="B60" s="129"/>
      <c r="C60" s="129"/>
      <c r="D60" s="143"/>
      <c r="E60" s="141"/>
      <c r="F60" s="141"/>
      <c r="G60" s="141"/>
      <c r="H60" s="141"/>
      <c r="I60" s="141"/>
      <c r="J60" s="79" t="s">
        <v>205</v>
      </c>
      <c r="K60" s="73" t="s">
        <v>251</v>
      </c>
      <c r="L60" s="80">
        <v>27.9</v>
      </c>
      <c r="M60" s="146"/>
      <c r="N60" s="146"/>
      <c r="O60" s="146"/>
      <c r="P60" s="146"/>
    </row>
    <row r="61" spans="1:16" ht="60" x14ac:dyDescent="0.25">
      <c r="A61" s="129"/>
      <c r="B61" s="129" t="s">
        <v>1</v>
      </c>
      <c r="C61" s="129"/>
      <c r="D61" s="143" t="s">
        <v>122</v>
      </c>
      <c r="E61" s="134">
        <v>66131.5</v>
      </c>
      <c r="F61" s="134">
        <v>68471.7</v>
      </c>
      <c r="G61" s="134">
        <f>58884.9+13050.2</f>
        <v>71935.100000000006</v>
      </c>
      <c r="H61" s="134">
        <f>58884.9+13050.2</f>
        <v>71935.100000000006</v>
      </c>
      <c r="I61" s="134">
        <f>H61</f>
        <v>71935.100000000006</v>
      </c>
      <c r="J61" s="79" t="s">
        <v>206</v>
      </c>
      <c r="K61" s="73" t="s">
        <v>255</v>
      </c>
      <c r="L61" s="73">
        <v>897</v>
      </c>
      <c r="M61" s="73">
        <v>1000</v>
      </c>
      <c r="N61" s="73">
        <v>1000</v>
      </c>
      <c r="O61" s="73">
        <v>1000</v>
      </c>
      <c r="P61" s="73">
        <v>1000</v>
      </c>
    </row>
    <row r="62" spans="1:16" ht="60" x14ac:dyDescent="0.25">
      <c r="A62" s="129"/>
      <c r="B62" s="129"/>
      <c r="C62" s="129"/>
      <c r="D62" s="143"/>
      <c r="E62" s="134"/>
      <c r="F62" s="134"/>
      <c r="G62" s="134"/>
      <c r="H62" s="134"/>
      <c r="I62" s="134"/>
      <c r="J62" s="79" t="s">
        <v>207</v>
      </c>
      <c r="K62" s="73" t="s">
        <v>4</v>
      </c>
      <c r="L62" s="73">
        <v>82</v>
      </c>
      <c r="M62" s="73">
        <v>83</v>
      </c>
      <c r="N62" s="73">
        <v>84</v>
      </c>
      <c r="O62" s="73">
        <v>85</v>
      </c>
      <c r="P62" s="73">
        <v>85</v>
      </c>
    </row>
    <row r="63" spans="1:16" ht="45" x14ac:dyDescent="0.25">
      <c r="A63" s="129"/>
      <c r="B63" s="129"/>
      <c r="C63" s="129"/>
      <c r="D63" s="143"/>
      <c r="E63" s="134"/>
      <c r="F63" s="134"/>
      <c r="G63" s="134"/>
      <c r="H63" s="134"/>
      <c r="I63" s="134"/>
      <c r="J63" s="79" t="s">
        <v>208</v>
      </c>
      <c r="K63" s="73" t="s">
        <v>4</v>
      </c>
      <c r="L63" s="73" t="s">
        <v>283</v>
      </c>
      <c r="M63" s="73" t="s">
        <v>284</v>
      </c>
      <c r="N63" s="73" t="s">
        <v>283</v>
      </c>
      <c r="O63" s="73" t="s">
        <v>283</v>
      </c>
      <c r="P63" s="73" t="s">
        <v>283</v>
      </c>
    </row>
    <row r="64" spans="1:16" ht="60" x14ac:dyDescent="0.25">
      <c r="A64" s="129"/>
      <c r="B64" s="129"/>
      <c r="C64" s="129"/>
      <c r="D64" s="143"/>
      <c r="E64" s="134"/>
      <c r="F64" s="134"/>
      <c r="G64" s="134"/>
      <c r="H64" s="134"/>
      <c r="I64" s="134"/>
      <c r="J64" s="79" t="s">
        <v>209</v>
      </c>
      <c r="K64" s="73" t="s">
        <v>253</v>
      </c>
      <c r="L64" s="73">
        <v>29</v>
      </c>
      <c r="M64" s="73">
        <v>30</v>
      </c>
      <c r="N64" s="73">
        <v>31</v>
      </c>
      <c r="O64" s="73">
        <v>32</v>
      </c>
      <c r="P64" s="73">
        <v>32</v>
      </c>
    </row>
    <row r="65" spans="1:16" ht="30" x14ac:dyDescent="0.25">
      <c r="A65" s="29"/>
      <c r="B65" s="68" t="s">
        <v>2</v>
      </c>
      <c r="C65" s="29"/>
      <c r="D65" s="79" t="s">
        <v>123</v>
      </c>
      <c r="E65" s="76">
        <v>10073</v>
      </c>
      <c r="F65" s="76">
        <v>9962.7000000000007</v>
      </c>
      <c r="G65" s="76">
        <f>10257</f>
        <v>10257</v>
      </c>
      <c r="H65" s="76">
        <f>10257</f>
        <v>10257</v>
      </c>
      <c r="I65" s="76">
        <f>H65</f>
        <v>10257</v>
      </c>
      <c r="J65" s="79" t="s">
        <v>210</v>
      </c>
      <c r="K65" s="73" t="s">
        <v>252</v>
      </c>
      <c r="L65" s="15">
        <v>0.2</v>
      </c>
      <c r="M65" s="15">
        <v>0.2</v>
      </c>
      <c r="N65" s="15">
        <v>0.2</v>
      </c>
      <c r="O65" s="15">
        <v>0.2</v>
      </c>
      <c r="P65" s="15">
        <v>0.2</v>
      </c>
    </row>
    <row r="66" spans="1:16" ht="60" x14ac:dyDescent="0.25">
      <c r="A66" s="129"/>
      <c r="B66" s="129" t="s">
        <v>3</v>
      </c>
      <c r="C66" s="129"/>
      <c r="D66" s="143" t="s">
        <v>305</v>
      </c>
      <c r="E66" s="134">
        <v>12100</v>
      </c>
      <c r="F66" s="134">
        <v>9000</v>
      </c>
      <c r="G66" s="134"/>
      <c r="H66" s="134">
        <f>9000</f>
        <v>9000</v>
      </c>
      <c r="I66" s="134">
        <f>H66</f>
        <v>9000</v>
      </c>
      <c r="J66" s="61" t="s">
        <v>211</v>
      </c>
      <c r="K66" s="73" t="s">
        <v>261</v>
      </c>
      <c r="L66" s="53">
        <v>83.4</v>
      </c>
      <c r="M66" s="53">
        <v>82.5</v>
      </c>
      <c r="N66" s="53">
        <v>80.5</v>
      </c>
      <c r="O66" s="53">
        <v>75.5</v>
      </c>
      <c r="P66" s="53">
        <v>75.5</v>
      </c>
    </row>
    <row r="67" spans="1:16" x14ac:dyDescent="0.25">
      <c r="A67" s="129"/>
      <c r="B67" s="129"/>
      <c r="C67" s="129"/>
      <c r="D67" s="143"/>
      <c r="E67" s="134"/>
      <c r="F67" s="134"/>
      <c r="G67" s="134"/>
      <c r="H67" s="134"/>
      <c r="I67" s="134"/>
      <c r="J67" s="79" t="s">
        <v>212</v>
      </c>
      <c r="K67" s="73" t="s">
        <v>262</v>
      </c>
      <c r="L67" s="25">
        <v>235000</v>
      </c>
      <c r="M67" s="53">
        <v>167000</v>
      </c>
      <c r="N67" s="53">
        <v>306000</v>
      </c>
      <c r="O67" s="53">
        <v>313000</v>
      </c>
      <c r="P67" s="53">
        <v>314000</v>
      </c>
    </row>
    <row r="68" spans="1:16" ht="75" x14ac:dyDescent="0.25">
      <c r="A68" s="129"/>
      <c r="B68" s="129" t="s">
        <v>16</v>
      </c>
      <c r="C68" s="129"/>
      <c r="D68" s="147" t="s">
        <v>124</v>
      </c>
      <c r="E68" s="134">
        <v>112740.2</v>
      </c>
      <c r="F68" s="134">
        <v>120000</v>
      </c>
      <c r="G68" s="134">
        <v>145402.29999999999</v>
      </c>
      <c r="H68" s="134">
        <f>145402.3</f>
        <v>145402.29999999999</v>
      </c>
      <c r="I68" s="134">
        <f>H68</f>
        <v>145402.29999999999</v>
      </c>
      <c r="J68" s="79" t="s">
        <v>213</v>
      </c>
      <c r="K68" s="73" t="s">
        <v>4</v>
      </c>
      <c r="L68" s="15">
        <v>0.1</v>
      </c>
      <c r="M68" s="15">
        <v>0.1</v>
      </c>
      <c r="N68" s="15">
        <v>0.1</v>
      </c>
      <c r="O68" s="15">
        <v>0.1</v>
      </c>
      <c r="P68" s="15">
        <v>0.1</v>
      </c>
    </row>
    <row r="69" spans="1:16" ht="45" x14ac:dyDescent="0.25">
      <c r="A69" s="129"/>
      <c r="B69" s="129"/>
      <c r="C69" s="129"/>
      <c r="D69" s="147"/>
      <c r="E69" s="134"/>
      <c r="F69" s="134"/>
      <c r="G69" s="134"/>
      <c r="H69" s="134"/>
      <c r="I69" s="134"/>
      <c r="J69" s="79" t="s">
        <v>214</v>
      </c>
      <c r="K69" s="73" t="s">
        <v>255</v>
      </c>
      <c r="L69" s="73">
        <v>309</v>
      </c>
      <c r="M69" s="15" t="s">
        <v>277</v>
      </c>
      <c r="N69" s="15" t="s">
        <v>277</v>
      </c>
      <c r="O69" s="15" t="s">
        <v>277</v>
      </c>
      <c r="P69" s="15" t="s">
        <v>277</v>
      </c>
    </row>
    <row r="70" spans="1:16" ht="44.25" customHeight="1" x14ac:dyDescent="0.25">
      <c r="A70" s="29"/>
      <c r="B70" s="68" t="s">
        <v>17</v>
      </c>
      <c r="C70" s="29"/>
      <c r="D70" s="77" t="s">
        <v>125</v>
      </c>
      <c r="E70" s="76">
        <v>113667.2</v>
      </c>
      <c r="F70" s="76">
        <v>109333</v>
      </c>
      <c r="G70" s="76">
        <f>64835.9+44078.29</f>
        <v>108914.19</v>
      </c>
      <c r="H70" s="76">
        <f>64835+44078.29</f>
        <v>108913.29000000001</v>
      </c>
      <c r="I70" s="76">
        <f>H70</f>
        <v>108913.29000000001</v>
      </c>
      <c r="J70" s="79" t="s">
        <v>215</v>
      </c>
      <c r="K70" s="73" t="s">
        <v>36</v>
      </c>
      <c r="L70" s="78">
        <v>21000</v>
      </c>
      <c r="M70" s="78">
        <v>22000</v>
      </c>
      <c r="N70" s="78">
        <v>23000</v>
      </c>
      <c r="O70" s="78">
        <v>24000</v>
      </c>
      <c r="P70" s="78">
        <v>24000</v>
      </c>
    </row>
    <row r="71" spans="1:16" ht="45" x14ac:dyDescent="0.25">
      <c r="A71" s="129"/>
      <c r="B71" s="129" t="s">
        <v>18</v>
      </c>
      <c r="C71" s="129"/>
      <c r="D71" s="143" t="s">
        <v>126</v>
      </c>
      <c r="E71" s="134">
        <v>101713.1</v>
      </c>
      <c r="F71" s="134">
        <v>71188.5</v>
      </c>
      <c r="G71" s="134">
        <f>93442.8+29902.3</f>
        <v>123345.1</v>
      </c>
      <c r="H71" s="134">
        <f>93442.8+29902.3</f>
        <v>123345.1</v>
      </c>
      <c r="I71" s="134">
        <f>H71</f>
        <v>123345.1</v>
      </c>
      <c r="J71" s="79" t="s">
        <v>216</v>
      </c>
      <c r="K71" s="73" t="s">
        <v>4</v>
      </c>
      <c r="L71" s="18">
        <v>0.03</v>
      </c>
      <c r="M71" s="18">
        <v>0.03</v>
      </c>
      <c r="N71" s="18">
        <v>0.05</v>
      </c>
      <c r="O71" s="18">
        <v>7.0000000000000007E-2</v>
      </c>
      <c r="P71" s="18">
        <v>0.09</v>
      </c>
    </row>
    <row r="72" spans="1:16" ht="120" x14ac:dyDescent="0.25">
      <c r="A72" s="129"/>
      <c r="B72" s="129"/>
      <c r="C72" s="129"/>
      <c r="D72" s="143"/>
      <c r="E72" s="134"/>
      <c r="F72" s="134"/>
      <c r="G72" s="134"/>
      <c r="H72" s="134"/>
      <c r="I72" s="134"/>
      <c r="J72" s="79" t="s">
        <v>217</v>
      </c>
      <c r="K72" s="73" t="s">
        <v>4</v>
      </c>
      <c r="L72" s="18">
        <v>0.16</v>
      </c>
      <c r="M72" s="18">
        <v>0.22</v>
      </c>
      <c r="N72" s="18">
        <v>0.28999999999999998</v>
      </c>
      <c r="O72" s="18">
        <v>0.36</v>
      </c>
      <c r="P72" s="18">
        <v>0.09</v>
      </c>
    </row>
    <row r="73" spans="1:16" ht="45" x14ac:dyDescent="0.25">
      <c r="A73" s="29"/>
      <c r="B73" s="68" t="s">
        <v>19</v>
      </c>
      <c r="C73" s="29"/>
      <c r="D73" s="30" t="s">
        <v>127</v>
      </c>
      <c r="E73" s="76">
        <v>274237.8</v>
      </c>
      <c r="F73" s="76">
        <v>302237.5</v>
      </c>
      <c r="G73" s="76">
        <f>140575.7+133633.8</f>
        <v>274209.5</v>
      </c>
      <c r="H73" s="76">
        <f>140575.7+133633.8*1.05</f>
        <v>280891.19</v>
      </c>
      <c r="I73" s="76">
        <f>140575.7+133633.8*1.05</f>
        <v>280891.19</v>
      </c>
      <c r="J73" s="79" t="s">
        <v>218</v>
      </c>
      <c r="K73" s="73" t="s">
        <v>70</v>
      </c>
      <c r="L73" s="78">
        <v>16500</v>
      </c>
      <c r="M73" s="78">
        <v>17650</v>
      </c>
      <c r="N73" s="78">
        <v>18500</v>
      </c>
      <c r="O73" s="78">
        <v>19500</v>
      </c>
      <c r="P73" s="78">
        <v>19500</v>
      </c>
    </row>
    <row r="74" spans="1:16" ht="75" customHeight="1" x14ac:dyDescent="0.25">
      <c r="A74" s="129"/>
      <c r="B74" s="129" t="s">
        <v>20</v>
      </c>
      <c r="C74" s="129"/>
      <c r="D74" s="147" t="s">
        <v>128</v>
      </c>
      <c r="E74" s="134">
        <v>743599.2</v>
      </c>
      <c r="F74" s="134">
        <f>752707-29517.2</f>
        <v>723189.8</v>
      </c>
      <c r="G74" s="134">
        <v>709095</v>
      </c>
      <c r="H74" s="134">
        <f>646397.2</f>
        <v>646397.19999999995</v>
      </c>
      <c r="I74" s="134">
        <f>H74</f>
        <v>646397.19999999995</v>
      </c>
      <c r="J74" s="79" t="s">
        <v>219</v>
      </c>
      <c r="K74" s="73" t="s">
        <v>70</v>
      </c>
      <c r="L74" s="2">
        <v>1200</v>
      </c>
      <c r="M74" s="2">
        <v>1200</v>
      </c>
      <c r="N74" s="2">
        <v>1200</v>
      </c>
      <c r="O74" s="2">
        <v>1200</v>
      </c>
      <c r="P74" s="2">
        <v>1200</v>
      </c>
    </row>
    <row r="75" spans="1:16" ht="105.75" customHeight="1" x14ac:dyDescent="0.25">
      <c r="A75" s="129"/>
      <c r="B75" s="129"/>
      <c r="C75" s="129"/>
      <c r="D75" s="147"/>
      <c r="E75" s="134"/>
      <c r="F75" s="134"/>
      <c r="G75" s="134"/>
      <c r="H75" s="134"/>
      <c r="I75" s="134"/>
      <c r="J75" s="79" t="s">
        <v>220</v>
      </c>
      <c r="K75" s="73" t="s">
        <v>4</v>
      </c>
      <c r="L75" s="16">
        <v>0.95</v>
      </c>
      <c r="M75" s="16">
        <v>0.95</v>
      </c>
      <c r="N75" s="16">
        <v>0.95</v>
      </c>
      <c r="O75" s="16">
        <v>0.95</v>
      </c>
      <c r="P75" s="16">
        <v>0.95</v>
      </c>
    </row>
    <row r="76" spans="1:16" ht="45" x14ac:dyDescent="0.25">
      <c r="A76" s="29"/>
      <c r="B76" s="68" t="s">
        <v>23</v>
      </c>
      <c r="C76" s="29"/>
      <c r="D76" s="79" t="s">
        <v>129</v>
      </c>
      <c r="E76" s="76">
        <v>104800</v>
      </c>
      <c r="F76" s="76">
        <v>122000</v>
      </c>
      <c r="G76" s="76"/>
      <c r="H76" s="76">
        <f>128100*1.05</f>
        <v>134505</v>
      </c>
      <c r="I76" s="76">
        <f>H76*1.06</f>
        <v>142575.30000000002</v>
      </c>
      <c r="J76" s="53" t="s">
        <v>221</v>
      </c>
      <c r="K76" s="73" t="s">
        <v>70</v>
      </c>
      <c r="L76" s="78">
        <v>21139</v>
      </c>
      <c r="M76" s="78">
        <v>22000</v>
      </c>
      <c r="N76" s="78">
        <v>23000</v>
      </c>
      <c r="O76" s="78">
        <v>25000</v>
      </c>
      <c r="P76" s="78">
        <v>25000</v>
      </c>
    </row>
    <row r="77" spans="1:16" ht="30" x14ac:dyDescent="0.25">
      <c r="A77" s="129"/>
      <c r="B77" s="129" t="s">
        <v>37</v>
      </c>
      <c r="C77" s="129"/>
      <c r="D77" s="143" t="s">
        <v>130</v>
      </c>
      <c r="E77" s="134">
        <v>81811</v>
      </c>
      <c r="F77" s="134">
        <v>88987.5</v>
      </c>
      <c r="G77" s="134">
        <f>83558.8+7421.2</f>
        <v>90980</v>
      </c>
      <c r="H77" s="134">
        <f>83558.8+7420.6</f>
        <v>90979.400000000009</v>
      </c>
      <c r="I77" s="134">
        <f>H77</f>
        <v>90979.400000000009</v>
      </c>
      <c r="J77" s="79" t="s">
        <v>222</v>
      </c>
      <c r="K77" s="73" t="s">
        <v>263</v>
      </c>
      <c r="L77" s="78">
        <v>17200</v>
      </c>
      <c r="M77" s="78">
        <v>17700</v>
      </c>
      <c r="N77" s="78">
        <v>18200</v>
      </c>
      <c r="O77" s="78">
        <v>18700</v>
      </c>
      <c r="P77" s="78">
        <v>18700</v>
      </c>
    </row>
    <row r="78" spans="1:16" ht="90" x14ac:dyDescent="0.25">
      <c r="A78" s="129"/>
      <c r="B78" s="129"/>
      <c r="C78" s="129"/>
      <c r="D78" s="143"/>
      <c r="E78" s="134"/>
      <c r="F78" s="134"/>
      <c r="G78" s="134"/>
      <c r="H78" s="134"/>
      <c r="I78" s="134"/>
      <c r="J78" s="79" t="s">
        <v>223</v>
      </c>
      <c r="K78" s="73" t="s">
        <v>252</v>
      </c>
      <c r="L78" s="2">
        <v>95</v>
      </c>
      <c r="M78" s="2">
        <v>95</v>
      </c>
      <c r="N78" s="2">
        <v>95</v>
      </c>
      <c r="O78" s="2">
        <v>95</v>
      </c>
      <c r="P78" s="2">
        <v>95</v>
      </c>
    </row>
    <row r="79" spans="1:16" ht="45" x14ac:dyDescent="0.25">
      <c r="A79" s="29"/>
      <c r="B79" s="68" t="s">
        <v>38</v>
      </c>
      <c r="C79" s="29"/>
      <c r="D79" s="79" t="s">
        <v>131</v>
      </c>
      <c r="E79" s="76">
        <v>25600</v>
      </c>
      <c r="F79" s="76">
        <v>30000</v>
      </c>
      <c r="G79" s="76"/>
      <c r="H79" s="76">
        <f>30000</f>
        <v>30000</v>
      </c>
      <c r="I79" s="76">
        <f>H79</f>
        <v>30000</v>
      </c>
      <c r="J79" s="33" t="s">
        <v>224</v>
      </c>
      <c r="K79" s="73" t="s">
        <v>252</v>
      </c>
      <c r="L79" s="17">
        <v>0.1</v>
      </c>
      <c r="M79" s="17">
        <v>0.2</v>
      </c>
      <c r="N79" s="17">
        <v>0.3</v>
      </c>
      <c r="O79" s="17">
        <v>0.4</v>
      </c>
      <c r="P79" s="17">
        <v>0.4</v>
      </c>
    </row>
    <row r="80" spans="1:16" ht="75" x14ac:dyDescent="0.25">
      <c r="A80" s="129"/>
      <c r="B80" s="129" t="s">
        <v>39</v>
      </c>
      <c r="C80" s="129"/>
      <c r="D80" s="143" t="s">
        <v>132</v>
      </c>
      <c r="E80" s="76">
        <v>0</v>
      </c>
      <c r="F80" s="76">
        <v>0</v>
      </c>
      <c r="G80" s="76"/>
      <c r="H80" s="76">
        <v>0</v>
      </c>
      <c r="I80" s="76">
        <v>0</v>
      </c>
      <c r="J80" s="79" t="s">
        <v>225</v>
      </c>
      <c r="K80" s="73" t="s">
        <v>252</v>
      </c>
      <c r="L80" s="17">
        <v>0</v>
      </c>
      <c r="M80" s="17">
        <v>0.1</v>
      </c>
      <c r="N80" s="17">
        <v>0.2</v>
      </c>
      <c r="O80" s="17">
        <v>0.3</v>
      </c>
      <c r="P80" s="17">
        <v>0.3</v>
      </c>
    </row>
    <row r="81" spans="1:16" ht="60" x14ac:dyDescent="0.25">
      <c r="A81" s="129"/>
      <c r="B81" s="129"/>
      <c r="C81" s="129"/>
      <c r="D81" s="143"/>
      <c r="E81" s="76">
        <v>3000</v>
      </c>
      <c r="F81" s="76">
        <v>4300</v>
      </c>
      <c r="G81" s="76"/>
      <c r="H81" s="76">
        <f>4300</f>
        <v>4300</v>
      </c>
      <c r="I81" s="76">
        <f>H81</f>
        <v>4300</v>
      </c>
      <c r="J81" s="79" t="s">
        <v>226</v>
      </c>
      <c r="K81" s="73" t="s">
        <v>252</v>
      </c>
      <c r="L81" s="18">
        <v>0.2</v>
      </c>
      <c r="M81" s="17">
        <v>0.3</v>
      </c>
      <c r="N81" s="17">
        <v>0.3</v>
      </c>
      <c r="O81" s="17">
        <v>0.3</v>
      </c>
      <c r="P81" s="17">
        <v>0.3</v>
      </c>
    </row>
    <row r="82" spans="1:16" ht="69.75" customHeight="1" x14ac:dyDescent="0.25">
      <c r="A82" s="29"/>
      <c r="B82" s="68" t="s">
        <v>40</v>
      </c>
      <c r="C82" s="29"/>
      <c r="D82" s="79" t="s">
        <v>133</v>
      </c>
      <c r="E82" s="76">
        <v>63100</v>
      </c>
      <c r="F82" s="76">
        <v>67900</v>
      </c>
      <c r="G82" s="76"/>
      <c r="H82" s="76">
        <f>67900</f>
        <v>67900</v>
      </c>
      <c r="I82" s="76">
        <f>H82</f>
        <v>67900</v>
      </c>
      <c r="J82" s="72" t="s">
        <v>227</v>
      </c>
      <c r="K82" s="73" t="s">
        <v>252</v>
      </c>
      <c r="L82" s="16">
        <v>0.9</v>
      </c>
      <c r="M82" s="31">
        <v>0.95</v>
      </c>
      <c r="N82" s="31">
        <v>1</v>
      </c>
      <c r="O82" s="31">
        <v>1</v>
      </c>
      <c r="P82" s="31">
        <v>1</v>
      </c>
    </row>
    <row r="83" spans="1:16" ht="62.25" customHeight="1" x14ac:dyDescent="0.25">
      <c r="A83" s="140" t="s">
        <v>24</v>
      </c>
      <c r="B83" s="129"/>
      <c r="C83" s="129"/>
      <c r="D83" s="145" t="s">
        <v>134</v>
      </c>
      <c r="E83" s="141">
        <f t="shared" ref="E83:G83" si="1">SUM(E85:E94)</f>
        <v>925833.9</v>
      </c>
      <c r="F83" s="141">
        <f t="shared" si="1"/>
        <v>1012661.5</v>
      </c>
      <c r="G83" s="141">
        <f t="shared" si="1"/>
        <v>1227398.7</v>
      </c>
      <c r="H83" s="141">
        <f t="shared" ref="H83:I83" si="2">SUM(H85:H94)</f>
        <v>1193404.3999999999</v>
      </c>
      <c r="I83" s="141">
        <f t="shared" si="2"/>
        <v>1187188.2</v>
      </c>
      <c r="J83" s="79" t="s">
        <v>228</v>
      </c>
      <c r="K83" s="73" t="s">
        <v>41</v>
      </c>
      <c r="L83" s="42"/>
      <c r="M83" s="32">
        <v>2</v>
      </c>
      <c r="N83" s="32">
        <v>2</v>
      </c>
      <c r="O83" s="32">
        <v>2</v>
      </c>
      <c r="P83" s="32">
        <v>2</v>
      </c>
    </row>
    <row r="84" spans="1:16" ht="87.75" customHeight="1" x14ac:dyDescent="0.25">
      <c r="A84" s="140"/>
      <c r="B84" s="129"/>
      <c r="C84" s="129"/>
      <c r="D84" s="145"/>
      <c r="E84" s="142"/>
      <c r="F84" s="142"/>
      <c r="G84" s="142"/>
      <c r="H84" s="142"/>
      <c r="I84" s="142"/>
      <c r="J84" s="79" t="s">
        <v>229</v>
      </c>
      <c r="K84" s="73" t="s">
        <v>4</v>
      </c>
      <c r="L84" s="86"/>
      <c r="M84" s="86">
        <v>20</v>
      </c>
      <c r="N84" s="86">
        <v>50</v>
      </c>
      <c r="O84" s="86">
        <v>100</v>
      </c>
      <c r="P84" s="86">
        <v>100</v>
      </c>
    </row>
    <row r="85" spans="1:16" ht="45" x14ac:dyDescent="0.25">
      <c r="A85" s="129"/>
      <c r="B85" s="129" t="s">
        <v>1</v>
      </c>
      <c r="C85" s="129"/>
      <c r="D85" s="143" t="s">
        <v>306</v>
      </c>
      <c r="E85" s="134">
        <v>18196.099999999999</v>
      </c>
      <c r="F85" s="134">
        <v>29517.200000000001</v>
      </c>
      <c r="G85" s="134"/>
      <c r="H85" s="134">
        <f>27192.7</f>
        <v>27192.7</v>
      </c>
      <c r="I85" s="134">
        <f>H85</f>
        <v>27192.7</v>
      </c>
      <c r="J85" s="77" t="s">
        <v>230</v>
      </c>
      <c r="K85" s="73" t="s">
        <v>264</v>
      </c>
      <c r="L85" s="86">
        <v>14.8</v>
      </c>
      <c r="M85" s="86">
        <v>13</v>
      </c>
      <c r="N85" s="86">
        <v>14</v>
      </c>
      <c r="O85" s="86">
        <v>14</v>
      </c>
      <c r="P85" s="86">
        <v>14</v>
      </c>
    </row>
    <row r="86" spans="1:16" ht="51" customHeight="1" x14ac:dyDescent="0.25">
      <c r="A86" s="129"/>
      <c r="B86" s="129"/>
      <c r="C86" s="129"/>
      <c r="D86" s="143"/>
      <c r="E86" s="134"/>
      <c r="F86" s="134"/>
      <c r="G86" s="134"/>
      <c r="H86" s="134"/>
      <c r="I86" s="134"/>
      <c r="J86" s="77" t="s">
        <v>231</v>
      </c>
      <c r="K86" s="73" t="s">
        <v>264</v>
      </c>
      <c r="L86" s="73">
        <v>3219</v>
      </c>
      <c r="M86" s="73" t="s">
        <v>284</v>
      </c>
      <c r="N86" s="73" t="s">
        <v>284</v>
      </c>
      <c r="O86" s="73" t="s">
        <v>284</v>
      </c>
      <c r="P86" s="73" t="s">
        <v>283</v>
      </c>
    </row>
    <row r="87" spans="1:16" ht="95.25" customHeight="1" x14ac:dyDescent="0.25">
      <c r="A87" s="129"/>
      <c r="B87" s="129"/>
      <c r="C87" s="129"/>
      <c r="D87" s="143"/>
      <c r="E87" s="134"/>
      <c r="F87" s="134"/>
      <c r="G87" s="134"/>
      <c r="H87" s="134"/>
      <c r="I87" s="134"/>
      <c r="J87" s="77" t="s">
        <v>232</v>
      </c>
      <c r="K87" s="73" t="s">
        <v>70</v>
      </c>
      <c r="L87" s="73">
        <v>150</v>
      </c>
      <c r="M87" s="25">
        <v>150</v>
      </c>
      <c r="N87" s="25">
        <v>175</v>
      </c>
      <c r="O87" s="25">
        <v>175</v>
      </c>
      <c r="P87" s="25">
        <v>175</v>
      </c>
    </row>
    <row r="88" spans="1:16" ht="75" x14ac:dyDescent="0.25">
      <c r="A88" s="129"/>
      <c r="B88" s="129" t="s">
        <v>2</v>
      </c>
      <c r="C88" s="129"/>
      <c r="D88" s="144" t="s">
        <v>135</v>
      </c>
      <c r="E88" s="134">
        <v>554094.80000000005</v>
      </c>
      <c r="F88" s="134">
        <v>627246.30000000005</v>
      </c>
      <c r="G88" s="134">
        <f>87886.3+720170</f>
        <v>808056.3</v>
      </c>
      <c r="H88" s="134">
        <f>87886.3+720170-18690.4</f>
        <v>789365.9</v>
      </c>
      <c r="I88" s="134">
        <f>H88-10981.3+4765.1</f>
        <v>783149.7</v>
      </c>
      <c r="J88" s="77" t="s">
        <v>233</v>
      </c>
      <c r="K88" s="73" t="s">
        <v>70</v>
      </c>
      <c r="L88" s="73">
        <v>248</v>
      </c>
      <c r="M88" s="25">
        <v>252</v>
      </c>
      <c r="N88" s="25">
        <v>277</v>
      </c>
      <c r="O88" s="25">
        <v>378</v>
      </c>
      <c r="P88" s="25">
        <v>378</v>
      </c>
    </row>
    <row r="89" spans="1:16" ht="60" x14ac:dyDescent="0.25">
      <c r="A89" s="129"/>
      <c r="B89" s="129"/>
      <c r="C89" s="129"/>
      <c r="D89" s="144"/>
      <c r="E89" s="134"/>
      <c r="F89" s="134"/>
      <c r="G89" s="134"/>
      <c r="H89" s="134"/>
      <c r="I89" s="134"/>
      <c r="J89" s="77" t="s">
        <v>234</v>
      </c>
      <c r="K89" s="73" t="s">
        <v>70</v>
      </c>
      <c r="L89" s="78">
        <v>177</v>
      </c>
      <c r="M89" s="25">
        <v>298</v>
      </c>
      <c r="N89" s="25">
        <v>305</v>
      </c>
      <c r="O89" s="25">
        <v>367</v>
      </c>
      <c r="P89" s="25">
        <v>367</v>
      </c>
    </row>
    <row r="90" spans="1:16" ht="45" x14ac:dyDescent="0.25">
      <c r="A90" s="129"/>
      <c r="B90" s="129" t="s">
        <v>3</v>
      </c>
      <c r="C90" s="129"/>
      <c r="D90" s="143" t="s">
        <v>136</v>
      </c>
      <c r="E90" s="134">
        <v>144712.9</v>
      </c>
      <c r="F90" s="134">
        <v>139775.79999999999</v>
      </c>
      <c r="G90" s="134">
        <f>98579.6+66011.5</f>
        <v>164591.1</v>
      </c>
      <c r="H90" s="134">
        <f>78384.9+66011.5</f>
        <v>144396.4</v>
      </c>
      <c r="I90" s="134">
        <f>H90</f>
        <v>144396.4</v>
      </c>
      <c r="J90" s="77" t="s">
        <v>235</v>
      </c>
      <c r="K90" s="73" t="s">
        <v>70</v>
      </c>
      <c r="L90" s="73">
        <v>348</v>
      </c>
      <c r="M90" s="25">
        <v>367</v>
      </c>
      <c r="N90" s="25">
        <v>353</v>
      </c>
      <c r="O90" s="25">
        <v>345</v>
      </c>
      <c r="P90" s="25">
        <v>345</v>
      </c>
    </row>
    <row r="91" spans="1:16" ht="60.75" customHeight="1" x14ac:dyDescent="0.25">
      <c r="A91" s="129"/>
      <c r="B91" s="129"/>
      <c r="C91" s="129"/>
      <c r="D91" s="143"/>
      <c r="E91" s="134"/>
      <c r="F91" s="134"/>
      <c r="G91" s="134"/>
      <c r="H91" s="134"/>
      <c r="I91" s="134"/>
      <c r="J91" s="77" t="s">
        <v>236</v>
      </c>
      <c r="K91" s="73" t="s">
        <v>70</v>
      </c>
      <c r="L91" s="73">
        <v>11120</v>
      </c>
      <c r="M91" s="25">
        <v>11643</v>
      </c>
      <c r="N91" s="25">
        <v>11987</v>
      </c>
      <c r="O91" s="25">
        <v>12102</v>
      </c>
      <c r="P91" s="25">
        <v>12102</v>
      </c>
    </row>
    <row r="92" spans="1:16" ht="60" x14ac:dyDescent="0.25">
      <c r="A92" s="129"/>
      <c r="B92" s="129"/>
      <c r="C92" s="129"/>
      <c r="D92" s="143"/>
      <c r="E92" s="134"/>
      <c r="F92" s="134"/>
      <c r="G92" s="134"/>
      <c r="H92" s="134"/>
      <c r="I92" s="134"/>
      <c r="J92" s="79" t="s">
        <v>237</v>
      </c>
      <c r="K92" s="53" t="s">
        <v>265</v>
      </c>
      <c r="L92" s="73">
        <v>50</v>
      </c>
      <c r="M92" s="25">
        <v>50</v>
      </c>
      <c r="N92" s="25">
        <v>50</v>
      </c>
      <c r="O92" s="25">
        <v>50</v>
      </c>
      <c r="P92" s="25">
        <v>50</v>
      </c>
    </row>
    <row r="93" spans="1:16" ht="112.5" customHeight="1" x14ac:dyDescent="0.25">
      <c r="A93" s="129"/>
      <c r="B93" s="129" t="s">
        <v>16</v>
      </c>
      <c r="C93" s="129"/>
      <c r="D93" s="143" t="s">
        <v>137</v>
      </c>
      <c r="E93" s="134">
        <v>208830.1</v>
      </c>
      <c r="F93" s="134">
        <v>216122.2</v>
      </c>
      <c r="G93" s="134">
        <f>143391.3+111360</f>
        <v>254751.3</v>
      </c>
      <c r="H93" s="134">
        <f>121087.9+111361.5</f>
        <v>232449.4</v>
      </c>
      <c r="I93" s="134">
        <f>H93</f>
        <v>232449.4</v>
      </c>
      <c r="J93" s="77" t="s">
        <v>238</v>
      </c>
      <c r="K93" s="73" t="s">
        <v>263</v>
      </c>
      <c r="L93" s="73">
        <v>1519</v>
      </c>
      <c r="M93" s="25">
        <v>1110</v>
      </c>
      <c r="N93" s="25">
        <v>900</v>
      </c>
      <c r="O93" s="25">
        <v>900</v>
      </c>
      <c r="P93" s="25">
        <v>900</v>
      </c>
    </row>
    <row r="94" spans="1:16" ht="60" x14ac:dyDescent="0.25">
      <c r="A94" s="129"/>
      <c r="B94" s="129"/>
      <c r="C94" s="129"/>
      <c r="D94" s="143"/>
      <c r="E94" s="134"/>
      <c r="F94" s="134"/>
      <c r="G94" s="134"/>
      <c r="H94" s="134"/>
      <c r="I94" s="134"/>
      <c r="J94" s="79" t="s">
        <v>239</v>
      </c>
      <c r="K94" s="53" t="s">
        <v>265</v>
      </c>
      <c r="L94" s="73">
        <v>392</v>
      </c>
      <c r="M94" s="25">
        <v>392</v>
      </c>
      <c r="N94" s="25">
        <v>392</v>
      </c>
      <c r="O94" s="25">
        <v>392</v>
      </c>
      <c r="P94" s="25">
        <v>392</v>
      </c>
    </row>
    <row r="95" spans="1:16" ht="30" x14ac:dyDescent="0.25">
      <c r="A95" s="29"/>
      <c r="B95" s="68" t="s">
        <v>1</v>
      </c>
      <c r="C95" s="68"/>
      <c r="D95" s="54" t="s">
        <v>138</v>
      </c>
      <c r="E95" s="76"/>
      <c r="F95" s="76">
        <v>962151.5</v>
      </c>
      <c r="G95" s="76">
        <v>629609</v>
      </c>
      <c r="H95" s="76">
        <v>1769844.25</v>
      </c>
      <c r="I95" s="76">
        <v>2560856.89</v>
      </c>
      <c r="J95" s="53"/>
      <c r="K95" s="136"/>
      <c r="L95" s="136"/>
      <c r="M95" s="136"/>
      <c r="N95" s="136"/>
      <c r="O95" s="136"/>
      <c r="P95" s="136"/>
    </row>
    <row r="96" spans="1:16" x14ac:dyDescent="0.25">
      <c r="A96" s="22" t="s">
        <v>307</v>
      </c>
      <c r="B96" s="22"/>
      <c r="C96" s="101"/>
      <c r="D96" s="102"/>
      <c r="E96" s="23">
        <f t="shared" ref="E96:F96" si="3">E11+E33+E57+E83+E95</f>
        <v>3609408.989810857</v>
      </c>
      <c r="F96" s="23">
        <f t="shared" si="3"/>
        <v>4602618.7</v>
      </c>
      <c r="G96" s="23">
        <f>G11+G33+G57+G83+G95</f>
        <v>4455516.63</v>
      </c>
      <c r="H96" s="23">
        <f>SUM(H11,H33,H57,H83)+H95</f>
        <v>5751546.4879999999</v>
      </c>
      <c r="I96" s="23">
        <f>SUM(I11,I33,I57,I83)+I95</f>
        <v>6547324.1994800009</v>
      </c>
      <c r="J96" s="24"/>
      <c r="K96" s="135"/>
      <c r="L96" s="135"/>
      <c r="M96" s="135"/>
      <c r="N96" s="135"/>
      <c r="O96" s="135"/>
      <c r="P96" s="135"/>
    </row>
    <row r="97" spans="1:16" x14ac:dyDescent="0.25">
      <c r="A97" s="107" t="s">
        <v>139</v>
      </c>
      <c r="B97" s="108"/>
      <c r="C97" s="108"/>
      <c r="D97" s="109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</row>
    <row r="98" spans="1:16" x14ac:dyDescent="0.25">
      <c r="A98" s="110">
        <v>1</v>
      </c>
      <c r="B98" s="111"/>
      <c r="C98" s="112"/>
      <c r="D98" s="113" t="s">
        <v>140</v>
      </c>
      <c r="E98" s="115">
        <f>E102+E103+E104</f>
        <v>40089</v>
      </c>
      <c r="F98" s="115">
        <f>F102+F103+F104</f>
        <v>43138</v>
      </c>
      <c r="G98" s="115">
        <f>G102+G103+G104</f>
        <v>45438</v>
      </c>
      <c r="H98" s="115">
        <f>H102+H103+H104</f>
        <v>45938</v>
      </c>
      <c r="I98" s="115">
        <f>I102+I103+I104</f>
        <v>47275.700000000004</v>
      </c>
      <c r="J98" s="116" t="s">
        <v>46</v>
      </c>
      <c r="K98" s="103" t="s">
        <v>266</v>
      </c>
      <c r="L98" s="103">
        <v>89</v>
      </c>
      <c r="M98" s="103">
        <v>90</v>
      </c>
      <c r="N98" s="103">
        <v>93</v>
      </c>
      <c r="O98" s="103">
        <v>94</v>
      </c>
      <c r="P98" s="103">
        <v>95</v>
      </c>
    </row>
    <row r="99" spans="1:16" x14ac:dyDescent="0.25">
      <c r="A99" s="110"/>
      <c r="B99" s="111"/>
      <c r="C99" s="112"/>
      <c r="D99" s="114"/>
      <c r="E99" s="115"/>
      <c r="F99" s="115"/>
      <c r="G99" s="115"/>
      <c r="H99" s="115"/>
      <c r="I99" s="115"/>
      <c r="J99" s="116"/>
      <c r="K99" s="103"/>
      <c r="L99" s="103"/>
      <c r="M99" s="103"/>
      <c r="N99" s="103"/>
      <c r="O99" s="103"/>
      <c r="P99" s="103"/>
    </row>
    <row r="100" spans="1:16" x14ac:dyDescent="0.25">
      <c r="A100" s="110"/>
      <c r="B100" s="111"/>
      <c r="C100" s="112"/>
      <c r="D100" s="117" t="s">
        <v>141</v>
      </c>
      <c r="E100" s="115"/>
      <c r="F100" s="115"/>
      <c r="G100" s="115"/>
      <c r="H100" s="115"/>
      <c r="I100" s="115"/>
      <c r="J100" s="116"/>
      <c r="K100" s="103"/>
      <c r="L100" s="103"/>
      <c r="M100" s="103">
        <v>32</v>
      </c>
      <c r="N100" s="103"/>
      <c r="O100" s="103"/>
      <c r="P100" s="103"/>
    </row>
    <row r="101" spans="1:16" ht="80.25" customHeight="1" x14ac:dyDescent="0.25">
      <c r="A101" s="110"/>
      <c r="B101" s="111"/>
      <c r="C101" s="112"/>
      <c r="D101" s="118"/>
      <c r="E101" s="115"/>
      <c r="F101" s="115"/>
      <c r="G101" s="115"/>
      <c r="H101" s="115"/>
      <c r="I101" s="115"/>
      <c r="J101" s="35" t="s">
        <v>47</v>
      </c>
      <c r="K101" s="67" t="s">
        <v>0</v>
      </c>
      <c r="L101" s="67">
        <v>58.5</v>
      </c>
      <c r="M101" s="67">
        <v>59</v>
      </c>
      <c r="N101" s="67">
        <v>60</v>
      </c>
      <c r="O101" s="67">
        <v>61</v>
      </c>
      <c r="P101" s="67">
        <v>62</v>
      </c>
    </row>
    <row r="102" spans="1:16" ht="60" x14ac:dyDescent="0.25">
      <c r="A102" s="84"/>
      <c r="B102" s="88" t="s">
        <v>1</v>
      </c>
      <c r="C102" s="86"/>
      <c r="D102" s="55" t="s">
        <v>286</v>
      </c>
      <c r="E102" s="176">
        <v>40089</v>
      </c>
      <c r="F102" s="176">
        <v>43138</v>
      </c>
      <c r="G102" s="87">
        <v>29064</v>
      </c>
      <c r="H102" s="87">
        <v>29264</v>
      </c>
      <c r="I102" s="87">
        <v>29300.7</v>
      </c>
      <c r="J102" s="53" t="s">
        <v>240</v>
      </c>
      <c r="K102" s="41" t="s">
        <v>255</v>
      </c>
      <c r="L102" s="41">
        <v>0</v>
      </c>
      <c r="M102" s="41">
        <v>1</v>
      </c>
      <c r="N102" s="69">
        <v>2</v>
      </c>
      <c r="O102" s="69">
        <v>0</v>
      </c>
      <c r="P102" s="69">
        <v>0</v>
      </c>
    </row>
    <row r="103" spans="1:16" ht="75" x14ac:dyDescent="0.25">
      <c r="A103" s="84"/>
      <c r="B103" s="88" t="s">
        <v>2</v>
      </c>
      <c r="C103" s="86"/>
      <c r="D103" s="53" t="s">
        <v>142</v>
      </c>
      <c r="E103" s="176"/>
      <c r="F103" s="176"/>
      <c r="G103" s="87">
        <v>10511.5</v>
      </c>
      <c r="H103" s="87">
        <v>10511.5</v>
      </c>
      <c r="I103" s="87">
        <v>10658.6</v>
      </c>
      <c r="J103" s="1" t="s">
        <v>48</v>
      </c>
      <c r="K103" s="38" t="s">
        <v>255</v>
      </c>
      <c r="L103" s="38">
        <v>21</v>
      </c>
      <c r="M103" s="38">
        <v>22</v>
      </c>
      <c r="N103" s="38">
        <v>23</v>
      </c>
      <c r="O103" s="38">
        <v>24</v>
      </c>
      <c r="P103" s="38">
        <v>25</v>
      </c>
    </row>
    <row r="104" spans="1:16" ht="75" x14ac:dyDescent="0.25">
      <c r="A104" s="84"/>
      <c r="B104" s="88" t="s">
        <v>3</v>
      </c>
      <c r="C104" s="86"/>
      <c r="D104" s="13" t="s">
        <v>143</v>
      </c>
      <c r="E104" s="176"/>
      <c r="F104" s="176"/>
      <c r="G104" s="87">
        <v>5862.5</v>
      </c>
      <c r="H104" s="87">
        <v>6162.5</v>
      </c>
      <c r="I104" s="87">
        <v>7316.4</v>
      </c>
      <c r="J104" s="53" t="s">
        <v>49</v>
      </c>
      <c r="K104" s="41" t="s">
        <v>4</v>
      </c>
      <c r="L104" s="41">
        <v>90</v>
      </c>
      <c r="M104" s="43">
        <v>95</v>
      </c>
      <c r="N104" s="41">
        <v>100</v>
      </c>
      <c r="O104" s="41">
        <v>100</v>
      </c>
      <c r="P104" s="41">
        <v>100</v>
      </c>
    </row>
    <row r="105" spans="1:16" x14ac:dyDescent="0.25">
      <c r="A105" s="110">
        <v>2</v>
      </c>
      <c r="B105" s="177"/>
      <c r="C105" s="178"/>
      <c r="D105" s="119" t="s">
        <v>287</v>
      </c>
      <c r="E105" s="179">
        <f>E108+E110+E111+E112+E114+E116+E118+E119</f>
        <v>1952686.1999999997</v>
      </c>
      <c r="F105" s="115">
        <f>F108+F110+F111+F112+F114+F116+F118+F119</f>
        <v>1963313.4</v>
      </c>
      <c r="G105" s="115">
        <f>G108+G110+G111+G112+G114+G116+G118+G119</f>
        <v>1961713.4000000001</v>
      </c>
      <c r="H105" s="115">
        <f>H108+H110+H111+H112+H114+H116+H118+H119</f>
        <v>1962057.6</v>
      </c>
      <c r="I105" s="115">
        <f>I108+I110+I111+I112+I114+I116+I118+I119</f>
        <v>1962726.5</v>
      </c>
      <c r="J105" s="122" t="s">
        <v>288</v>
      </c>
      <c r="K105" s="106" t="s">
        <v>4</v>
      </c>
      <c r="L105" s="106">
        <v>51.7</v>
      </c>
      <c r="M105" s="106">
        <v>53</v>
      </c>
      <c r="N105" s="106">
        <v>54</v>
      </c>
      <c r="O105" s="106">
        <v>55</v>
      </c>
      <c r="P105" s="106">
        <v>56</v>
      </c>
    </row>
    <row r="106" spans="1:16" x14ac:dyDescent="0.25">
      <c r="A106" s="110"/>
      <c r="B106" s="177"/>
      <c r="C106" s="178"/>
      <c r="D106" s="120"/>
      <c r="E106" s="179"/>
      <c r="F106" s="115"/>
      <c r="G106" s="115"/>
      <c r="H106" s="115"/>
      <c r="I106" s="115"/>
      <c r="J106" s="122"/>
      <c r="K106" s="106"/>
      <c r="L106" s="106"/>
      <c r="M106" s="106"/>
      <c r="N106" s="106"/>
      <c r="O106" s="106"/>
      <c r="P106" s="106"/>
    </row>
    <row r="107" spans="1:16" ht="90" customHeight="1" x14ac:dyDescent="0.25">
      <c r="A107" s="110"/>
      <c r="B107" s="177"/>
      <c r="C107" s="178"/>
      <c r="D107" s="121"/>
      <c r="E107" s="180"/>
      <c r="F107" s="152"/>
      <c r="G107" s="152"/>
      <c r="H107" s="152"/>
      <c r="I107" s="152"/>
      <c r="J107" s="62" t="s">
        <v>289</v>
      </c>
      <c r="K107" s="64" t="s">
        <v>5</v>
      </c>
      <c r="L107" s="46">
        <v>307.7</v>
      </c>
      <c r="M107" s="46">
        <v>444.1</v>
      </c>
      <c r="N107" s="46">
        <v>448.1</v>
      </c>
      <c r="O107" s="46">
        <v>449.1</v>
      </c>
      <c r="P107" s="46">
        <v>454</v>
      </c>
    </row>
    <row r="108" spans="1:16" x14ac:dyDescent="0.25">
      <c r="A108" s="172"/>
      <c r="B108" s="173">
        <v>1</v>
      </c>
      <c r="C108" s="174"/>
      <c r="D108" s="175" t="s">
        <v>144</v>
      </c>
      <c r="E108" s="176">
        <f>[1]приложение1!$L$47</f>
        <v>18000</v>
      </c>
      <c r="F108" s="176">
        <f>'[2]приложение 1 '!$J$41</f>
        <v>18000</v>
      </c>
      <c r="G108" s="176">
        <v>12900</v>
      </c>
      <c r="H108" s="176">
        <v>12900</v>
      </c>
      <c r="I108" s="176">
        <v>12900</v>
      </c>
      <c r="J108" s="104" t="s">
        <v>50</v>
      </c>
      <c r="K108" s="133" t="s">
        <v>267</v>
      </c>
      <c r="L108" s="130" t="s">
        <v>6</v>
      </c>
      <c r="M108" s="130" t="s">
        <v>7</v>
      </c>
      <c r="N108" s="130" t="s">
        <v>7</v>
      </c>
      <c r="O108" s="130" t="s">
        <v>8</v>
      </c>
      <c r="P108" s="130" t="s">
        <v>9</v>
      </c>
    </row>
    <row r="109" spans="1:16" x14ac:dyDescent="0.25">
      <c r="A109" s="172"/>
      <c r="B109" s="173"/>
      <c r="C109" s="174"/>
      <c r="D109" s="104"/>
      <c r="E109" s="176"/>
      <c r="F109" s="176"/>
      <c r="G109" s="176"/>
      <c r="H109" s="176"/>
      <c r="I109" s="176"/>
      <c r="J109" s="104"/>
      <c r="K109" s="133"/>
      <c r="L109" s="130"/>
      <c r="M109" s="130"/>
      <c r="N109" s="130"/>
      <c r="O109" s="130"/>
      <c r="P109" s="130"/>
    </row>
    <row r="110" spans="1:16" ht="30" x14ac:dyDescent="0.25">
      <c r="A110" s="11"/>
      <c r="B110" s="85">
        <v>2</v>
      </c>
      <c r="C110" s="3"/>
      <c r="D110" s="72" t="s">
        <v>308</v>
      </c>
      <c r="E110" s="87">
        <v>53830.2</v>
      </c>
      <c r="F110" s="87">
        <v>67212.399999999994</v>
      </c>
      <c r="G110" s="87">
        <v>46000</v>
      </c>
      <c r="H110" s="87">
        <v>46000</v>
      </c>
      <c r="I110" s="87">
        <v>46000</v>
      </c>
      <c r="J110" s="104"/>
      <c r="K110" s="69" t="s">
        <v>268</v>
      </c>
      <c r="L110" s="70" t="s">
        <v>10</v>
      </c>
      <c r="M110" s="70" t="s">
        <v>11</v>
      </c>
      <c r="N110" s="70" t="s">
        <v>12</v>
      </c>
      <c r="O110" s="70" t="s">
        <v>12</v>
      </c>
      <c r="P110" s="70" t="s">
        <v>12</v>
      </c>
    </row>
    <row r="111" spans="1:16" ht="75" x14ac:dyDescent="0.25">
      <c r="A111" s="11"/>
      <c r="B111" s="88" t="s">
        <v>3</v>
      </c>
      <c r="C111" s="5"/>
      <c r="D111" s="6" t="s">
        <v>309</v>
      </c>
      <c r="E111" s="87">
        <f>[1]приложение1!$L$32</f>
        <v>1116578.4999999998</v>
      </c>
      <c r="F111" s="87">
        <f>'[2]приложение 1 '!$J$26</f>
        <v>1054267.8</v>
      </c>
      <c r="G111" s="87">
        <f>1066372.1+90000</f>
        <v>1156372.1000000001</v>
      </c>
      <c r="H111" s="87">
        <v>1156716.3</v>
      </c>
      <c r="I111" s="87">
        <v>1157385.2</v>
      </c>
      <c r="J111" s="104"/>
      <c r="K111" s="69" t="s">
        <v>13</v>
      </c>
      <c r="L111" s="69" t="s">
        <v>14</v>
      </c>
      <c r="M111" s="69" t="s">
        <v>15</v>
      </c>
      <c r="N111" s="69" t="s">
        <v>87</v>
      </c>
      <c r="O111" s="69" t="s">
        <v>88</v>
      </c>
      <c r="P111" s="69" t="s">
        <v>89</v>
      </c>
    </row>
    <row r="112" spans="1:16" x14ac:dyDescent="0.25">
      <c r="A112" s="172"/>
      <c r="B112" s="181" t="s">
        <v>16</v>
      </c>
      <c r="C112" s="181"/>
      <c r="D112" s="104" t="s">
        <v>75</v>
      </c>
      <c r="E112" s="176">
        <f>[1]приложение1!$L$44</f>
        <v>364834.1</v>
      </c>
      <c r="F112" s="176">
        <f>'[2]приложение 1 '!$J$38</f>
        <v>289000</v>
      </c>
      <c r="G112" s="176">
        <v>301000</v>
      </c>
      <c r="H112" s="176">
        <v>301000</v>
      </c>
      <c r="I112" s="176">
        <v>301000</v>
      </c>
      <c r="J112" s="104"/>
      <c r="K112" s="131" t="s">
        <v>271</v>
      </c>
      <c r="L112" s="132" t="s">
        <v>90</v>
      </c>
      <c r="M112" s="132" t="s">
        <v>91</v>
      </c>
      <c r="N112" s="132" t="s">
        <v>92</v>
      </c>
      <c r="O112" s="132" t="s">
        <v>93</v>
      </c>
      <c r="P112" s="132" t="s">
        <v>94</v>
      </c>
    </row>
    <row r="113" spans="1:16" x14ac:dyDescent="0.25">
      <c r="A113" s="172"/>
      <c r="B113" s="181"/>
      <c r="C113" s="181"/>
      <c r="D113" s="104"/>
      <c r="E113" s="176"/>
      <c r="F113" s="176"/>
      <c r="G113" s="176"/>
      <c r="H113" s="176"/>
      <c r="I113" s="176"/>
      <c r="J113" s="104"/>
      <c r="K113" s="131"/>
      <c r="L113" s="131"/>
      <c r="M113" s="131"/>
      <c r="N113" s="131"/>
      <c r="O113" s="131"/>
      <c r="P113" s="131"/>
    </row>
    <row r="114" spans="1:16" ht="45" x14ac:dyDescent="0.25">
      <c r="A114" s="172"/>
      <c r="B114" s="181" t="s">
        <v>17</v>
      </c>
      <c r="C114" s="181"/>
      <c r="D114" s="104" t="s">
        <v>76</v>
      </c>
      <c r="E114" s="176">
        <v>204267.2</v>
      </c>
      <c r="F114" s="176">
        <v>190000</v>
      </c>
      <c r="G114" s="176">
        <v>190000</v>
      </c>
      <c r="H114" s="176">
        <v>190000</v>
      </c>
      <c r="I114" s="176">
        <v>190000</v>
      </c>
      <c r="J114" s="33" t="s">
        <v>51</v>
      </c>
      <c r="K114" s="69" t="s">
        <v>4</v>
      </c>
      <c r="L114" s="69">
        <v>100</v>
      </c>
      <c r="M114" s="69">
        <v>100</v>
      </c>
      <c r="N114" s="69">
        <v>100</v>
      </c>
      <c r="O114" s="69">
        <v>100</v>
      </c>
      <c r="P114" s="69">
        <v>100</v>
      </c>
    </row>
    <row r="115" spans="1:16" ht="30" x14ac:dyDescent="0.25">
      <c r="A115" s="172"/>
      <c r="B115" s="181"/>
      <c r="C115" s="181"/>
      <c r="D115" s="104"/>
      <c r="E115" s="176"/>
      <c r="F115" s="176"/>
      <c r="G115" s="176"/>
      <c r="H115" s="176"/>
      <c r="I115" s="176"/>
      <c r="J115" s="33" t="s">
        <v>52</v>
      </c>
      <c r="K115" s="69" t="s">
        <v>256</v>
      </c>
      <c r="L115" s="69">
        <v>100</v>
      </c>
      <c r="M115" s="69">
        <v>95</v>
      </c>
      <c r="N115" s="69">
        <v>90</v>
      </c>
      <c r="O115" s="69">
        <v>80</v>
      </c>
      <c r="P115" s="69">
        <v>75</v>
      </c>
    </row>
    <row r="116" spans="1:16" ht="30" x14ac:dyDescent="0.25">
      <c r="A116" s="172"/>
      <c r="B116" s="181" t="s">
        <v>18</v>
      </c>
      <c r="C116" s="181"/>
      <c r="D116" s="104" t="s">
        <v>77</v>
      </c>
      <c r="E116" s="176">
        <f>[1]приложение1!$L$50</f>
        <v>11000</v>
      </c>
      <c r="F116" s="176">
        <f>'[2]приложение 1 '!$J$44</f>
        <v>11000</v>
      </c>
      <c r="G116" s="176">
        <v>5000</v>
      </c>
      <c r="H116" s="176">
        <v>5000</v>
      </c>
      <c r="I116" s="176">
        <v>5000</v>
      </c>
      <c r="J116" s="34" t="s">
        <v>53</v>
      </c>
      <c r="K116" s="66" t="s">
        <v>256</v>
      </c>
      <c r="L116" s="66">
        <v>280</v>
      </c>
      <c r="M116" s="66">
        <v>50</v>
      </c>
      <c r="N116" s="66">
        <v>60</v>
      </c>
      <c r="O116" s="66">
        <v>65</v>
      </c>
      <c r="P116" s="66">
        <v>70</v>
      </c>
    </row>
    <row r="117" spans="1:16" ht="45" x14ac:dyDescent="0.25">
      <c r="A117" s="172"/>
      <c r="B117" s="181"/>
      <c r="C117" s="181"/>
      <c r="D117" s="104"/>
      <c r="E117" s="176"/>
      <c r="F117" s="176"/>
      <c r="G117" s="176"/>
      <c r="H117" s="176"/>
      <c r="I117" s="176"/>
      <c r="J117" s="34" t="s">
        <v>54</v>
      </c>
      <c r="K117" s="66" t="s">
        <v>4</v>
      </c>
      <c r="L117" s="66">
        <v>60</v>
      </c>
      <c r="M117" s="66">
        <v>65</v>
      </c>
      <c r="N117" s="66">
        <v>70</v>
      </c>
      <c r="O117" s="66">
        <v>75</v>
      </c>
      <c r="P117" s="66">
        <v>78</v>
      </c>
    </row>
    <row r="118" spans="1:16" ht="45" x14ac:dyDescent="0.25">
      <c r="A118" s="84"/>
      <c r="B118" s="88" t="s">
        <v>19</v>
      </c>
      <c r="C118" s="88"/>
      <c r="D118" s="72" t="s">
        <v>145</v>
      </c>
      <c r="E118" s="87">
        <f>[1]приложение1!$L$48+[1]приложение1!$L$51</f>
        <v>181176.2</v>
      </c>
      <c r="F118" s="87">
        <f>'[2]приложение 1 '!$J$42+'[2]приложение 1 '!$J$45</f>
        <v>181541.3</v>
      </c>
      <c r="G118" s="87">
        <v>200441.3</v>
      </c>
      <c r="H118" s="87">
        <v>200441.3</v>
      </c>
      <c r="I118" s="87">
        <v>200441.3</v>
      </c>
      <c r="J118" s="33" t="s">
        <v>55</v>
      </c>
      <c r="K118" s="69" t="s">
        <v>5</v>
      </c>
      <c r="L118" s="69">
        <v>310</v>
      </c>
      <c r="M118" s="69">
        <v>280</v>
      </c>
      <c r="N118" s="69">
        <v>250</v>
      </c>
      <c r="O118" s="69">
        <v>210</v>
      </c>
      <c r="P118" s="69">
        <v>200</v>
      </c>
    </row>
    <row r="119" spans="1:16" ht="45" x14ac:dyDescent="0.25">
      <c r="A119" s="84"/>
      <c r="B119" s="88" t="s">
        <v>20</v>
      </c>
      <c r="C119" s="88"/>
      <c r="D119" s="91" t="s">
        <v>146</v>
      </c>
      <c r="E119" s="87">
        <f>[1]приложение1!$L$49</f>
        <v>3000</v>
      </c>
      <c r="F119" s="87">
        <f>'[2]приложение 1 '!$J$43</f>
        <v>152291.9</v>
      </c>
      <c r="G119" s="87">
        <v>50000</v>
      </c>
      <c r="H119" s="87">
        <v>50000</v>
      </c>
      <c r="I119" s="87">
        <v>50000</v>
      </c>
      <c r="J119" s="33" t="s">
        <v>241</v>
      </c>
      <c r="K119" s="69" t="s">
        <v>4</v>
      </c>
      <c r="L119" s="69">
        <v>45</v>
      </c>
      <c r="M119" s="69">
        <v>47</v>
      </c>
      <c r="N119" s="69">
        <v>49</v>
      </c>
      <c r="O119" s="69">
        <v>51</v>
      </c>
      <c r="P119" s="69">
        <v>53</v>
      </c>
    </row>
    <row r="120" spans="1:16" ht="33" customHeight="1" x14ac:dyDescent="0.25">
      <c r="A120" s="112" t="s">
        <v>21</v>
      </c>
      <c r="B120" s="112"/>
      <c r="C120" s="182"/>
      <c r="D120" s="83" t="s">
        <v>78</v>
      </c>
      <c r="E120" s="179">
        <f>E124+E127+E130+E133+E136+E139+E142+E145+E144</f>
        <v>6103921.9000000004</v>
      </c>
      <c r="F120" s="115">
        <f>F124+F127+F130+F133+F136+F139+F142+F145</f>
        <v>12020118.700000001</v>
      </c>
      <c r="G120" s="115">
        <f>G124+G127+G130+G133+G136+G139+G142+G145</f>
        <v>8486341.4000000004</v>
      </c>
      <c r="H120" s="115">
        <f>H124+H127+H130+H133+H136+H139+H142+H145</f>
        <v>11081136.9</v>
      </c>
      <c r="I120" s="115">
        <f>I124+I127+I130+I133+I136+I139+I142+I145</f>
        <v>4608300</v>
      </c>
      <c r="J120" s="122" t="s">
        <v>242</v>
      </c>
      <c r="K120" s="128" t="s">
        <v>5</v>
      </c>
      <c r="L120" s="103">
        <v>154.5</v>
      </c>
      <c r="M120" s="103">
        <v>85</v>
      </c>
      <c r="N120" s="124">
        <v>153.30000000000001</v>
      </c>
      <c r="O120" s="124">
        <v>159</v>
      </c>
      <c r="P120" s="124">
        <v>92.3</v>
      </c>
    </row>
    <row r="121" spans="1:16" x14ac:dyDescent="0.25">
      <c r="A121" s="112"/>
      <c r="B121" s="112"/>
      <c r="C121" s="182"/>
      <c r="D121" s="117" t="s">
        <v>147</v>
      </c>
      <c r="E121" s="179"/>
      <c r="F121" s="115"/>
      <c r="G121" s="115"/>
      <c r="H121" s="115"/>
      <c r="I121" s="115"/>
      <c r="J121" s="122"/>
      <c r="K121" s="128"/>
      <c r="L121" s="103"/>
      <c r="M121" s="103"/>
      <c r="N121" s="103"/>
      <c r="O121" s="103"/>
      <c r="P121" s="103"/>
    </row>
    <row r="122" spans="1:16" x14ac:dyDescent="0.25">
      <c r="A122" s="112"/>
      <c r="B122" s="112"/>
      <c r="C122" s="182"/>
      <c r="D122" s="117"/>
      <c r="E122" s="179"/>
      <c r="F122" s="115"/>
      <c r="G122" s="115"/>
      <c r="H122" s="115"/>
      <c r="I122" s="115"/>
      <c r="J122" s="122"/>
      <c r="K122" s="128"/>
      <c r="L122" s="103"/>
      <c r="M122" s="103"/>
      <c r="N122" s="103"/>
      <c r="O122" s="103"/>
      <c r="P122" s="103"/>
    </row>
    <row r="123" spans="1:16" ht="165.75" customHeight="1" x14ac:dyDescent="0.25">
      <c r="A123" s="112"/>
      <c r="B123" s="112"/>
      <c r="C123" s="182"/>
      <c r="D123" s="118"/>
      <c r="E123" s="179"/>
      <c r="F123" s="115"/>
      <c r="G123" s="115"/>
      <c r="H123" s="115"/>
      <c r="I123" s="115"/>
      <c r="J123" s="122"/>
      <c r="K123" s="128"/>
      <c r="L123" s="103"/>
      <c r="M123" s="103"/>
      <c r="N123" s="103"/>
      <c r="O123" s="103"/>
      <c r="P123" s="103"/>
    </row>
    <row r="124" spans="1:16" x14ac:dyDescent="0.25">
      <c r="A124" s="181"/>
      <c r="B124" s="181" t="s">
        <v>1</v>
      </c>
      <c r="C124" s="181"/>
      <c r="D124" s="175" t="s">
        <v>79</v>
      </c>
      <c r="E124" s="176">
        <v>537485.5</v>
      </c>
      <c r="F124" s="176">
        <v>37217.5</v>
      </c>
      <c r="G124" s="176">
        <v>296100</v>
      </c>
      <c r="H124" s="176"/>
      <c r="I124" s="176">
        <v>0</v>
      </c>
      <c r="J124" s="53" t="s">
        <v>56</v>
      </c>
      <c r="K124" s="39" t="s">
        <v>5</v>
      </c>
      <c r="L124" s="97">
        <v>30</v>
      </c>
      <c r="M124" s="71">
        <v>0</v>
      </c>
      <c r="N124" s="71">
        <v>0</v>
      </c>
      <c r="O124" s="71">
        <v>0</v>
      </c>
      <c r="P124" s="71">
        <v>0</v>
      </c>
    </row>
    <row r="125" spans="1:16" ht="30" x14ac:dyDescent="0.25">
      <c r="A125" s="181"/>
      <c r="B125" s="181"/>
      <c r="C125" s="181"/>
      <c r="D125" s="104"/>
      <c r="E125" s="176"/>
      <c r="F125" s="176"/>
      <c r="G125" s="176"/>
      <c r="H125" s="176"/>
      <c r="I125" s="176"/>
      <c r="J125" s="53" t="s">
        <v>243</v>
      </c>
      <c r="K125" s="36" t="s">
        <v>4</v>
      </c>
      <c r="L125" s="41">
        <v>0</v>
      </c>
      <c r="M125" s="40">
        <v>0</v>
      </c>
      <c r="N125" s="40">
        <v>0</v>
      </c>
      <c r="O125" s="40">
        <v>0</v>
      </c>
      <c r="P125" s="40">
        <v>0</v>
      </c>
    </row>
    <row r="126" spans="1:16" ht="30" x14ac:dyDescent="0.25">
      <c r="A126" s="181"/>
      <c r="B126" s="181"/>
      <c r="C126" s="181"/>
      <c r="D126" s="104"/>
      <c r="E126" s="176"/>
      <c r="F126" s="176"/>
      <c r="G126" s="176"/>
      <c r="H126" s="176"/>
      <c r="I126" s="176"/>
      <c r="J126" s="53" t="s">
        <v>58</v>
      </c>
      <c r="K126" s="36" t="s">
        <v>22</v>
      </c>
      <c r="L126" s="40">
        <v>23958</v>
      </c>
      <c r="M126" s="40">
        <v>24108</v>
      </c>
      <c r="N126" s="40">
        <v>24258</v>
      </c>
      <c r="O126" s="40">
        <v>24358</v>
      </c>
      <c r="P126" s="40">
        <v>24508</v>
      </c>
    </row>
    <row r="127" spans="1:16" x14ac:dyDescent="0.25">
      <c r="A127" s="181"/>
      <c r="B127" s="181" t="s">
        <v>2</v>
      </c>
      <c r="C127" s="181"/>
      <c r="D127" s="104" t="s">
        <v>80</v>
      </c>
      <c r="E127" s="176">
        <v>1183162.7000000002</v>
      </c>
      <c r="F127" s="176">
        <v>1187542.5</v>
      </c>
      <c r="G127" s="176">
        <f>830117.9-212400</f>
        <v>617717.9</v>
      </c>
      <c r="H127" s="176">
        <v>1316647.2</v>
      </c>
      <c r="I127" s="176">
        <v>1333266</v>
      </c>
      <c r="J127" s="53" t="s">
        <v>56</v>
      </c>
      <c r="K127" s="36" t="s">
        <v>5</v>
      </c>
      <c r="L127" s="69">
        <v>54</v>
      </c>
      <c r="M127" s="37">
        <v>27</v>
      </c>
      <c r="N127" s="37">
        <v>18</v>
      </c>
      <c r="O127" s="37">
        <v>16</v>
      </c>
      <c r="P127" s="37">
        <v>21</v>
      </c>
    </row>
    <row r="128" spans="1:16" x14ac:dyDescent="0.25">
      <c r="A128" s="181"/>
      <c r="B128" s="181"/>
      <c r="C128" s="181"/>
      <c r="D128" s="104"/>
      <c r="E128" s="176"/>
      <c r="F128" s="176"/>
      <c r="G128" s="176"/>
      <c r="H128" s="176"/>
      <c r="I128" s="176"/>
      <c r="J128" s="53" t="s">
        <v>57</v>
      </c>
      <c r="K128" s="36" t="s">
        <v>4</v>
      </c>
      <c r="L128" s="41">
        <v>5</v>
      </c>
      <c r="M128" s="40">
        <v>15</v>
      </c>
      <c r="N128" s="40">
        <v>20</v>
      </c>
      <c r="O128" s="40">
        <v>25</v>
      </c>
      <c r="P128" s="40">
        <v>35</v>
      </c>
    </row>
    <row r="129" spans="1:16" ht="30" x14ac:dyDescent="0.25">
      <c r="A129" s="181"/>
      <c r="B129" s="181"/>
      <c r="C129" s="181"/>
      <c r="D129" s="104"/>
      <c r="E129" s="176"/>
      <c r="F129" s="176"/>
      <c r="G129" s="176"/>
      <c r="H129" s="176"/>
      <c r="I129" s="176"/>
      <c r="J129" s="53" t="s">
        <v>58</v>
      </c>
      <c r="K129" s="36" t="s">
        <v>22</v>
      </c>
      <c r="L129" s="41">
        <v>2483.3000000000002</v>
      </c>
      <c r="M129" s="47">
        <v>2681.3</v>
      </c>
      <c r="N129" s="47">
        <v>2300</v>
      </c>
      <c r="O129" s="47">
        <v>3550</v>
      </c>
      <c r="P129" s="47">
        <v>3650</v>
      </c>
    </row>
    <row r="130" spans="1:16" x14ac:dyDescent="0.25">
      <c r="A130" s="181"/>
      <c r="B130" s="181" t="s">
        <v>3</v>
      </c>
      <c r="C130" s="181"/>
      <c r="D130" s="183" t="s">
        <v>81</v>
      </c>
      <c r="E130" s="176">
        <v>1304830.3999999999</v>
      </c>
      <c r="F130" s="176">
        <v>2296420</v>
      </c>
      <c r="G130" s="176">
        <v>2679000</v>
      </c>
      <c r="H130" s="176">
        <v>2520552</v>
      </c>
      <c r="I130" s="176">
        <v>609577.4</v>
      </c>
      <c r="J130" s="53" t="s">
        <v>56</v>
      </c>
      <c r="K130" s="36" t="s">
        <v>5</v>
      </c>
      <c r="L130" s="41">
        <v>9.5</v>
      </c>
      <c r="M130" s="40">
        <v>13</v>
      </c>
      <c r="N130" s="40">
        <v>42.6</v>
      </c>
      <c r="O130" s="40">
        <v>25</v>
      </c>
      <c r="P130" s="40">
        <v>22.3</v>
      </c>
    </row>
    <row r="131" spans="1:16" ht="30" x14ac:dyDescent="0.25">
      <c r="A131" s="181"/>
      <c r="B131" s="181"/>
      <c r="C131" s="181"/>
      <c r="D131" s="183"/>
      <c r="E131" s="176"/>
      <c r="F131" s="176"/>
      <c r="G131" s="176"/>
      <c r="H131" s="176"/>
      <c r="I131" s="176"/>
      <c r="J131" s="53" t="s">
        <v>244</v>
      </c>
      <c r="K131" s="36" t="s">
        <v>4</v>
      </c>
      <c r="L131" s="41">
        <v>0</v>
      </c>
      <c r="M131" s="40">
        <v>5</v>
      </c>
      <c r="N131" s="40">
        <v>10</v>
      </c>
      <c r="O131" s="40">
        <v>0</v>
      </c>
      <c r="P131" s="40">
        <v>0</v>
      </c>
    </row>
    <row r="132" spans="1:16" ht="30" x14ac:dyDescent="0.25">
      <c r="A132" s="181"/>
      <c r="B132" s="181"/>
      <c r="C132" s="181"/>
      <c r="D132" s="183"/>
      <c r="E132" s="176"/>
      <c r="F132" s="176"/>
      <c r="G132" s="176"/>
      <c r="H132" s="176"/>
      <c r="I132" s="176"/>
      <c r="J132" s="53" t="s">
        <v>58</v>
      </c>
      <c r="K132" s="36" t="s">
        <v>22</v>
      </c>
      <c r="L132" s="47">
        <v>29000</v>
      </c>
      <c r="M132" s="47">
        <v>30000</v>
      </c>
      <c r="N132" s="47">
        <v>32000</v>
      </c>
      <c r="O132" s="47">
        <v>0</v>
      </c>
      <c r="P132" s="47">
        <v>0</v>
      </c>
    </row>
    <row r="133" spans="1:16" x14ac:dyDescent="0.25">
      <c r="A133" s="181"/>
      <c r="B133" s="181" t="s">
        <v>16</v>
      </c>
      <c r="C133" s="181"/>
      <c r="D133" s="104" t="s">
        <v>82</v>
      </c>
      <c r="E133" s="176">
        <v>2561530.2000000002</v>
      </c>
      <c r="F133" s="176">
        <v>7991436.9000000004</v>
      </c>
      <c r="G133" s="176">
        <f>6377973.5-70800-141600-141600-1415960-17640</f>
        <v>4590373.5</v>
      </c>
      <c r="H133" s="176">
        <v>6312941.2000000002</v>
      </c>
      <c r="I133" s="176">
        <v>1961443</v>
      </c>
      <c r="J133" s="53" t="s">
        <v>56</v>
      </c>
      <c r="K133" s="36" t="s">
        <v>5</v>
      </c>
      <c r="L133" s="41">
        <v>61</v>
      </c>
      <c r="M133" s="40">
        <v>45</v>
      </c>
      <c r="N133" s="40">
        <v>82.7</v>
      </c>
      <c r="O133" s="40">
        <v>103</v>
      </c>
      <c r="P133" s="40">
        <v>37</v>
      </c>
    </row>
    <row r="134" spans="1:16" ht="30" x14ac:dyDescent="0.25">
      <c r="A134" s="181"/>
      <c r="B134" s="181"/>
      <c r="C134" s="181"/>
      <c r="D134" s="104"/>
      <c r="E134" s="176"/>
      <c r="F134" s="176"/>
      <c r="G134" s="176"/>
      <c r="H134" s="176"/>
      <c r="I134" s="176"/>
      <c r="J134" s="53" t="s">
        <v>245</v>
      </c>
      <c r="K134" s="36" t="s">
        <v>4</v>
      </c>
      <c r="L134" s="41">
        <v>0</v>
      </c>
      <c r="M134" s="40">
        <v>0</v>
      </c>
      <c r="N134" s="40">
        <v>10</v>
      </c>
      <c r="O134" s="40">
        <v>10</v>
      </c>
      <c r="P134" s="40">
        <v>18</v>
      </c>
    </row>
    <row r="135" spans="1:16" ht="30" x14ac:dyDescent="0.25">
      <c r="A135" s="181"/>
      <c r="B135" s="181"/>
      <c r="C135" s="181"/>
      <c r="D135" s="104"/>
      <c r="E135" s="176"/>
      <c r="F135" s="176"/>
      <c r="G135" s="176"/>
      <c r="H135" s="176"/>
      <c r="I135" s="176"/>
      <c r="J135" s="53" t="s">
        <v>58</v>
      </c>
      <c r="K135" s="36" t="s">
        <v>22</v>
      </c>
      <c r="L135" s="47">
        <v>700</v>
      </c>
      <c r="M135" s="47">
        <v>825</v>
      </c>
      <c r="N135" s="47">
        <v>1150</v>
      </c>
      <c r="O135" s="47">
        <v>2750</v>
      </c>
      <c r="P135" s="47">
        <v>4333.3</v>
      </c>
    </row>
    <row r="136" spans="1:16" x14ac:dyDescent="0.25">
      <c r="A136" s="181"/>
      <c r="B136" s="181" t="s">
        <v>17</v>
      </c>
      <c r="C136" s="181"/>
      <c r="D136" s="104" t="s">
        <v>148</v>
      </c>
      <c r="E136" s="176">
        <v>233692.5</v>
      </c>
      <c r="F136" s="176">
        <v>74686</v>
      </c>
      <c r="G136" s="176">
        <v>0</v>
      </c>
      <c r="H136" s="176">
        <v>0</v>
      </c>
      <c r="I136" s="176">
        <v>0</v>
      </c>
      <c r="J136" s="53" t="s">
        <v>56</v>
      </c>
      <c r="K136" s="36" t="s">
        <v>5</v>
      </c>
      <c r="L136" s="41">
        <v>0</v>
      </c>
      <c r="M136" s="40">
        <v>0</v>
      </c>
      <c r="N136" s="40">
        <v>0</v>
      </c>
      <c r="O136" s="40">
        <v>0</v>
      </c>
      <c r="P136" s="40">
        <v>0</v>
      </c>
    </row>
    <row r="137" spans="1:16" ht="30" x14ac:dyDescent="0.25">
      <c r="A137" s="181"/>
      <c r="B137" s="181"/>
      <c r="C137" s="181"/>
      <c r="D137" s="104"/>
      <c r="E137" s="176"/>
      <c r="F137" s="176"/>
      <c r="G137" s="176"/>
      <c r="H137" s="176"/>
      <c r="I137" s="176"/>
      <c r="J137" s="53" t="s">
        <v>244</v>
      </c>
      <c r="K137" s="36" t="s">
        <v>4</v>
      </c>
      <c r="L137" s="41">
        <v>0</v>
      </c>
      <c r="M137" s="40">
        <v>0</v>
      </c>
      <c r="N137" s="40">
        <v>0</v>
      </c>
      <c r="O137" s="40">
        <v>0</v>
      </c>
      <c r="P137" s="40">
        <v>0</v>
      </c>
    </row>
    <row r="138" spans="1:16" ht="30" x14ac:dyDescent="0.25">
      <c r="A138" s="181"/>
      <c r="B138" s="181"/>
      <c r="C138" s="181"/>
      <c r="D138" s="104"/>
      <c r="E138" s="176"/>
      <c r="F138" s="176"/>
      <c r="G138" s="176"/>
      <c r="H138" s="176"/>
      <c r="I138" s="176"/>
      <c r="J138" s="53" t="s">
        <v>58</v>
      </c>
      <c r="K138" s="36" t="s">
        <v>22</v>
      </c>
      <c r="L138" s="47">
        <v>3078</v>
      </c>
      <c r="M138" s="47">
        <v>3232</v>
      </c>
      <c r="N138" s="47">
        <v>3394</v>
      </c>
      <c r="O138" s="47">
        <v>3594</v>
      </c>
      <c r="P138" s="47">
        <v>0</v>
      </c>
    </row>
    <row r="139" spans="1:16" x14ac:dyDescent="0.25">
      <c r="A139" s="181"/>
      <c r="B139" s="181" t="s">
        <v>18</v>
      </c>
      <c r="C139" s="181"/>
      <c r="D139" s="104" t="s">
        <v>149</v>
      </c>
      <c r="E139" s="176">
        <v>0</v>
      </c>
      <c r="F139" s="176">
        <v>0</v>
      </c>
      <c r="G139" s="176">
        <v>0</v>
      </c>
      <c r="H139" s="176">
        <v>286694</v>
      </c>
      <c r="I139" s="176">
        <v>180500</v>
      </c>
      <c r="J139" s="53" t="s">
        <v>56</v>
      </c>
      <c r="K139" s="36" t="s">
        <v>5</v>
      </c>
      <c r="L139" s="41">
        <v>0</v>
      </c>
      <c r="M139" s="40">
        <v>0</v>
      </c>
      <c r="N139" s="40">
        <v>10</v>
      </c>
      <c r="O139" s="40">
        <v>15</v>
      </c>
      <c r="P139" s="40">
        <v>12</v>
      </c>
    </row>
    <row r="140" spans="1:16" ht="30" x14ac:dyDescent="0.25">
      <c r="A140" s="181"/>
      <c r="B140" s="181"/>
      <c r="C140" s="181"/>
      <c r="D140" s="104"/>
      <c r="E140" s="176"/>
      <c r="F140" s="176"/>
      <c r="G140" s="176"/>
      <c r="H140" s="176"/>
      <c r="I140" s="176"/>
      <c r="J140" s="53" t="s">
        <v>245</v>
      </c>
      <c r="K140" s="36" t="s">
        <v>4</v>
      </c>
      <c r="L140" s="41">
        <v>0</v>
      </c>
      <c r="M140" s="40">
        <v>0</v>
      </c>
      <c r="N140" s="40">
        <v>0</v>
      </c>
      <c r="O140" s="40">
        <v>0</v>
      </c>
      <c r="P140" s="40">
        <v>0</v>
      </c>
    </row>
    <row r="141" spans="1:16" ht="30" x14ac:dyDescent="0.25">
      <c r="A141" s="181"/>
      <c r="B141" s="181"/>
      <c r="C141" s="181"/>
      <c r="D141" s="104"/>
      <c r="E141" s="176"/>
      <c r="F141" s="176"/>
      <c r="G141" s="176"/>
      <c r="H141" s="176"/>
      <c r="I141" s="176"/>
      <c r="J141" s="53" t="s">
        <v>58</v>
      </c>
      <c r="K141" s="36" t="s">
        <v>22</v>
      </c>
      <c r="L141" s="40">
        <v>1500</v>
      </c>
      <c r="M141" s="40">
        <v>2000</v>
      </c>
      <c r="N141" s="40">
        <v>2200</v>
      </c>
      <c r="O141" s="40">
        <v>2500</v>
      </c>
      <c r="P141" s="40">
        <v>3000</v>
      </c>
    </row>
    <row r="142" spans="1:16" x14ac:dyDescent="0.25">
      <c r="A142" s="181"/>
      <c r="B142" s="181" t="s">
        <v>19</v>
      </c>
      <c r="C142" s="181"/>
      <c r="D142" s="184" t="s">
        <v>150</v>
      </c>
      <c r="E142" s="176">
        <v>17784.599999999999</v>
      </c>
      <c r="F142" s="176">
        <v>432815.8</v>
      </c>
      <c r="G142" s="176">
        <v>303150</v>
      </c>
      <c r="H142" s="176">
        <v>644302.5</v>
      </c>
      <c r="I142" s="176">
        <v>523513.59999999998</v>
      </c>
      <c r="J142" s="52" t="s">
        <v>246</v>
      </c>
      <c r="K142" s="39" t="s">
        <v>4</v>
      </c>
      <c r="L142" s="97">
        <v>0</v>
      </c>
      <c r="M142" s="71">
        <v>0</v>
      </c>
      <c r="N142" s="48">
        <v>0.2</v>
      </c>
      <c r="O142" s="48">
        <v>0.3</v>
      </c>
      <c r="P142" s="71">
        <v>50</v>
      </c>
    </row>
    <row r="143" spans="1:16" ht="45" x14ac:dyDescent="0.25">
      <c r="A143" s="181"/>
      <c r="B143" s="181"/>
      <c r="C143" s="181"/>
      <c r="D143" s="184"/>
      <c r="E143" s="176"/>
      <c r="F143" s="176"/>
      <c r="G143" s="176"/>
      <c r="H143" s="176"/>
      <c r="I143" s="176"/>
      <c r="J143" s="53" t="s">
        <v>59</v>
      </c>
      <c r="K143" s="39" t="s">
        <v>4</v>
      </c>
      <c r="L143" s="97">
        <v>0</v>
      </c>
      <c r="M143" s="71">
        <v>0</v>
      </c>
      <c r="N143" s="48">
        <v>0</v>
      </c>
      <c r="O143" s="48">
        <v>0</v>
      </c>
      <c r="P143" s="48">
        <v>1</v>
      </c>
    </row>
    <row r="144" spans="1:16" ht="45" x14ac:dyDescent="0.25">
      <c r="A144" s="88"/>
      <c r="B144" s="88" t="s">
        <v>20</v>
      </c>
      <c r="C144" s="88"/>
      <c r="D144" s="90" t="s">
        <v>83</v>
      </c>
      <c r="E144" s="87">
        <v>265436</v>
      </c>
      <c r="F144" s="87">
        <v>0</v>
      </c>
      <c r="G144" s="87">
        <v>0</v>
      </c>
      <c r="H144" s="87">
        <v>0</v>
      </c>
      <c r="I144" s="87">
        <v>0</v>
      </c>
      <c r="J144" s="53" t="s">
        <v>60</v>
      </c>
      <c r="K144" s="39" t="s">
        <v>270</v>
      </c>
      <c r="L144" s="97">
        <v>5</v>
      </c>
      <c r="M144" s="71">
        <v>0</v>
      </c>
      <c r="N144" s="42">
        <v>0</v>
      </c>
      <c r="O144" s="42">
        <v>0</v>
      </c>
      <c r="P144" s="42">
        <v>0</v>
      </c>
    </row>
    <row r="145" spans="1:16" x14ac:dyDescent="0.25">
      <c r="A145" s="181"/>
      <c r="B145" s="181" t="s">
        <v>23</v>
      </c>
      <c r="C145" s="181"/>
      <c r="D145" s="187" t="s">
        <v>151</v>
      </c>
      <c r="E145" s="176">
        <v>0</v>
      </c>
      <c r="F145" s="176">
        <v>0</v>
      </c>
      <c r="G145" s="176">
        <v>0</v>
      </c>
      <c r="H145" s="176"/>
      <c r="I145" s="176"/>
      <c r="J145" s="125" t="s">
        <v>56</v>
      </c>
      <c r="K145" s="125" t="s">
        <v>5</v>
      </c>
      <c r="L145" s="126">
        <v>0</v>
      </c>
      <c r="M145" s="127">
        <v>0</v>
      </c>
      <c r="N145" s="127">
        <v>0</v>
      </c>
      <c r="O145" s="127">
        <v>0</v>
      </c>
      <c r="P145" s="127">
        <v>0</v>
      </c>
    </row>
    <row r="146" spans="1:16" ht="33.75" customHeight="1" x14ac:dyDescent="0.25">
      <c r="A146" s="181"/>
      <c r="B146" s="181"/>
      <c r="C146" s="181"/>
      <c r="D146" s="175"/>
      <c r="E146" s="176"/>
      <c r="F146" s="176"/>
      <c r="G146" s="176"/>
      <c r="H146" s="176"/>
      <c r="I146" s="176"/>
      <c r="J146" s="125"/>
      <c r="K146" s="125"/>
      <c r="L146" s="126"/>
      <c r="M146" s="127"/>
      <c r="N146" s="127"/>
      <c r="O146" s="127"/>
      <c r="P146" s="127"/>
    </row>
    <row r="147" spans="1:16" x14ac:dyDescent="0.25">
      <c r="A147" s="112" t="s">
        <v>24</v>
      </c>
      <c r="B147" s="112"/>
      <c r="C147" s="182"/>
      <c r="D147" s="185" t="s">
        <v>84</v>
      </c>
      <c r="E147" s="179">
        <f>E151</f>
        <v>142322.19999999998</v>
      </c>
      <c r="F147" s="115">
        <f>F151</f>
        <v>155180.4</v>
      </c>
      <c r="G147" s="115">
        <f>G151+G153</f>
        <v>154480.4</v>
      </c>
      <c r="H147" s="115">
        <f t="shared" ref="H147:I147" si="4">H151+H153</f>
        <v>155110.39999999999</v>
      </c>
      <c r="I147" s="115">
        <f t="shared" si="4"/>
        <v>156778.70000000001</v>
      </c>
      <c r="J147" s="116" t="s">
        <v>61</v>
      </c>
      <c r="K147" s="103" t="s">
        <v>62</v>
      </c>
      <c r="L147" s="124">
        <v>97</v>
      </c>
      <c r="M147" s="124">
        <v>95</v>
      </c>
      <c r="N147" s="124">
        <v>90</v>
      </c>
      <c r="O147" s="124">
        <v>85</v>
      </c>
      <c r="P147" s="124">
        <v>80</v>
      </c>
    </row>
    <row r="148" spans="1:16" x14ac:dyDescent="0.25">
      <c r="A148" s="112"/>
      <c r="B148" s="112"/>
      <c r="C148" s="182"/>
      <c r="D148" s="186"/>
      <c r="E148" s="179"/>
      <c r="F148" s="115"/>
      <c r="G148" s="115"/>
      <c r="H148" s="115"/>
      <c r="I148" s="115"/>
      <c r="J148" s="116"/>
      <c r="K148" s="103"/>
      <c r="L148" s="124">
        <v>97</v>
      </c>
      <c r="M148" s="124">
        <v>95</v>
      </c>
      <c r="N148" s="124">
        <v>90</v>
      </c>
      <c r="O148" s="124">
        <v>85</v>
      </c>
      <c r="P148" s="124">
        <v>80</v>
      </c>
    </row>
    <row r="149" spans="1:16" ht="53.25" customHeight="1" x14ac:dyDescent="0.25">
      <c r="A149" s="112"/>
      <c r="B149" s="112"/>
      <c r="C149" s="182"/>
      <c r="D149" s="186"/>
      <c r="E149" s="179"/>
      <c r="F149" s="115"/>
      <c r="G149" s="115"/>
      <c r="H149" s="115"/>
      <c r="I149" s="115"/>
      <c r="J149" s="116"/>
      <c r="K149" s="103"/>
      <c r="L149" s="124">
        <v>97</v>
      </c>
      <c r="M149" s="124">
        <v>95</v>
      </c>
      <c r="N149" s="124">
        <v>90</v>
      </c>
      <c r="O149" s="124">
        <v>85</v>
      </c>
      <c r="P149" s="124">
        <v>80</v>
      </c>
    </row>
    <row r="150" spans="1:16" ht="90" x14ac:dyDescent="0.25">
      <c r="A150" s="112"/>
      <c r="B150" s="112"/>
      <c r="C150" s="182"/>
      <c r="D150" s="10" t="s">
        <v>152</v>
      </c>
      <c r="E150" s="179"/>
      <c r="F150" s="115"/>
      <c r="G150" s="115"/>
      <c r="H150" s="115"/>
      <c r="I150" s="115"/>
      <c r="J150" s="116"/>
      <c r="K150" s="103"/>
      <c r="L150" s="124">
        <v>97</v>
      </c>
      <c r="M150" s="124">
        <v>95</v>
      </c>
      <c r="N150" s="124">
        <v>90</v>
      </c>
      <c r="O150" s="124">
        <v>85</v>
      </c>
      <c r="P150" s="124">
        <v>80</v>
      </c>
    </row>
    <row r="151" spans="1:16" ht="60" x14ac:dyDescent="0.25">
      <c r="A151" s="181"/>
      <c r="B151" s="181" t="s">
        <v>1</v>
      </c>
      <c r="C151" s="181"/>
      <c r="D151" s="188" t="s">
        <v>153</v>
      </c>
      <c r="E151" s="190">
        <f>[3]свод!$F$10</f>
        <v>142322.19999999998</v>
      </c>
      <c r="F151" s="190">
        <v>155180.4</v>
      </c>
      <c r="G151" s="190">
        <v>107141.3</v>
      </c>
      <c r="H151" s="190">
        <v>107775</v>
      </c>
      <c r="I151" s="190">
        <v>109189.9</v>
      </c>
      <c r="J151" s="33" t="s">
        <v>63</v>
      </c>
      <c r="K151" s="45" t="s">
        <v>4</v>
      </c>
      <c r="L151" s="41">
        <v>87</v>
      </c>
      <c r="M151" s="41">
        <v>87.3</v>
      </c>
      <c r="N151" s="41">
        <v>87.7</v>
      </c>
      <c r="O151" s="41">
        <v>88</v>
      </c>
      <c r="P151" s="41">
        <v>88.5</v>
      </c>
    </row>
    <row r="152" spans="1:16" ht="45" x14ac:dyDescent="0.25">
      <c r="A152" s="181"/>
      <c r="B152" s="181"/>
      <c r="C152" s="181"/>
      <c r="D152" s="189"/>
      <c r="E152" s="190"/>
      <c r="F152" s="190"/>
      <c r="G152" s="190"/>
      <c r="H152" s="190"/>
      <c r="I152" s="190"/>
      <c r="J152" s="33" t="s">
        <v>64</v>
      </c>
      <c r="K152" s="49" t="s">
        <v>269</v>
      </c>
      <c r="L152" s="50">
        <v>127364</v>
      </c>
      <c r="M152" s="50">
        <v>132000</v>
      </c>
      <c r="N152" s="51">
        <v>137000</v>
      </c>
      <c r="O152" s="51">
        <v>140000</v>
      </c>
      <c r="P152" s="47">
        <v>143000</v>
      </c>
    </row>
    <row r="153" spans="1:16" ht="45" x14ac:dyDescent="0.25">
      <c r="A153" s="5"/>
      <c r="B153" s="88" t="s">
        <v>2</v>
      </c>
      <c r="C153" s="5"/>
      <c r="D153" s="56" t="s">
        <v>154</v>
      </c>
      <c r="E153" s="190"/>
      <c r="F153" s="190"/>
      <c r="G153" s="93">
        <v>47339.1</v>
      </c>
      <c r="H153" s="93">
        <v>47335.4</v>
      </c>
      <c r="I153" s="93">
        <v>47588.800000000003</v>
      </c>
      <c r="J153" s="53" t="s">
        <v>247</v>
      </c>
      <c r="K153" s="92" t="s">
        <v>65</v>
      </c>
      <c r="L153" s="50">
        <v>5674</v>
      </c>
      <c r="M153" s="50" t="s">
        <v>277</v>
      </c>
      <c r="N153" s="50" t="s">
        <v>277</v>
      </c>
      <c r="O153" s="50" t="s">
        <v>277</v>
      </c>
      <c r="P153" s="50" t="s">
        <v>277</v>
      </c>
    </row>
    <row r="154" spans="1:16" ht="28.5" x14ac:dyDescent="0.25">
      <c r="A154" s="112" t="s">
        <v>25</v>
      </c>
      <c r="B154" s="112"/>
      <c r="C154" s="182"/>
      <c r="D154" s="57" t="s">
        <v>85</v>
      </c>
      <c r="E154" s="179">
        <f>E156</f>
        <v>192053.80000000002</v>
      </c>
      <c r="F154" s="115">
        <f>F156</f>
        <v>179910.8</v>
      </c>
      <c r="G154" s="115">
        <f>G156</f>
        <v>225910.8</v>
      </c>
      <c r="H154" s="115">
        <f>H156</f>
        <v>180410.8</v>
      </c>
      <c r="I154" s="115">
        <f>I156</f>
        <v>180821.6</v>
      </c>
      <c r="J154" s="116" t="s">
        <v>248</v>
      </c>
      <c r="K154" s="116" t="s">
        <v>66</v>
      </c>
      <c r="L154" s="123" t="s">
        <v>67</v>
      </c>
      <c r="M154" s="123" t="s">
        <v>67</v>
      </c>
      <c r="N154" s="123" t="s">
        <v>67</v>
      </c>
      <c r="O154" s="123" t="s">
        <v>67</v>
      </c>
      <c r="P154" s="123" t="s">
        <v>67</v>
      </c>
    </row>
    <row r="155" spans="1:16" ht="45" x14ac:dyDescent="0.25">
      <c r="A155" s="112"/>
      <c r="B155" s="112"/>
      <c r="C155" s="182"/>
      <c r="D155" s="58" t="s">
        <v>155</v>
      </c>
      <c r="E155" s="179"/>
      <c r="F155" s="115"/>
      <c r="G155" s="115"/>
      <c r="H155" s="115"/>
      <c r="I155" s="115"/>
      <c r="J155" s="116"/>
      <c r="K155" s="116"/>
      <c r="L155" s="123"/>
      <c r="M155" s="123"/>
      <c r="N155" s="123"/>
      <c r="O155" s="123"/>
      <c r="P155" s="123"/>
    </row>
    <row r="156" spans="1:16" ht="60" x14ac:dyDescent="0.25">
      <c r="A156" s="181"/>
      <c r="B156" s="181" t="s">
        <v>1</v>
      </c>
      <c r="C156" s="181"/>
      <c r="D156" s="188" t="s">
        <v>156</v>
      </c>
      <c r="E156" s="176">
        <f>[3]свод!$F$9</f>
        <v>192053.80000000002</v>
      </c>
      <c r="F156" s="176">
        <v>179910.8</v>
      </c>
      <c r="G156" s="176">
        <v>225910.8</v>
      </c>
      <c r="H156" s="176">
        <v>180410.8</v>
      </c>
      <c r="I156" s="176">
        <v>180821.6</v>
      </c>
      <c r="J156" s="92" t="s">
        <v>68</v>
      </c>
      <c r="K156" s="41" t="s">
        <v>4</v>
      </c>
      <c r="L156" s="44">
        <v>80</v>
      </c>
      <c r="M156" s="44">
        <v>82</v>
      </c>
      <c r="N156" s="44">
        <v>85</v>
      </c>
      <c r="O156" s="44">
        <v>88</v>
      </c>
      <c r="P156" s="44">
        <v>90</v>
      </c>
    </row>
    <row r="157" spans="1:16" ht="45" x14ac:dyDescent="0.25">
      <c r="A157" s="181"/>
      <c r="B157" s="181"/>
      <c r="C157" s="181"/>
      <c r="D157" s="195"/>
      <c r="E157" s="176"/>
      <c r="F157" s="176"/>
      <c r="G157" s="176"/>
      <c r="H157" s="176"/>
      <c r="I157" s="176"/>
      <c r="J157" s="92" t="s">
        <v>290</v>
      </c>
      <c r="K157" s="41" t="s">
        <v>4</v>
      </c>
      <c r="L157" s="44">
        <v>91.3</v>
      </c>
      <c r="M157" s="44">
        <v>85</v>
      </c>
      <c r="N157" s="44">
        <v>87</v>
      </c>
      <c r="O157" s="44">
        <v>90</v>
      </c>
      <c r="P157" s="44">
        <v>93</v>
      </c>
    </row>
    <row r="158" spans="1:16" ht="57" x14ac:dyDescent="0.25">
      <c r="A158" s="112" t="s">
        <v>26</v>
      </c>
      <c r="B158" s="111"/>
      <c r="C158" s="178"/>
      <c r="D158" s="14" t="s">
        <v>157</v>
      </c>
      <c r="E158" s="179">
        <f>E162+E164+E165</f>
        <v>35842.5</v>
      </c>
      <c r="F158" s="115">
        <f>F162+F164+F165</f>
        <v>24531.300000000003</v>
      </c>
      <c r="G158" s="115">
        <f>G162+G164+G165</f>
        <v>62380.7</v>
      </c>
      <c r="H158" s="115">
        <f>H162+H164+H165</f>
        <v>56170.1</v>
      </c>
      <c r="I158" s="115">
        <f>I162+I164+I165</f>
        <v>60892.800000000003</v>
      </c>
      <c r="J158" s="122" t="s">
        <v>69</v>
      </c>
      <c r="K158" s="106" t="s">
        <v>70</v>
      </c>
      <c r="L158" s="103" t="s">
        <v>95</v>
      </c>
      <c r="M158" s="103" t="s">
        <v>96</v>
      </c>
      <c r="N158" s="103" t="s">
        <v>97</v>
      </c>
      <c r="O158" s="103" t="s">
        <v>98</v>
      </c>
      <c r="P158" s="103" t="s">
        <v>99</v>
      </c>
    </row>
    <row r="159" spans="1:16" x14ac:dyDescent="0.25">
      <c r="A159" s="112"/>
      <c r="B159" s="111"/>
      <c r="C159" s="178"/>
      <c r="D159" s="193" t="s">
        <v>291</v>
      </c>
      <c r="E159" s="179"/>
      <c r="F159" s="115"/>
      <c r="G159" s="115"/>
      <c r="H159" s="115"/>
      <c r="I159" s="115"/>
      <c r="J159" s="122"/>
      <c r="K159" s="106"/>
      <c r="L159" s="103"/>
      <c r="M159" s="103"/>
      <c r="N159" s="103"/>
      <c r="O159" s="103"/>
      <c r="P159" s="103"/>
    </row>
    <row r="160" spans="1:16" x14ac:dyDescent="0.25">
      <c r="A160" s="112"/>
      <c r="B160" s="111"/>
      <c r="C160" s="178"/>
      <c r="D160" s="193"/>
      <c r="E160" s="179"/>
      <c r="F160" s="115"/>
      <c r="G160" s="115"/>
      <c r="H160" s="115"/>
      <c r="I160" s="115"/>
      <c r="J160" s="122" t="s">
        <v>273</v>
      </c>
      <c r="K160" s="106" t="s">
        <v>4</v>
      </c>
      <c r="L160" s="103">
        <v>50</v>
      </c>
      <c r="M160" s="103">
        <v>70</v>
      </c>
      <c r="N160" s="103">
        <v>75</v>
      </c>
      <c r="O160" s="103">
        <v>82</v>
      </c>
      <c r="P160" s="103">
        <v>85</v>
      </c>
    </row>
    <row r="161" spans="1:16" ht="60.75" customHeight="1" x14ac:dyDescent="0.25">
      <c r="A161" s="112"/>
      <c r="B161" s="111"/>
      <c r="C161" s="178"/>
      <c r="D161" s="194"/>
      <c r="E161" s="179"/>
      <c r="F161" s="115"/>
      <c r="G161" s="115"/>
      <c r="H161" s="115"/>
      <c r="I161" s="115"/>
      <c r="J161" s="122"/>
      <c r="K161" s="106"/>
      <c r="L161" s="103"/>
      <c r="M161" s="103"/>
      <c r="N161" s="103"/>
      <c r="O161" s="103"/>
      <c r="P161" s="103"/>
    </row>
    <row r="162" spans="1:16" x14ac:dyDescent="0.25">
      <c r="A162" s="181"/>
      <c r="B162" s="181" t="s">
        <v>1</v>
      </c>
      <c r="C162" s="174"/>
      <c r="D162" s="191" t="s">
        <v>86</v>
      </c>
      <c r="E162" s="176">
        <f>[3]свод!$F$11</f>
        <v>12989.699999999999</v>
      </c>
      <c r="F162" s="176">
        <f>'[4]свод '!$D$1043</f>
        <v>12148.1</v>
      </c>
      <c r="G162" s="176">
        <v>13312.5</v>
      </c>
      <c r="H162" s="176">
        <v>12148.1</v>
      </c>
      <c r="I162" s="176">
        <v>12479.6</v>
      </c>
      <c r="J162" s="104" t="s">
        <v>71</v>
      </c>
      <c r="K162" s="105" t="s">
        <v>70</v>
      </c>
      <c r="L162" s="105">
        <v>49</v>
      </c>
      <c r="M162" s="105">
        <v>60</v>
      </c>
      <c r="N162" s="105">
        <v>55</v>
      </c>
      <c r="O162" s="105">
        <v>51</v>
      </c>
      <c r="P162" s="105">
        <v>60</v>
      </c>
    </row>
    <row r="163" spans="1:16" x14ac:dyDescent="0.25">
      <c r="A163" s="181"/>
      <c r="B163" s="181"/>
      <c r="C163" s="174"/>
      <c r="D163" s="192"/>
      <c r="E163" s="176"/>
      <c r="F163" s="176"/>
      <c r="G163" s="176"/>
      <c r="H163" s="176"/>
      <c r="I163" s="176"/>
      <c r="J163" s="104"/>
      <c r="K163" s="105"/>
      <c r="L163" s="105"/>
      <c r="M163" s="105"/>
      <c r="N163" s="105"/>
      <c r="O163" s="105"/>
      <c r="P163" s="105"/>
    </row>
    <row r="164" spans="1:16" ht="90" x14ac:dyDescent="0.25">
      <c r="A164" s="88"/>
      <c r="B164" s="88" t="s">
        <v>2</v>
      </c>
      <c r="C164" s="86"/>
      <c r="D164" s="94" t="s">
        <v>158</v>
      </c>
      <c r="E164" s="87">
        <v>0</v>
      </c>
      <c r="F164" s="87">
        <v>0</v>
      </c>
      <c r="G164" s="87">
        <v>24534.5</v>
      </c>
      <c r="H164" s="87">
        <f>'[5]приложение  2'!$J$22</f>
        <v>19566.400000000001</v>
      </c>
      <c r="I164" s="87">
        <f>'[5]приложение  2'!$J$32</f>
        <v>21512</v>
      </c>
      <c r="J164" s="72" t="s">
        <v>72</v>
      </c>
      <c r="K164" s="97" t="s">
        <v>70</v>
      </c>
      <c r="L164" s="97">
        <v>0</v>
      </c>
      <c r="M164" s="97">
        <v>0</v>
      </c>
      <c r="N164" s="97">
        <v>0</v>
      </c>
      <c r="O164" s="97">
        <v>0</v>
      </c>
      <c r="P164" s="97">
        <v>0</v>
      </c>
    </row>
    <row r="165" spans="1:16" ht="120" x14ac:dyDescent="0.25">
      <c r="A165" s="88"/>
      <c r="B165" s="88" t="s">
        <v>3</v>
      </c>
      <c r="C165" s="86"/>
      <c r="D165" s="12" t="s">
        <v>159</v>
      </c>
      <c r="E165" s="87">
        <f>[3]свод!$F$14</f>
        <v>22852.799999999999</v>
      </c>
      <c r="F165" s="87">
        <f>'[4]свод '!$E$1043</f>
        <v>12383.2</v>
      </c>
      <c r="G165" s="87">
        <v>24533.7</v>
      </c>
      <c r="H165" s="87">
        <f>24455.6</f>
        <v>24455.599999999999</v>
      </c>
      <c r="I165" s="87">
        <v>26901.200000000001</v>
      </c>
      <c r="J165" s="72" t="s">
        <v>73</v>
      </c>
      <c r="K165" s="97" t="s">
        <v>70</v>
      </c>
      <c r="L165" s="97" t="s">
        <v>74</v>
      </c>
      <c r="M165" s="97" t="s">
        <v>100</v>
      </c>
      <c r="N165" s="97" t="s">
        <v>101</v>
      </c>
      <c r="O165" s="97" t="s">
        <v>101</v>
      </c>
      <c r="P165" s="97" t="s">
        <v>102</v>
      </c>
    </row>
    <row r="166" spans="1:16" x14ac:dyDescent="0.25">
      <c r="A166" s="7"/>
      <c r="B166" s="7"/>
      <c r="C166" s="7"/>
      <c r="D166" s="8" t="s">
        <v>160</v>
      </c>
      <c r="E166" s="9">
        <f>E98+E105+E120+E147+E154+E158</f>
        <v>8466915.5999999996</v>
      </c>
      <c r="F166" s="9">
        <f>F98+F105+F120+F147+F154+F158</f>
        <v>14386192.600000003</v>
      </c>
      <c r="G166" s="9">
        <f>G98+G105+G120+G147+G154+G158</f>
        <v>10936264.700000001</v>
      </c>
      <c r="H166" s="9">
        <f>H98+H105+H120+H147+H154+H158-0.2</f>
        <v>13480823.600000001</v>
      </c>
      <c r="I166" s="9">
        <f>I98+I105+I120+I147+I154+I158</f>
        <v>7016795.2999999998</v>
      </c>
      <c r="J166" s="98"/>
      <c r="K166" s="99"/>
      <c r="L166" s="100"/>
      <c r="M166" s="100"/>
      <c r="N166" s="100"/>
      <c r="O166" s="100"/>
      <c r="P166" s="100"/>
    </row>
  </sheetData>
  <mergeCells count="499">
    <mergeCell ref="K33:K34"/>
    <mergeCell ref="M59:M60"/>
    <mergeCell ref="N59:N60"/>
    <mergeCell ref="K1:P4"/>
    <mergeCell ref="K5:P5"/>
    <mergeCell ref="G158:G161"/>
    <mergeCell ref="I154:I155"/>
    <mergeCell ref="I156:I157"/>
    <mergeCell ref="G147:G150"/>
    <mergeCell ref="H147:H150"/>
    <mergeCell ref="I147:I150"/>
    <mergeCell ref="I151:I152"/>
    <mergeCell ref="J33:J34"/>
    <mergeCell ref="J46:J47"/>
    <mergeCell ref="H133:H135"/>
    <mergeCell ref="I133:I135"/>
    <mergeCell ref="H136:H138"/>
    <mergeCell ref="I136:I138"/>
    <mergeCell ref="I116:I117"/>
    <mergeCell ref="G98:G101"/>
    <mergeCell ref="H98:H101"/>
    <mergeCell ref="I98:I101"/>
    <mergeCell ref="L98:L100"/>
    <mergeCell ref="I114:I115"/>
    <mergeCell ref="O162:O163"/>
    <mergeCell ref="P162:P163"/>
    <mergeCell ref="A151:A152"/>
    <mergeCell ref="C151:C152"/>
    <mergeCell ref="G162:G163"/>
    <mergeCell ref="H162:H163"/>
    <mergeCell ref="I162:I163"/>
    <mergeCell ref="A162:A163"/>
    <mergeCell ref="B162:B163"/>
    <mergeCell ref="C162:C163"/>
    <mergeCell ref="D162:D163"/>
    <mergeCell ref="E162:E163"/>
    <mergeCell ref="F162:F163"/>
    <mergeCell ref="D159:D161"/>
    <mergeCell ref="A158:A161"/>
    <mergeCell ref="B158:B161"/>
    <mergeCell ref="C158:C161"/>
    <mergeCell ref="E158:E161"/>
    <mergeCell ref="F158:F161"/>
    <mergeCell ref="H158:H161"/>
    <mergeCell ref="I158:I161"/>
    <mergeCell ref="A156:A157"/>
    <mergeCell ref="B156:B157"/>
    <mergeCell ref="D156:D157"/>
    <mergeCell ref="C156:C157"/>
    <mergeCell ref="A154:A155"/>
    <mergeCell ref="B154:B155"/>
    <mergeCell ref="C154:C155"/>
    <mergeCell ref="E154:E155"/>
    <mergeCell ref="F154:F155"/>
    <mergeCell ref="G154:G155"/>
    <mergeCell ref="H154:H155"/>
    <mergeCell ref="B151:B152"/>
    <mergeCell ref="D151:D152"/>
    <mergeCell ref="E151:E153"/>
    <mergeCell ref="F151:F153"/>
    <mergeCell ref="G151:G152"/>
    <mergeCell ref="H151:H152"/>
    <mergeCell ref="E156:E157"/>
    <mergeCell ref="F156:F157"/>
    <mergeCell ref="G156:G157"/>
    <mergeCell ref="H156:H157"/>
    <mergeCell ref="A147:A150"/>
    <mergeCell ref="B147:B150"/>
    <mergeCell ref="C147:C150"/>
    <mergeCell ref="D147:D149"/>
    <mergeCell ref="E147:E150"/>
    <mergeCell ref="F147:F150"/>
    <mergeCell ref="G145:G146"/>
    <mergeCell ref="H145:H146"/>
    <mergeCell ref="I145:I146"/>
    <mergeCell ref="A145:A146"/>
    <mergeCell ref="B145:B146"/>
    <mergeCell ref="C145:C146"/>
    <mergeCell ref="D145:D146"/>
    <mergeCell ref="E145:E146"/>
    <mergeCell ref="F145:F146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A139:A141"/>
    <mergeCell ref="B139:B141"/>
    <mergeCell ref="C139:C141"/>
    <mergeCell ref="D139:D141"/>
    <mergeCell ref="E139:E141"/>
    <mergeCell ref="F139:F141"/>
    <mergeCell ref="G139:G141"/>
    <mergeCell ref="H139:H141"/>
    <mergeCell ref="I139:I141"/>
    <mergeCell ref="A136:A138"/>
    <mergeCell ref="B136:B138"/>
    <mergeCell ref="C136:C138"/>
    <mergeCell ref="D136:D138"/>
    <mergeCell ref="E136:E138"/>
    <mergeCell ref="F136:F138"/>
    <mergeCell ref="G136:G138"/>
    <mergeCell ref="A133:A135"/>
    <mergeCell ref="B133:B135"/>
    <mergeCell ref="C133:C135"/>
    <mergeCell ref="D133:D135"/>
    <mergeCell ref="E133:E135"/>
    <mergeCell ref="F133:F135"/>
    <mergeCell ref="G133:G135"/>
    <mergeCell ref="A130:A132"/>
    <mergeCell ref="B130:B132"/>
    <mergeCell ref="C130:C132"/>
    <mergeCell ref="D130:D132"/>
    <mergeCell ref="E130:E132"/>
    <mergeCell ref="F130:F132"/>
    <mergeCell ref="G130:G132"/>
    <mergeCell ref="H130:H132"/>
    <mergeCell ref="I130:I132"/>
    <mergeCell ref="A127:A129"/>
    <mergeCell ref="B127:B129"/>
    <mergeCell ref="C127:C129"/>
    <mergeCell ref="D127:D129"/>
    <mergeCell ref="E127:E129"/>
    <mergeCell ref="F127:F129"/>
    <mergeCell ref="G127:G129"/>
    <mergeCell ref="H127:H129"/>
    <mergeCell ref="I127:I129"/>
    <mergeCell ref="A124:A126"/>
    <mergeCell ref="B124:B126"/>
    <mergeCell ref="C124:C126"/>
    <mergeCell ref="D124:D126"/>
    <mergeCell ref="E124:E126"/>
    <mergeCell ref="F124:F126"/>
    <mergeCell ref="G124:G126"/>
    <mergeCell ref="I120:I123"/>
    <mergeCell ref="H124:H126"/>
    <mergeCell ref="I124:I126"/>
    <mergeCell ref="A120:A123"/>
    <mergeCell ref="B120:B123"/>
    <mergeCell ref="C120:C123"/>
    <mergeCell ref="E120:E123"/>
    <mergeCell ref="F120:F123"/>
    <mergeCell ref="G120:G123"/>
    <mergeCell ref="H120:H123"/>
    <mergeCell ref="D121:D123"/>
    <mergeCell ref="A116:A117"/>
    <mergeCell ref="B116:B117"/>
    <mergeCell ref="C116:C117"/>
    <mergeCell ref="D116:D117"/>
    <mergeCell ref="E116:E117"/>
    <mergeCell ref="F116:F117"/>
    <mergeCell ref="G116:G117"/>
    <mergeCell ref="H116:H117"/>
    <mergeCell ref="A114:A115"/>
    <mergeCell ref="B114:B115"/>
    <mergeCell ref="C114:C115"/>
    <mergeCell ref="D114:D115"/>
    <mergeCell ref="E114:E115"/>
    <mergeCell ref="F114:F115"/>
    <mergeCell ref="G114:G115"/>
    <mergeCell ref="H114:H115"/>
    <mergeCell ref="A112:A113"/>
    <mergeCell ref="B112:B113"/>
    <mergeCell ref="C112:C113"/>
    <mergeCell ref="D112:D113"/>
    <mergeCell ref="E112:E113"/>
    <mergeCell ref="F112:F113"/>
    <mergeCell ref="G108:G109"/>
    <mergeCell ref="H108:H109"/>
    <mergeCell ref="I108:I109"/>
    <mergeCell ref="G112:G113"/>
    <mergeCell ref="H112:H113"/>
    <mergeCell ref="I112:I113"/>
    <mergeCell ref="A93:A94"/>
    <mergeCell ref="B93:B94"/>
    <mergeCell ref="D71:D72"/>
    <mergeCell ref="E71:E72"/>
    <mergeCell ref="F71:F72"/>
    <mergeCell ref="O98:O100"/>
    <mergeCell ref="P98:P100"/>
    <mergeCell ref="A108:A109"/>
    <mergeCell ref="B108:B109"/>
    <mergeCell ref="C108:C109"/>
    <mergeCell ref="D108:D109"/>
    <mergeCell ref="E108:E109"/>
    <mergeCell ref="F108:F109"/>
    <mergeCell ref="G105:G107"/>
    <mergeCell ref="H105:H107"/>
    <mergeCell ref="I105:I107"/>
    <mergeCell ref="A105:A107"/>
    <mergeCell ref="B105:B107"/>
    <mergeCell ref="C105:C107"/>
    <mergeCell ref="E105:E107"/>
    <mergeCell ref="F105:F107"/>
    <mergeCell ref="N108:N109"/>
    <mergeCell ref="E102:E104"/>
    <mergeCell ref="F102:F104"/>
    <mergeCell ref="A68:A69"/>
    <mergeCell ref="B68:B69"/>
    <mergeCell ref="D68:D69"/>
    <mergeCell ref="E68:E69"/>
    <mergeCell ref="F68:F69"/>
    <mergeCell ref="G68:G69"/>
    <mergeCell ref="C80:C81"/>
    <mergeCell ref="A74:A75"/>
    <mergeCell ref="B74:B75"/>
    <mergeCell ref="D74:D75"/>
    <mergeCell ref="E74:E75"/>
    <mergeCell ref="F74:F75"/>
    <mergeCell ref="C68:C69"/>
    <mergeCell ref="C71:C72"/>
    <mergeCell ref="D80:D81"/>
    <mergeCell ref="C74:C75"/>
    <mergeCell ref="G74:G75"/>
    <mergeCell ref="A77:A78"/>
    <mergeCell ref="K7:K9"/>
    <mergeCell ref="L7:P8"/>
    <mergeCell ref="G71:G72"/>
    <mergeCell ref="H71:H72"/>
    <mergeCell ref="I71:I72"/>
    <mergeCell ref="D93:D94"/>
    <mergeCell ref="E93:E94"/>
    <mergeCell ref="F93:F94"/>
    <mergeCell ref="G93:G94"/>
    <mergeCell ref="H93:H94"/>
    <mergeCell ref="I93:I94"/>
    <mergeCell ref="G85:G87"/>
    <mergeCell ref="H85:H87"/>
    <mergeCell ref="I85:I87"/>
    <mergeCell ref="I74:I75"/>
    <mergeCell ref="E51:E53"/>
    <mergeCell ref="F51:F53"/>
    <mergeCell ref="G51:G53"/>
    <mergeCell ref="H51:H53"/>
    <mergeCell ref="I51:I53"/>
    <mergeCell ref="D57:D60"/>
    <mergeCell ref="E57:E60"/>
    <mergeCell ref="F57:F60"/>
    <mergeCell ref="G57:G60"/>
    <mergeCell ref="D23:D24"/>
    <mergeCell ref="E23:E24"/>
    <mergeCell ref="F23:F24"/>
    <mergeCell ref="G23:G24"/>
    <mergeCell ref="H23:H24"/>
    <mergeCell ref="I23:I24"/>
    <mergeCell ref="I25:I26"/>
    <mergeCell ref="A29:A32"/>
    <mergeCell ref="B29:B32"/>
    <mergeCell ref="D29:D32"/>
    <mergeCell ref="E29:E32"/>
    <mergeCell ref="F29:F32"/>
    <mergeCell ref="G29:G32"/>
    <mergeCell ref="H29:H32"/>
    <mergeCell ref="I29:I32"/>
    <mergeCell ref="D25:D26"/>
    <mergeCell ref="E25:E26"/>
    <mergeCell ref="F25:F26"/>
    <mergeCell ref="G25:G26"/>
    <mergeCell ref="H25:H26"/>
    <mergeCell ref="A5:D5"/>
    <mergeCell ref="A7:A9"/>
    <mergeCell ref="B7:B9"/>
    <mergeCell ref="C7:C9"/>
    <mergeCell ref="D7:D9"/>
    <mergeCell ref="E7:I7"/>
    <mergeCell ref="D16:D17"/>
    <mergeCell ref="E16:E17"/>
    <mergeCell ref="F16:F17"/>
    <mergeCell ref="G16:G17"/>
    <mergeCell ref="H16:H17"/>
    <mergeCell ref="I16:I17"/>
    <mergeCell ref="F11:F14"/>
    <mergeCell ref="G11:G14"/>
    <mergeCell ref="H11:H14"/>
    <mergeCell ref="I11:I14"/>
    <mergeCell ref="E8:I8"/>
    <mergeCell ref="A10:P10"/>
    <mergeCell ref="A11:A14"/>
    <mergeCell ref="B11:B14"/>
    <mergeCell ref="C11:C14"/>
    <mergeCell ref="D11:D14"/>
    <mergeCell ref="E11:E14"/>
    <mergeCell ref="J7:J9"/>
    <mergeCell ref="A36:A40"/>
    <mergeCell ref="B36:B40"/>
    <mergeCell ref="D36:D40"/>
    <mergeCell ref="E36:E40"/>
    <mergeCell ref="F36:F40"/>
    <mergeCell ref="G36:G40"/>
    <mergeCell ref="H36:H40"/>
    <mergeCell ref="I36:I40"/>
    <mergeCell ref="A33:A35"/>
    <mergeCell ref="B33:B35"/>
    <mergeCell ref="D33:D35"/>
    <mergeCell ref="E33:E35"/>
    <mergeCell ref="F33:F35"/>
    <mergeCell ref="G33:G35"/>
    <mergeCell ref="H33:H35"/>
    <mergeCell ref="I33:I35"/>
    <mergeCell ref="C66:C67"/>
    <mergeCell ref="C61:C64"/>
    <mergeCell ref="L57:L58"/>
    <mergeCell ref="I41:I42"/>
    <mergeCell ref="A43:A50"/>
    <mergeCell ref="B43:B50"/>
    <mergeCell ref="D43:D50"/>
    <mergeCell ref="E43:E50"/>
    <mergeCell ref="F43:F50"/>
    <mergeCell ref="G43:G50"/>
    <mergeCell ref="H43:H50"/>
    <mergeCell ref="I43:I50"/>
    <mergeCell ref="A41:A42"/>
    <mergeCell ref="B41:B42"/>
    <mergeCell ref="D41:D42"/>
    <mergeCell ref="E41:E42"/>
    <mergeCell ref="F41:F42"/>
    <mergeCell ref="G41:G42"/>
    <mergeCell ref="H41:H42"/>
    <mergeCell ref="C51:C53"/>
    <mergeCell ref="C57:C60"/>
    <mergeCell ref="A51:A53"/>
    <mergeCell ref="B51:B53"/>
    <mergeCell ref="D51:D53"/>
    <mergeCell ref="P57:P58"/>
    <mergeCell ref="D61:D64"/>
    <mergeCell ref="E61:E64"/>
    <mergeCell ref="F61:F64"/>
    <mergeCell ref="G61:G64"/>
    <mergeCell ref="H61:H64"/>
    <mergeCell ref="I61:I64"/>
    <mergeCell ref="D66:D67"/>
    <mergeCell ref="E66:E67"/>
    <mergeCell ref="F66:F67"/>
    <mergeCell ref="G66:G67"/>
    <mergeCell ref="H66:H67"/>
    <mergeCell ref="I66:I67"/>
    <mergeCell ref="M57:M58"/>
    <mergeCell ref="N57:N58"/>
    <mergeCell ref="O57:O58"/>
    <mergeCell ref="J57:J58"/>
    <mergeCell ref="K57:K58"/>
    <mergeCell ref="O59:O60"/>
    <mergeCell ref="P59:P60"/>
    <mergeCell ref="H57:H60"/>
    <mergeCell ref="I57:I60"/>
    <mergeCell ref="I68:I69"/>
    <mergeCell ref="H68:H69"/>
    <mergeCell ref="A88:A89"/>
    <mergeCell ref="B88:B89"/>
    <mergeCell ref="D88:D89"/>
    <mergeCell ref="E88:E89"/>
    <mergeCell ref="F88:F89"/>
    <mergeCell ref="G88:G89"/>
    <mergeCell ref="H88:H89"/>
    <mergeCell ref="C88:C89"/>
    <mergeCell ref="D83:D84"/>
    <mergeCell ref="E83:E84"/>
    <mergeCell ref="F83:F84"/>
    <mergeCell ref="A71:A72"/>
    <mergeCell ref="B71:B72"/>
    <mergeCell ref="I83:I84"/>
    <mergeCell ref="A85:A87"/>
    <mergeCell ref="B85:B87"/>
    <mergeCell ref="D85:D87"/>
    <mergeCell ref="E85:E87"/>
    <mergeCell ref="F85:F87"/>
    <mergeCell ref="A83:A84"/>
    <mergeCell ref="B83:B84"/>
    <mergeCell ref="C83:C84"/>
    <mergeCell ref="C85:C87"/>
    <mergeCell ref="A90:A92"/>
    <mergeCell ref="B90:B92"/>
    <mergeCell ref="I88:I89"/>
    <mergeCell ref="D90:D92"/>
    <mergeCell ref="E90:E92"/>
    <mergeCell ref="F90:F92"/>
    <mergeCell ref="G90:G92"/>
    <mergeCell ref="H90:H92"/>
    <mergeCell ref="I90:I92"/>
    <mergeCell ref="C90:C92"/>
    <mergeCell ref="G83:G84"/>
    <mergeCell ref="H83:H84"/>
    <mergeCell ref="B77:B78"/>
    <mergeCell ref="D77:D78"/>
    <mergeCell ref="E77:E78"/>
    <mergeCell ref="F77:F78"/>
    <mergeCell ref="G77:G78"/>
    <mergeCell ref="H77:H78"/>
    <mergeCell ref="I77:I78"/>
    <mergeCell ref="C77:C78"/>
    <mergeCell ref="H74:H75"/>
    <mergeCell ref="A80:A81"/>
    <mergeCell ref="B80:B81"/>
    <mergeCell ref="C93:C94"/>
    <mergeCell ref="K96:P96"/>
    <mergeCell ref="K95:P95"/>
    <mergeCell ref="A16:A17"/>
    <mergeCell ref="B16:B17"/>
    <mergeCell ref="C16:C17"/>
    <mergeCell ref="A23:A24"/>
    <mergeCell ref="B23:B24"/>
    <mergeCell ref="C23:C24"/>
    <mergeCell ref="B25:B26"/>
    <mergeCell ref="C25:C26"/>
    <mergeCell ref="A25:A26"/>
    <mergeCell ref="C29:C32"/>
    <mergeCell ref="C33:C35"/>
    <mergeCell ref="C36:C40"/>
    <mergeCell ref="C41:C42"/>
    <mergeCell ref="C43:C50"/>
    <mergeCell ref="A57:A60"/>
    <mergeCell ref="B57:B60"/>
    <mergeCell ref="A61:A64"/>
    <mergeCell ref="B61:B64"/>
    <mergeCell ref="O160:O161"/>
    <mergeCell ref="P160:P161"/>
    <mergeCell ref="O154:O155"/>
    <mergeCell ref="P154:P155"/>
    <mergeCell ref="J154:J155"/>
    <mergeCell ref="K154:K155"/>
    <mergeCell ref="P158:P159"/>
    <mergeCell ref="A66:A67"/>
    <mergeCell ref="B66:B67"/>
    <mergeCell ref="O108:O109"/>
    <mergeCell ref="P108:P109"/>
    <mergeCell ref="K112:K113"/>
    <mergeCell ref="L112:L113"/>
    <mergeCell ref="M112:M113"/>
    <mergeCell ref="N112:N113"/>
    <mergeCell ref="O112:O113"/>
    <mergeCell ref="P112:P113"/>
    <mergeCell ref="K108:K109"/>
    <mergeCell ref="L108:L109"/>
    <mergeCell ref="M108:M109"/>
    <mergeCell ref="J108:J113"/>
    <mergeCell ref="N105:N106"/>
    <mergeCell ref="O105:O106"/>
    <mergeCell ref="P105:P106"/>
    <mergeCell ref="M147:M150"/>
    <mergeCell ref="N147:N150"/>
    <mergeCell ref="O147:O150"/>
    <mergeCell ref="K158:K159"/>
    <mergeCell ref="L158:L159"/>
    <mergeCell ref="O158:O159"/>
    <mergeCell ref="L154:L155"/>
    <mergeCell ref="N154:N155"/>
    <mergeCell ref="N158:N159"/>
    <mergeCell ref="M105:M106"/>
    <mergeCell ref="M154:M155"/>
    <mergeCell ref="J158:J159"/>
    <mergeCell ref="M158:M159"/>
    <mergeCell ref="J160:J161"/>
    <mergeCell ref="M160:M161"/>
    <mergeCell ref="O120:O123"/>
    <mergeCell ref="P120:P123"/>
    <mergeCell ref="J145:J146"/>
    <mergeCell ref="K145:K146"/>
    <mergeCell ref="L145:L146"/>
    <mergeCell ref="M145:M146"/>
    <mergeCell ref="N145:N146"/>
    <mergeCell ref="O145:O146"/>
    <mergeCell ref="P145:P146"/>
    <mergeCell ref="J120:J123"/>
    <mergeCell ref="K120:K123"/>
    <mergeCell ref="L120:L123"/>
    <mergeCell ref="M120:M123"/>
    <mergeCell ref="N120:N123"/>
    <mergeCell ref="P147:P150"/>
    <mergeCell ref="J147:J150"/>
    <mergeCell ref="K147:K150"/>
    <mergeCell ref="L147:L150"/>
    <mergeCell ref="N160:N161"/>
    <mergeCell ref="J162:J163"/>
    <mergeCell ref="K162:K163"/>
    <mergeCell ref="L162:L163"/>
    <mergeCell ref="M162:M163"/>
    <mergeCell ref="N162:N163"/>
    <mergeCell ref="K160:K161"/>
    <mergeCell ref="L160:L161"/>
    <mergeCell ref="A97:P97"/>
    <mergeCell ref="A98:A101"/>
    <mergeCell ref="B98:B101"/>
    <mergeCell ref="C98:C101"/>
    <mergeCell ref="D98:D99"/>
    <mergeCell ref="E98:E101"/>
    <mergeCell ref="F98:F101"/>
    <mergeCell ref="J98:J100"/>
    <mergeCell ref="K98:K100"/>
    <mergeCell ref="M98:M100"/>
    <mergeCell ref="N98:N100"/>
    <mergeCell ref="D100:D101"/>
    <mergeCell ref="D105:D107"/>
    <mergeCell ref="J105:J106"/>
    <mergeCell ref="K105:K106"/>
    <mergeCell ref="L105:L106"/>
  </mergeCells>
  <pageMargins left="0.39370078740157483" right="0.19685039370078741" top="0.98425196850393704" bottom="0.59055118110236227" header="0.31496062992125984" footer="0.31496062992125984"/>
  <pageSetup paperSize="9" scale="66" fitToHeight="0" orientation="landscape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203A20C-C91A-447D-96BE-F8B4817724BE}"/>
</file>

<file path=customXml/itemProps2.xml><?xml version="1.0" encoding="utf-8"?>
<ds:datastoreItem xmlns:ds="http://schemas.openxmlformats.org/officeDocument/2006/customXml" ds:itemID="{881A00E6-FFB3-4846-87D3-AA504DB58F15}"/>
</file>

<file path=customXml/itemProps3.xml><?xml version="1.0" encoding="utf-8"?>
<ds:datastoreItem xmlns:ds="http://schemas.openxmlformats.org/officeDocument/2006/customXml" ds:itemID="{85207593-C71D-458F-AD08-735B5C63EE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Тиркеме 11-2</vt:lpstr>
      <vt:lpstr>'Тиркеме 11-2'!Заголовки_для_печати</vt:lpstr>
      <vt:lpstr>'Тиркеме 11-2'!Область_печати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Канат Бегалиев</dc:creator>
  <cp:lastModifiedBy>Зарлык Исмаилов</cp:lastModifiedBy>
  <cp:lastPrinted>2019-12-10T05:41:02Z</cp:lastPrinted>
  <dcterms:created xsi:type="dcterms:W3CDTF">2019-09-02T03:18:31Z</dcterms:created>
  <dcterms:modified xsi:type="dcterms:W3CDTF">2019-12-18T09:43:45Z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