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z.ismailov\Desktop\Новая папка (2)\Бюдж2020  ЖК\Бюдж2020  ЖК\Бюджет на 2020 (на государственном языке)\"/>
    </mc:Choice>
  </mc:AlternateContent>
  <bookViews>
    <workbookView xWindow="-15" yWindow="45" windowWidth="28590" windowHeight="7905" tabRatio="186"/>
  </bookViews>
  <sheets>
    <sheet name="Приложение 11" sheetId="1" r:id="rId1"/>
    <sheet name="Лист1" sheetId="2" r:id="rId2"/>
  </sheets>
  <externalReferences>
    <externalReference r:id="rId3"/>
  </externalReferences>
  <definedNames>
    <definedName name="_xlnm.Print_Titles" localSheetId="0">'Приложение 11'!$8:$10</definedName>
    <definedName name="_xlnm.Print_Area" localSheetId="0">'Приложение 11'!$A$1:$Q$627</definedName>
  </definedNames>
  <calcPr calcId="162913"/>
</workbook>
</file>

<file path=xl/calcChain.xml><?xml version="1.0" encoding="utf-8"?>
<calcChain xmlns="http://schemas.openxmlformats.org/spreadsheetml/2006/main">
  <c r="H64" i="1" l="1"/>
  <c r="H57" i="1"/>
  <c r="H89" i="1"/>
  <c r="H76" i="1"/>
  <c r="H70" i="1"/>
  <c r="H19" i="1" l="1"/>
  <c r="J2017" i="1" l="1"/>
  <c r="I2017" i="1"/>
  <c r="G2017" i="1"/>
  <c r="F2017" i="1"/>
  <c r="H2016" i="1"/>
  <c r="H2014" i="1" s="1"/>
  <c r="H2013" i="1"/>
  <c r="H2012" i="1"/>
  <c r="H2011" i="1"/>
  <c r="H2017" i="1" s="1"/>
  <c r="I2009" i="1"/>
  <c r="G2009" i="1"/>
  <c r="J2000" i="1"/>
  <c r="I2000" i="1"/>
  <c r="H2000" i="1"/>
  <c r="G2000" i="1"/>
  <c r="J1996" i="1"/>
  <c r="J2009" i="1" s="1"/>
  <c r="I1996" i="1"/>
  <c r="H1996" i="1"/>
  <c r="H2009" i="1" s="1"/>
  <c r="G1996" i="1"/>
  <c r="F1996" i="1"/>
  <c r="F2009" i="1" s="1"/>
  <c r="J1994" i="1"/>
  <c r="I1994" i="1"/>
  <c r="G1994" i="1"/>
  <c r="H1992" i="1"/>
  <c r="G1992" i="1"/>
  <c r="F1992" i="1"/>
  <c r="H1991" i="1"/>
  <c r="H1989" i="1"/>
  <c r="H1988" i="1"/>
  <c r="H1987" i="1"/>
  <c r="H1986" i="1" s="1"/>
  <c r="H1994" i="1" s="1"/>
  <c r="F1986" i="1"/>
  <c r="F1994" i="1" s="1"/>
  <c r="I1984" i="1"/>
  <c r="J1980" i="1"/>
  <c r="J1984" i="1" s="1"/>
  <c r="H1980" i="1"/>
  <c r="H1984" i="1" s="1"/>
  <c r="G1980" i="1"/>
  <c r="G1984" i="1" s="1"/>
  <c r="F1980" i="1"/>
  <c r="F1984" i="1" s="1"/>
  <c r="J1971" i="1"/>
  <c r="I1971" i="1"/>
  <c r="H1971" i="1"/>
  <c r="G1971" i="1"/>
  <c r="F1971" i="1"/>
  <c r="J1969" i="1"/>
  <c r="I1969" i="1"/>
  <c r="H1969" i="1"/>
  <c r="G1969" i="1"/>
  <c r="F1969" i="1"/>
  <c r="J1944" i="1"/>
  <c r="I1944" i="1"/>
  <c r="I1953" i="1" s="1"/>
  <c r="H1944" i="1"/>
  <c r="G1944" i="1"/>
  <c r="G1953" i="1" s="1"/>
  <c r="F1944" i="1"/>
  <c r="J1937" i="1"/>
  <c r="J1953" i="1" s="1"/>
  <c r="I1937" i="1"/>
  <c r="H1937" i="1"/>
  <c r="H1953" i="1" s="1"/>
  <c r="G1937" i="1"/>
  <c r="F1937" i="1"/>
  <c r="F1953" i="1" s="1"/>
  <c r="J1930" i="1"/>
  <c r="I1930" i="1"/>
  <c r="H1930" i="1"/>
  <c r="G1930" i="1"/>
  <c r="F1930" i="1"/>
  <c r="J1927" i="1"/>
  <c r="I1927" i="1"/>
  <c r="H1927" i="1"/>
  <c r="F1927" i="1"/>
  <c r="G1925" i="1"/>
  <c r="G1927" i="1" s="1"/>
  <c r="J1923" i="1"/>
  <c r="H1923" i="1"/>
  <c r="F1923" i="1"/>
  <c r="J1919" i="1"/>
  <c r="I1919" i="1"/>
  <c r="I1923" i="1" s="1"/>
  <c r="H1919" i="1"/>
  <c r="G1919" i="1"/>
  <c r="G1923" i="1" s="1"/>
  <c r="F1919" i="1"/>
  <c r="J1917" i="1"/>
  <c r="I1917" i="1"/>
  <c r="H1917" i="1"/>
  <c r="G1917" i="1"/>
  <c r="F1917" i="1"/>
  <c r="J1897" i="1"/>
  <c r="J1899" i="1" s="1"/>
  <c r="I1897" i="1"/>
  <c r="H1897" i="1"/>
  <c r="H1899" i="1" s="1"/>
  <c r="G1897" i="1"/>
  <c r="F1897" i="1"/>
  <c r="F1899" i="1" s="1"/>
  <c r="H1894" i="1"/>
  <c r="F1894" i="1"/>
  <c r="F1891" i="1" s="1"/>
  <c r="J1893" i="1"/>
  <c r="I1893" i="1"/>
  <c r="F1893" i="1"/>
  <c r="I1892" i="1"/>
  <c r="I1891" i="1" s="1"/>
  <c r="F1892" i="1"/>
  <c r="J1891" i="1"/>
  <c r="H1891" i="1"/>
  <c r="H1895" i="1" s="1"/>
  <c r="J1890" i="1"/>
  <c r="I1890" i="1"/>
  <c r="H1890" i="1"/>
  <c r="F1890" i="1"/>
  <c r="J1889" i="1"/>
  <c r="I1889" i="1"/>
  <c r="F1889" i="1"/>
  <c r="F1887" i="1" s="1"/>
  <c r="J1888" i="1"/>
  <c r="I1888" i="1"/>
  <c r="I1887" i="1" s="1"/>
  <c r="F1888" i="1"/>
  <c r="J1887" i="1"/>
  <c r="H1887" i="1"/>
  <c r="J1886" i="1"/>
  <c r="I1886" i="1"/>
  <c r="H1886" i="1"/>
  <c r="F1886" i="1"/>
  <c r="J1885" i="1"/>
  <c r="I1885" i="1"/>
  <c r="F1885" i="1"/>
  <c r="F1882" i="1" s="1"/>
  <c r="J1884" i="1"/>
  <c r="I1884" i="1"/>
  <c r="I1882" i="1" s="1"/>
  <c r="F1884" i="1"/>
  <c r="J1883" i="1"/>
  <c r="I1883" i="1"/>
  <c r="H1883" i="1"/>
  <c r="F1883" i="1"/>
  <c r="J1882" i="1"/>
  <c r="H1882" i="1"/>
  <c r="F1881" i="1"/>
  <c r="F1880" i="1"/>
  <c r="J1879" i="1"/>
  <c r="J1877" i="1" s="1"/>
  <c r="I1879" i="1"/>
  <c r="F1879" i="1"/>
  <c r="I1877" i="1"/>
  <c r="H1877" i="1"/>
  <c r="F1877" i="1"/>
  <c r="I1875" i="1"/>
  <c r="G1875" i="1"/>
  <c r="J1873" i="1"/>
  <c r="J1875" i="1" s="1"/>
  <c r="I1873" i="1"/>
  <c r="H1873" i="1"/>
  <c r="H1875" i="1" s="1"/>
  <c r="G1873" i="1"/>
  <c r="F1873" i="1"/>
  <c r="F1875" i="1" s="1"/>
  <c r="G1871" i="1"/>
  <c r="J1863" i="1"/>
  <c r="J1871" i="1" s="1"/>
  <c r="I1863" i="1"/>
  <c r="H1863" i="1"/>
  <c r="H1871" i="1" s="1"/>
  <c r="G1863" i="1"/>
  <c r="F1863" i="1"/>
  <c r="F1871" i="1" s="1"/>
  <c r="J1859" i="1"/>
  <c r="I1859" i="1"/>
  <c r="I1871" i="1" s="1"/>
  <c r="H1859" i="1"/>
  <c r="J1853" i="1"/>
  <c r="J1857" i="1" s="1"/>
  <c r="I1853" i="1"/>
  <c r="I1857" i="1" s="1"/>
  <c r="H1853" i="1"/>
  <c r="G1853" i="1"/>
  <c r="F1853" i="1"/>
  <c r="F1857" i="1" s="1"/>
  <c r="J1845" i="1"/>
  <c r="I1845" i="1"/>
  <c r="H1845" i="1"/>
  <c r="G1845" i="1"/>
  <c r="G1857" i="1" s="1"/>
  <c r="F1845" i="1"/>
  <c r="H1842" i="1"/>
  <c r="H1841" i="1" s="1"/>
  <c r="J1832" i="1"/>
  <c r="J1843" i="1" s="1"/>
  <c r="I1832" i="1"/>
  <c r="I1843" i="1" s="1"/>
  <c r="H1832" i="1"/>
  <c r="H1843" i="1" s="1"/>
  <c r="G1832" i="1"/>
  <c r="G1843" i="1" s="1"/>
  <c r="J1826" i="1"/>
  <c r="I1826" i="1"/>
  <c r="H1826" i="1"/>
  <c r="G1826" i="1"/>
  <c r="F1826" i="1"/>
  <c r="J1823" i="1"/>
  <c r="J1830" i="1" s="1"/>
  <c r="I1823" i="1"/>
  <c r="H1823" i="1"/>
  <c r="H1830" i="1" s="1"/>
  <c r="G1823" i="1"/>
  <c r="F1823" i="1"/>
  <c r="F1830" i="1" s="1"/>
  <c r="J1819" i="1"/>
  <c r="I1819" i="1"/>
  <c r="I1830" i="1" s="1"/>
  <c r="H1819" i="1"/>
  <c r="G1819" i="1"/>
  <c r="G1830" i="1" s="1"/>
  <c r="F1819" i="1"/>
  <c r="J1804" i="1"/>
  <c r="I1804" i="1"/>
  <c r="H1804" i="1"/>
  <c r="G1804" i="1"/>
  <c r="F1804" i="1"/>
  <c r="J1794" i="1"/>
  <c r="J1814" i="1" s="1"/>
  <c r="I1794" i="1"/>
  <c r="I1814" i="1" s="1"/>
  <c r="H1794" i="1"/>
  <c r="H1814" i="1" s="1"/>
  <c r="G1794" i="1"/>
  <c r="G1814" i="1" s="1"/>
  <c r="F1794" i="1"/>
  <c r="F1814" i="1" s="1"/>
  <c r="I1788" i="1"/>
  <c r="J1782" i="1"/>
  <c r="I1782" i="1"/>
  <c r="J1778" i="1"/>
  <c r="I1778" i="1"/>
  <c r="J1776" i="1"/>
  <c r="J1775" i="1" s="1"/>
  <c r="I1776" i="1"/>
  <c r="I1775" i="1"/>
  <c r="H1775" i="1"/>
  <c r="G1775" i="1"/>
  <c r="J1774" i="1"/>
  <c r="I1774" i="1"/>
  <c r="J1769" i="1"/>
  <c r="J1767" i="1"/>
  <c r="J1766" i="1"/>
  <c r="J1765" i="1"/>
  <c r="J1764" i="1"/>
  <c r="J1763" i="1" s="1"/>
  <c r="I1763" i="1"/>
  <c r="I1792" i="1" s="1"/>
  <c r="H1763" i="1"/>
  <c r="H1792" i="1" s="1"/>
  <c r="G1763" i="1"/>
  <c r="G1792" i="1" s="1"/>
  <c r="G1760" i="1"/>
  <c r="G1759" i="1"/>
  <c r="G1758" i="1"/>
  <c r="G1755" i="1" s="1"/>
  <c r="G1757" i="1"/>
  <c r="G1756" i="1"/>
  <c r="J1755" i="1"/>
  <c r="I1755" i="1"/>
  <c r="I1761" i="1" s="1"/>
  <c r="H1755" i="1"/>
  <c r="H1761" i="1" s="1"/>
  <c r="F1755" i="1"/>
  <c r="F1761" i="1" s="1"/>
  <c r="G1754" i="1"/>
  <c r="G1749" i="1" s="1"/>
  <c r="G1753" i="1"/>
  <c r="G1752" i="1"/>
  <c r="G1751" i="1"/>
  <c r="J1750" i="1"/>
  <c r="J1749" i="1" s="1"/>
  <c r="I1750" i="1"/>
  <c r="G1750" i="1"/>
  <c r="I1749" i="1"/>
  <c r="H1749" i="1"/>
  <c r="F1749" i="1"/>
  <c r="J1747" i="1"/>
  <c r="I1747" i="1"/>
  <c r="H1747" i="1"/>
  <c r="G1747" i="1"/>
  <c r="F1747" i="1"/>
  <c r="F1745" i="1"/>
  <c r="F1743" i="1"/>
  <c r="H1740" i="1"/>
  <c r="J1739" i="1"/>
  <c r="H1739" i="1"/>
  <c r="H1738" i="1" s="1"/>
  <c r="H1741" i="1" s="1"/>
  <c r="Q1738" i="1"/>
  <c r="P1738" i="1"/>
  <c r="O1738" i="1"/>
  <c r="N1738" i="1"/>
  <c r="J1738" i="1"/>
  <c r="J1741" i="1" s="1"/>
  <c r="I1738" i="1"/>
  <c r="I1741" i="1" s="1"/>
  <c r="G1738" i="1"/>
  <c r="G1741" i="1" s="1"/>
  <c r="F1738" i="1"/>
  <c r="F1741" i="1" s="1"/>
  <c r="J1735" i="1"/>
  <c r="I1735" i="1"/>
  <c r="H1735" i="1"/>
  <c r="J1734" i="1"/>
  <c r="I1734" i="1"/>
  <c r="H1734" i="1"/>
  <c r="J1733" i="1"/>
  <c r="I1733" i="1"/>
  <c r="I1729" i="1" s="1"/>
  <c r="I1736" i="1" s="1"/>
  <c r="H1733" i="1"/>
  <c r="J1730" i="1"/>
  <c r="I1730" i="1"/>
  <c r="H1730" i="1"/>
  <c r="F1730" i="1"/>
  <c r="J1729" i="1"/>
  <c r="J1736" i="1" s="1"/>
  <c r="H1729" i="1"/>
  <c r="H1736" i="1" s="1"/>
  <c r="G1729" i="1"/>
  <c r="G1736" i="1" s="1"/>
  <c r="F1729" i="1"/>
  <c r="F1736" i="1" s="1"/>
  <c r="I1727" i="1"/>
  <c r="J1720" i="1"/>
  <c r="I1720" i="1"/>
  <c r="G1720" i="1"/>
  <c r="G1727" i="1" s="1"/>
  <c r="F1720" i="1"/>
  <c r="J1716" i="1"/>
  <c r="J1727" i="1" s="1"/>
  <c r="I1716" i="1"/>
  <c r="H1716" i="1"/>
  <c r="H1727" i="1" s="1"/>
  <c r="G1716" i="1"/>
  <c r="F1716" i="1"/>
  <c r="F1727" i="1" s="1"/>
  <c r="J1712" i="1"/>
  <c r="I1712" i="1"/>
  <c r="H1712" i="1"/>
  <c r="G1712" i="1"/>
  <c r="F1712" i="1"/>
  <c r="J1711" i="1"/>
  <c r="J1710" i="1"/>
  <c r="I1710" i="1"/>
  <c r="H1710" i="1"/>
  <c r="G1710" i="1"/>
  <c r="F1710" i="1"/>
  <c r="I1707" i="1"/>
  <c r="J1707" i="1" s="1"/>
  <c r="I1706" i="1"/>
  <c r="J1706" i="1" s="1"/>
  <c r="I1704" i="1"/>
  <c r="J1704" i="1" s="1"/>
  <c r="J1703" i="1" s="1"/>
  <c r="I1703" i="1"/>
  <c r="H1703" i="1"/>
  <c r="G1703" i="1"/>
  <c r="F1703" i="1"/>
  <c r="J1702" i="1"/>
  <c r="I1702" i="1"/>
  <c r="J1701" i="1"/>
  <c r="I1701" i="1"/>
  <c r="J1700" i="1"/>
  <c r="I1700" i="1"/>
  <c r="J1699" i="1"/>
  <c r="I1699" i="1"/>
  <c r="J1698" i="1"/>
  <c r="I1698" i="1"/>
  <c r="J1697" i="1"/>
  <c r="I1697" i="1"/>
  <c r="G1696" i="1"/>
  <c r="I1694" i="1"/>
  <c r="J1694" i="1" s="1"/>
  <c r="J1693" i="1" s="1"/>
  <c r="I1693" i="1"/>
  <c r="I1714" i="1" s="1"/>
  <c r="H1693" i="1"/>
  <c r="G1693" i="1"/>
  <c r="G1714" i="1" s="1"/>
  <c r="F1693" i="1"/>
  <c r="J1691" i="1"/>
  <c r="I1691" i="1"/>
  <c r="H1691" i="1"/>
  <c r="H1714" i="1" s="1"/>
  <c r="G1691" i="1"/>
  <c r="F1691" i="1"/>
  <c r="F1714" i="1" s="1"/>
  <c r="I1687" i="1"/>
  <c r="I1686" i="1" s="1"/>
  <c r="H1687" i="1"/>
  <c r="J1686" i="1"/>
  <c r="H1686" i="1"/>
  <c r="G1686" i="1"/>
  <c r="F1686" i="1"/>
  <c r="J1684" i="1"/>
  <c r="H1684" i="1"/>
  <c r="J1683" i="1"/>
  <c r="H1683" i="1"/>
  <c r="J1681" i="1"/>
  <c r="H1681" i="1"/>
  <c r="J1679" i="1"/>
  <c r="J1678" i="1" s="1"/>
  <c r="H1679" i="1"/>
  <c r="H1678" i="1" s="1"/>
  <c r="I1678" i="1"/>
  <c r="G1678" i="1"/>
  <c r="F1678" i="1"/>
  <c r="H1677" i="1"/>
  <c r="J1676" i="1"/>
  <c r="H1676" i="1"/>
  <c r="J1675" i="1"/>
  <c r="H1675" i="1"/>
  <c r="J1674" i="1"/>
  <c r="H1674" i="1"/>
  <c r="J1673" i="1"/>
  <c r="H1673" i="1"/>
  <c r="J1672" i="1"/>
  <c r="J1671" i="1" s="1"/>
  <c r="H1672" i="1"/>
  <c r="H1671" i="1" s="1"/>
  <c r="H1689" i="1" s="1"/>
  <c r="I1671" i="1"/>
  <c r="I1689" i="1" s="1"/>
  <c r="G1671" i="1"/>
  <c r="G1689" i="1" s="1"/>
  <c r="F1671" i="1"/>
  <c r="F1689" i="1" s="1"/>
  <c r="J1689" i="1" l="1"/>
  <c r="G1761" i="1"/>
  <c r="J1895" i="1"/>
  <c r="J1761" i="1"/>
  <c r="J1714" i="1"/>
  <c r="J1792" i="1"/>
  <c r="I1895" i="1"/>
  <c r="F1895" i="1"/>
  <c r="G1669" i="1" l="1"/>
  <c r="J1665" i="1"/>
  <c r="I1665" i="1"/>
  <c r="H1665" i="1"/>
  <c r="G1665" i="1"/>
  <c r="F1665" i="1"/>
  <c r="J1661" i="1"/>
  <c r="I1661" i="1"/>
  <c r="I1669" i="1" s="1"/>
  <c r="H1661" i="1"/>
  <c r="G1661" i="1"/>
  <c r="F1661" i="1"/>
  <c r="J1658" i="1"/>
  <c r="I1658" i="1"/>
  <c r="J1654" i="1"/>
  <c r="I1654" i="1"/>
  <c r="J1652" i="1"/>
  <c r="J1669" i="1" s="1"/>
  <c r="I1652" i="1"/>
  <c r="H1652" i="1"/>
  <c r="H1669" i="1" s="1"/>
  <c r="G1652" i="1"/>
  <c r="F1652" i="1"/>
  <c r="F1669" i="1" s="1"/>
  <c r="G1650" i="1"/>
  <c r="G1649" i="1"/>
  <c r="J1647" i="1"/>
  <c r="I1647" i="1"/>
  <c r="I1650" i="1" s="1"/>
  <c r="H1647" i="1"/>
  <c r="G1647" i="1"/>
  <c r="F1647" i="1"/>
  <c r="J1637" i="1"/>
  <c r="J1650" i="1" s="1"/>
  <c r="I1637" i="1"/>
  <c r="H1637" i="1"/>
  <c r="H1650" i="1" s="1"/>
  <c r="G1637" i="1"/>
  <c r="F1637" i="1"/>
  <c r="F1650" i="1" s="1"/>
  <c r="J1632" i="1"/>
  <c r="I1632" i="1"/>
  <c r="J1631" i="1"/>
  <c r="I1631" i="1"/>
  <c r="J1629" i="1"/>
  <c r="I1629" i="1"/>
  <c r="J1626" i="1"/>
  <c r="I1626" i="1"/>
  <c r="J1623" i="1"/>
  <c r="I1623" i="1"/>
  <c r="J1620" i="1"/>
  <c r="I1620" i="1"/>
  <c r="J1616" i="1"/>
  <c r="I1616" i="1"/>
  <c r="J1613" i="1"/>
  <c r="I1613" i="1"/>
  <c r="J1609" i="1"/>
  <c r="I1609" i="1"/>
  <c r="J1607" i="1"/>
  <c r="I1607" i="1"/>
  <c r="J1603" i="1"/>
  <c r="I1603" i="1"/>
  <c r="J1602" i="1"/>
  <c r="I1602" i="1"/>
  <c r="H1602" i="1"/>
  <c r="G1602" i="1"/>
  <c r="F1602" i="1"/>
  <c r="F1635" i="1" s="1"/>
  <c r="I1601" i="1"/>
  <c r="J1601" i="1" s="1"/>
  <c r="I1598" i="1"/>
  <c r="J1598" i="1" s="1"/>
  <c r="I1597" i="1"/>
  <c r="J1597" i="1" s="1"/>
  <c r="I1596" i="1"/>
  <c r="I1595" i="1" s="1"/>
  <c r="I1635" i="1" s="1"/>
  <c r="H1595" i="1"/>
  <c r="H1635" i="1" s="1"/>
  <c r="G1595" i="1"/>
  <c r="G1635" i="1" s="1"/>
  <c r="F1595" i="1"/>
  <c r="J1590" i="1"/>
  <c r="I1590" i="1"/>
  <c r="H1590" i="1"/>
  <c r="G1590" i="1"/>
  <c r="F1590" i="1"/>
  <c r="J1586" i="1"/>
  <c r="I1586" i="1"/>
  <c r="H1586" i="1"/>
  <c r="G1586" i="1"/>
  <c r="F1586" i="1"/>
  <c r="J1582" i="1"/>
  <c r="I1582" i="1"/>
  <c r="H1582" i="1"/>
  <c r="G1582" i="1"/>
  <c r="F1582" i="1"/>
  <c r="J1575" i="1"/>
  <c r="J1593" i="1" s="1"/>
  <c r="I1575" i="1"/>
  <c r="I1593" i="1" s="1"/>
  <c r="H1575" i="1"/>
  <c r="H1593" i="1" s="1"/>
  <c r="G1575" i="1"/>
  <c r="G1593" i="1" s="1"/>
  <c r="F1575" i="1"/>
  <c r="F1593" i="1" s="1"/>
  <c r="I1573" i="1"/>
  <c r="H1573" i="1"/>
  <c r="G1573" i="1"/>
  <c r="F1573" i="1"/>
  <c r="J1568" i="1"/>
  <c r="J1566" i="1" s="1"/>
  <c r="I1568" i="1"/>
  <c r="I1566" i="1" s="1"/>
  <c r="H1566" i="1"/>
  <c r="G1566" i="1"/>
  <c r="F1566" i="1"/>
  <c r="J1560" i="1"/>
  <c r="I1560" i="1"/>
  <c r="H1560" i="1"/>
  <c r="G1560" i="1"/>
  <c r="F1560" i="1"/>
  <c r="I1557" i="1"/>
  <c r="J1557" i="1" s="1"/>
  <c r="G1557" i="1"/>
  <c r="J1555" i="1"/>
  <c r="I1555" i="1"/>
  <c r="G1555" i="1"/>
  <c r="G1551" i="1" s="1"/>
  <c r="I1554" i="1"/>
  <c r="J1554" i="1" s="1"/>
  <c r="I1553" i="1"/>
  <c r="J1553" i="1" s="1"/>
  <c r="F1553" i="1"/>
  <c r="J1552" i="1"/>
  <c r="I1552" i="1"/>
  <c r="I1551" i="1" s="1"/>
  <c r="H1551" i="1"/>
  <c r="F1551" i="1"/>
  <c r="I1549" i="1"/>
  <c r="J1549" i="1" s="1"/>
  <c r="I1548" i="1"/>
  <c r="J1548" i="1" s="1"/>
  <c r="G1548" i="1"/>
  <c r="J1547" i="1"/>
  <c r="I1547" i="1"/>
  <c r="G1547" i="1"/>
  <c r="F1547" i="1"/>
  <c r="H1546" i="1"/>
  <c r="I1546" i="1" s="1"/>
  <c r="F1546" i="1"/>
  <c r="J1545" i="1"/>
  <c r="I1545" i="1"/>
  <c r="G1545" i="1"/>
  <c r="G1544" i="1"/>
  <c r="F1544" i="1"/>
  <c r="J1543" i="1"/>
  <c r="I1543" i="1"/>
  <c r="G1543" i="1"/>
  <c r="J1542" i="1"/>
  <c r="J1541" i="1"/>
  <c r="I1541" i="1"/>
  <c r="J1540" i="1"/>
  <c r="I1540" i="1"/>
  <c r="G1540" i="1"/>
  <c r="F1540" i="1"/>
  <c r="J1539" i="1"/>
  <c r="J1538" i="1" s="1"/>
  <c r="I1539" i="1"/>
  <c r="G1539" i="1"/>
  <c r="G1538" i="1" s="1"/>
  <c r="I1538" i="1"/>
  <c r="H1538" i="1"/>
  <c r="F1538" i="1"/>
  <c r="J1537" i="1"/>
  <c r="I1537" i="1"/>
  <c r="G1537" i="1"/>
  <c r="I1536" i="1"/>
  <c r="J1536" i="1" s="1"/>
  <c r="G1536" i="1"/>
  <c r="J1534" i="1"/>
  <c r="I1534" i="1"/>
  <c r="G1534" i="1"/>
  <c r="I1533" i="1"/>
  <c r="J1533" i="1" s="1"/>
  <c r="G1533" i="1"/>
  <c r="J1532" i="1"/>
  <c r="I1532" i="1"/>
  <c r="G1532" i="1"/>
  <c r="I1531" i="1"/>
  <c r="J1531" i="1" s="1"/>
  <c r="G1531" i="1"/>
  <c r="J1530" i="1"/>
  <c r="I1530" i="1"/>
  <c r="G1530" i="1"/>
  <c r="I1529" i="1"/>
  <c r="J1529" i="1" s="1"/>
  <c r="G1529" i="1"/>
  <c r="J1528" i="1"/>
  <c r="I1528" i="1"/>
  <c r="G1528" i="1"/>
  <c r="G1526" i="1" s="1"/>
  <c r="I1527" i="1"/>
  <c r="J1527" i="1" s="1"/>
  <c r="G1527" i="1"/>
  <c r="H1526" i="1"/>
  <c r="F1526" i="1"/>
  <c r="F1558" i="1" s="1"/>
  <c r="J1524" i="1"/>
  <c r="I1524" i="1"/>
  <c r="F1524" i="1"/>
  <c r="J1520" i="1"/>
  <c r="I1520" i="1"/>
  <c r="H1520" i="1"/>
  <c r="G1520" i="1"/>
  <c r="F1520" i="1"/>
  <c r="J1518" i="1"/>
  <c r="I1518" i="1"/>
  <c r="H1518" i="1"/>
  <c r="G1518" i="1"/>
  <c r="F1518" i="1"/>
  <c r="G1510" i="1"/>
  <c r="G1509" i="1" s="1"/>
  <c r="J1509" i="1"/>
  <c r="I1509" i="1"/>
  <c r="H1509" i="1"/>
  <c r="H1524" i="1" s="1"/>
  <c r="F1509" i="1"/>
  <c r="J1502" i="1"/>
  <c r="J1501" i="1" s="1"/>
  <c r="I1502" i="1"/>
  <c r="I1501" i="1" s="1"/>
  <c r="H1501" i="1"/>
  <c r="G1501" i="1"/>
  <c r="F1501" i="1"/>
  <c r="J1496" i="1"/>
  <c r="I1496" i="1"/>
  <c r="H1496" i="1"/>
  <c r="G1496" i="1"/>
  <c r="F1496" i="1"/>
  <c r="J1491" i="1"/>
  <c r="I1491" i="1"/>
  <c r="H1491" i="1"/>
  <c r="G1491" i="1"/>
  <c r="F1491" i="1"/>
  <c r="J1473" i="1"/>
  <c r="I1473" i="1"/>
  <c r="H1473" i="1"/>
  <c r="G1473" i="1"/>
  <c r="F1473" i="1"/>
  <c r="H1469" i="1"/>
  <c r="N1464" i="1"/>
  <c r="M1464" i="1"/>
  <c r="P1463" i="1"/>
  <c r="O1463" i="1"/>
  <c r="M1463" i="1"/>
  <c r="H1463" i="1"/>
  <c r="H1462" i="1" s="1"/>
  <c r="H1506" i="1" s="1"/>
  <c r="J1462" i="1"/>
  <c r="I1462" i="1"/>
  <c r="G1462" i="1"/>
  <c r="F1462" i="1"/>
  <c r="H1461" i="1"/>
  <c r="H1458" i="1"/>
  <c r="J1457" i="1"/>
  <c r="I1457" i="1"/>
  <c r="I1506" i="1" s="1"/>
  <c r="H1457" i="1"/>
  <c r="G1457" i="1"/>
  <c r="G1506" i="1" s="1"/>
  <c r="F1457" i="1"/>
  <c r="F1506" i="1" s="1"/>
  <c r="I1449" i="1"/>
  <c r="J1395" i="1"/>
  <c r="I1395" i="1"/>
  <c r="H1395" i="1"/>
  <c r="G1395" i="1"/>
  <c r="F1395" i="1"/>
  <c r="J1368" i="1"/>
  <c r="I1368" i="1"/>
  <c r="H1368" i="1"/>
  <c r="G1368" i="1"/>
  <c r="F1368" i="1"/>
  <c r="H1367" i="1"/>
  <c r="H1366" i="1"/>
  <c r="J1362" i="1"/>
  <c r="I1362" i="1"/>
  <c r="I1354" i="1" s="1"/>
  <c r="I1455" i="1" s="1"/>
  <c r="H1362" i="1"/>
  <c r="G1362" i="1"/>
  <c r="G1354" i="1" s="1"/>
  <c r="G1455" i="1" s="1"/>
  <c r="F1362" i="1"/>
  <c r="H1358" i="1"/>
  <c r="H1357" i="1"/>
  <c r="H1354" i="1" s="1"/>
  <c r="H1455" i="1" s="1"/>
  <c r="H1356" i="1"/>
  <c r="H1355" i="1"/>
  <c r="J1354" i="1"/>
  <c r="J1455" i="1" s="1"/>
  <c r="F1354" i="1"/>
  <c r="F1455" i="1" s="1"/>
  <c r="J1350" i="1"/>
  <c r="I1350" i="1"/>
  <c r="H1350" i="1"/>
  <c r="G1350" i="1"/>
  <c r="J1347" i="1"/>
  <c r="I1347" i="1"/>
  <c r="H1347" i="1"/>
  <c r="G1347" i="1"/>
  <c r="H1346" i="1"/>
  <c r="H1345" i="1"/>
  <c r="J1344" i="1"/>
  <c r="I1344" i="1"/>
  <c r="H1344" i="1"/>
  <c r="G1344" i="1"/>
  <c r="F1344" i="1"/>
  <c r="J1342" i="1"/>
  <c r="I1342" i="1"/>
  <c r="H1342" i="1"/>
  <c r="G1342" i="1"/>
  <c r="G1352" i="1" s="1"/>
  <c r="F1342" i="1"/>
  <c r="H1341" i="1"/>
  <c r="H1340" i="1"/>
  <c r="J1339" i="1"/>
  <c r="I1339" i="1"/>
  <c r="H1339" i="1"/>
  <c r="G1339" i="1"/>
  <c r="F1339" i="1"/>
  <c r="H1338" i="1"/>
  <c r="H1337" i="1"/>
  <c r="J1336" i="1"/>
  <c r="I1336" i="1"/>
  <c r="H1336" i="1"/>
  <c r="G1336" i="1"/>
  <c r="F1336" i="1"/>
  <c r="H1335" i="1"/>
  <c r="I1334" i="1"/>
  <c r="H1334" i="1"/>
  <c r="H1333" i="1"/>
  <c r="H1332" i="1"/>
  <c r="H1331" i="1"/>
  <c r="H1328" i="1" s="1"/>
  <c r="H1352" i="1" s="1"/>
  <c r="H1330" i="1"/>
  <c r="H1329" i="1"/>
  <c r="J1328" i="1"/>
  <c r="J1352" i="1" s="1"/>
  <c r="I1328" i="1"/>
  <c r="I1352" i="1" s="1"/>
  <c r="G1328" i="1"/>
  <c r="F1328" i="1"/>
  <c r="F1352" i="1" s="1"/>
  <c r="J1324" i="1"/>
  <c r="I1324" i="1"/>
  <c r="H1324" i="1"/>
  <c r="G1324" i="1"/>
  <c r="J1323" i="1"/>
  <c r="H1312" i="1"/>
  <c r="H1307" i="1"/>
  <c r="H1292" i="1" s="1"/>
  <c r="J1292" i="1"/>
  <c r="I1292" i="1"/>
  <c r="G1292" i="1"/>
  <c r="F1292" i="1"/>
  <c r="H1283" i="1"/>
  <c r="H1279" i="1"/>
  <c r="H1277" i="1"/>
  <c r="H1276" i="1" s="1"/>
  <c r="J1276" i="1"/>
  <c r="I1276" i="1"/>
  <c r="G1276" i="1"/>
  <c r="F1276" i="1"/>
  <c r="H1267" i="1"/>
  <c r="J1263" i="1"/>
  <c r="I1263" i="1"/>
  <c r="H1263" i="1"/>
  <c r="G1263" i="1"/>
  <c r="F1263" i="1"/>
  <c r="H1250" i="1"/>
  <c r="H1240" i="1" s="1"/>
  <c r="J1240" i="1"/>
  <c r="I1240" i="1"/>
  <c r="G1240" i="1"/>
  <c r="G1326" i="1" s="1"/>
  <c r="F1240" i="1"/>
  <c r="J1232" i="1"/>
  <c r="J1326" i="1" s="1"/>
  <c r="I1232" i="1"/>
  <c r="I1326" i="1" s="1"/>
  <c r="H1232" i="1"/>
  <c r="G1232" i="1"/>
  <c r="F1232" i="1"/>
  <c r="F1326" i="1" s="1"/>
  <c r="J1229" i="1"/>
  <c r="J1228" i="1" s="1"/>
  <c r="I1229" i="1"/>
  <c r="I1228" i="1" s="1"/>
  <c r="H1228" i="1"/>
  <c r="G1228" i="1"/>
  <c r="F1228" i="1"/>
  <c r="J1227" i="1"/>
  <c r="I1227" i="1"/>
  <c r="G1227" i="1"/>
  <c r="G1225" i="1" s="1"/>
  <c r="G1226" i="1"/>
  <c r="J1225" i="1"/>
  <c r="I1225" i="1"/>
  <c r="H1225" i="1"/>
  <c r="F1225" i="1"/>
  <c r="J1223" i="1"/>
  <c r="J1218" i="1" s="1"/>
  <c r="I1223" i="1"/>
  <c r="I1218" i="1" s="1"/>
  <c r="I1230" i="1" s="1"/>
  <c r="H1218" i="1"/>
  <c r="H1230" i="1" s="1"/>
  <c r="G1218" i="1"/>
  <c r="G1230" i="1" s="1"/>
  <c r="F1218" i="1"/>
  <c r="F1230" i="1" s="1"/>
  <c r="J1215" i="1"/>
  <c r="G1215" i="1"/>
  <c r="G1203" i="1" s="1"/>
  <c r="J1214" i="1"/>
  <c r="I1214" i="1"/>
  <c r="J1213" i="1"/>
  <c r="J1212" i="1"/>
  <c r="J1211" i="1"/>
  <c r="J1210" i="1"/>
  <c r="J1209" i="1"/>
  <c r="J1208" i="1"/>
  <c r="J1207" i="1"/>
  <c r="J1206" i="1"/>
  <c r="J1203" i="1"/>
  <c r="I1203" i="1"/>
  <c r="H1203" i="1"/>
  <c r="F1203" i="1"/>
  <c r="J1201" i="1"/>
  <c r="J1200" i="1"/>
  <c r="J1199" i="1" s="1"/>
  <c r="J1216" i="1" s="1"/>
  <c r="I1199" i="1"/>
  <c r="I1216" i="1" s="1"/>
  <c r="H1199" i="1"/>
  <c r="H1216" i="1" s="1"/>
  <c r="G1199" i="1"/>
  <c r="G1216" i="1" s="1"/>
  <c r="F1199" i="1"/>
  <c r="F1216" i="1" s="1"/>
  <c r="I1194" i="1"/>
  <c r="H1194" i="1"/>
  <c r="J1192" i="1"/>
  <c r="I1192" i="1"/>
  <c r="H1192" i="1"/>
  <c r="G1192" i="1"/>
  <c r="F1192" i="1"/>
  <c r="H1189" i="1"/>
  <c r="G1189" i="1"/>
  <c r="J1186" i="1"/>
  <c r="J1184" i="1" s="1"/>
  <c r="J1197" i="1" s="1"/>
  <c r="I1186" i="1"/>
  <c r="H1186" i="1"/>
  <c r="H1184" i="1" s="1"/>
  <c r="H1197" i="1" s="1"/>
  <c r="G1186" i="1"/>
  <c r="G1184" i="1" s="1"/>
  <c r="G1197" i="1" s="1"/>
  <c r="F1186" i="1"/>
  <c r="F1184" i="1" s="1"/>
  <c r="F1197" i="1" s="1"/>
  <c r="I1184" i="1"/>
  <c r="I1197" i="1" s="1"/>
  <c r="J1182" i="1"/>
  <c r="G1180" i="1"/>
  <c r="G1179" i="1" s="1"/>
  <c r="G1182" i="1" s="1"/>
  <c r="F1180" i="1"/>
  <c r="F1179" i="1" s="1"/>
  <c r="J1179" i="1"/>
  <c r="I1179" i="1"/>
  <c r="I1182" i="1" s="1"/>
  <c r="H1179" i="1"/>
  <c r="H1182" i="1" s="1"/>
  <c r="F1178" i="1"/>
  <c r="F1176" i="1"/>
  <c r="F1175" i="1" s="1"/>
  <c r="J1175" i="1"/>
  <c r="I1175" i="1"/>
  <c r="H1175" i="1"/>
  <c r="G1175" i="1"/>
  <c r="F1174" i="1"/>
  <c r="F1172" i="1"/>
  <c r="F1171" i="1"/>
  <c r="F1170" i="1"/>
  <c r="F1169" i="1"/>
  <c r="F1168" i="1"/>
  <c r="F1167" i="1" s="1"/>
  <c r="J1167" i="1"/>
  <c r="I1167" i="1"/>
  <c r="H1167" i="1"/>
  <c r="G1167" i="1"/>
  <c r="J1164" i="1"/>
  <c r="J1160" i="1"/>
  <c r="J1158" i="1" s="1"/>
  <c r="I1160" i="1"/>
  <c r="I1158" i="1"/>
  <c r="H1158" i="1"/>
  <c r="H1165" i="1" s="1"/>
  <c r="G1158" i="1"/>
  <c r="G1165" i="1" s="1"/>
  <c r="F1158" i="1"/>
  <c r="J1152" i="1"/>
  <c r="I1152" i="1"/>
  <c r="I1165" i="1" s="1"/>
  <c r="H1152" i="1"/>
  <c r="G1152" i="1"/>
  <c r="F1152" i="1"/>
  <c r="F1165" i="1" s="1"/>
  <c r="I1148" i="1"/>
  <c r="F1148" i="1"/>
  <c r="J1146" i="1"/>
  <c r="I1146" i="1"/>
  <c r="F1146" i="1"/>
  <c r="J1144" i="1"/>
  <c r="I1144" i="1"/>
  <c r="I1141" i="1" s="1"/>
  <c r="F1144" i="1"/>
  <c r="J1142" i="1"/>
  <c r="I1142" i="1"/>
  <c r="F1142" i="1"/>
  <c r="J1141" i="1"/>
  <c r="H1141" i="1"/>
  <c r="G1141" i="1"/>
  <c r="F1141" i="1"/>
  <c r="F1139" i="1"/>
  <c r="I1136" i="1"/>
  <c r="F1136" i="1"/>
  <c r="J1135" i="1"/>
  <c r="I1135" i="1"/>
  <c r="F1135" i="1"/>
  <c r="J1134" i="1"/>
  <c r="I1134" i="1"/>
  <c r="I1133" i="1" s="1"/>
  <c r="I1150" i="1" s="1"/>
  <c r="F1134" i="1"/>
  <c r="J1133" i="1"/>
  <c r="J1150" i="1" s="1"/>
  <c r="H1133" i="1"/>
  <c r="H1150" i="1" s="1"/>
  <c r="G1133" i="1"/>
  <c r="G1150" i="1" s="1"/>
  <c r="F1133" i="1"/>
  <c r="F1150" i="1" s="1"/>
  <c r="Q1126" i="1"/>
  <c r="P1126" i="1"/>
  <c r="O1126" i="1"/>
  <c r="N1126" i="1"/>
  <c r="M1126" i="1"/>
  <c r="J1126" i="1"/>
  <c r="I1126" i="1"/>
  <c r="H1126" i="1"/>
  <c r="G1126" i="1"/>
  <c r="F1126" i="1"/>
  <c r="F1131" i="1" s="1"/>
  <c r="N1122" i="1"/>
  <c r="M1122" i="1"/>
  <c r="N1121" i="1"/>
  <c r="M1121" i="1"/>
  <c r="N1120" i="1"/>
  <c r="M1120" i="1"/>
  <c r="J1120" i="1"/>
  <c r="I1120" i="1"/>
  <c r="H1120" i="1"/>
  <c r="G1120" i="1"/>
  <c r="F1120" i="1"/>
  <c r="I1119" i="1"/>
  <c r="J1119" i="1" s="1"/>
  <c r="G1119" i="1"/>
  <c r="H1115" i="1"/>
  <c r="H1111" i="1" s="1"/>
  <c r="G1115" i="1"/>
  <c r="F1115" i="1"/>
  <c r="N1114" i="1"/>
  <c r="M1114" i="1"/>
  <c r="N1113" i="1"/>
  <c r="M1113" i="1"/>
  <c r="N1112" i="1"/>
  <c r="M1112" i="1"/>
  <c r="N1111" i="1"/>
  <c r="M1111" i="1"/>
  <c r="G1111" i="1"/>
  <c r="F1111" i="1"/>
  <c r="J1107" i="1"/>
  <c r="J1106" i="1" s="1"/>
  <c r="I1107" i="1"/>
  <c r="G1107" i="1"/>
  <c r="F1107" i="1"/>
  <c r="I1106" i="1"/>
  <c r="H1106" i="1"/>
  <c r="G1106" i="1"/>
  <c r="F1106" i="1"/>
  <c r="I1105" i="1"/>
  <c r="J1105" i="1" s="1"/>
  <c r="I1104" i="1"/>
  <c r="J1104" i="1" s="1"/>
  <c r="I1103" i="1"/>
  <c r="J1103" i="1" s="1"/>
  <c r="I1102" i="1"/>
  <c r="J1102" i="1" s="1"/>
  <c r="G1102" i="1"/>
  <c r="I1101" i="1"/>
  <c r="J1101" i="1" s="1"/>
  <c r="J1100" i="1"/>
  <c r="I1100" i="1"/>
  <c r="G1100" i="1"/>
  <c r="I1099" i="1"/>
  <c r="J1099" i="1" s="1"/>
  <c r="G1099" i="1"/>
  <c r="I1098" i="1"/>
  <c r="J1098" i="1" s="1"/>
  <c r="J1097" i="1" s="1"/>
  <c r="G1098" i="1"/>
  <c r="H1097" i="1"/>
  <c r="G1097" i="1"/>
  <c r="G1131" i="1" s="1"/>
  <c r="F1097" i="1"/>
  <c r="I1095" i="1"/>
  <c r="H1091" i="1"/>
  <c r="H1090" i="1" s="1"/>
  <c r="H1095" i="1" s="1"/>
  <c r="J1090" i="1"/>
  <c r="J1095" i="1" s="1"/>
  <c r="I1090" i="1"/>
  <c r="G1090" i="1"/>
  <c r="G1095" i="1" s="1"/>
  <c r="F1090" i="1"/>
  <c r="F1095" i="1" s="1"/>
  <c r="H1088" i="1"/>
  <c r="G1088" i="1"/>
  <c r="I1087" i="1"/>
  <c r="J1087" i="1" s="1"/>
  <c r="J1086" i="1"/>
  <c r="I1086" i="1"/>
  <c r="I1085" i="1"/>
  <c r="I1084" i="1" s="1"/>
  <c r="J1084" i="1" s="1"/>
  <c r="H1084" i="1"/>
  <c r="G1084" i="1"/>
  <c r="F1084" i="1"/>
  <c r="I1081" i="1"/>
  <c r="J1081" i="1" s="1"/>
  <c r="I1077" i="1"/>
  <c r="J1077" i="1" s="1"/>
  <c r="I1076" i="1"/>
  <c r="J1076" i="1" s="1"/>
  <c r="I1075" i="1"/>
  <c r="H1075" i="1"/>
  <c r="G1075" i="1"/>
  <c r="F1075" i="1"/>
  <c r="F1088" i="1" s="1"/>
  <c r="J1073" i="1"/>
  <c r="G1073" i="1"/>
  <c r="F1073" i="1"/>
  <c r="J1071" i="1"/>
  <c r="I1071" i="1"/>
  <c r="H1071" i="1"/>
  <c r="G1071" i="1"/>
  <c r="F1071" i="1"/>
  <c r="J1069" i="1"/>
  <c r="I1069" i="1"/>
  <c r="I1073" i="1" s="1"/>
  <c r="H1069" i="1"/>
  <c r="H1073" i="1" s="1"/>
  <c r="G1069" i="1"/>
  <c r="F1069" i="1"/>
  <c r="J1065" i="1"/>
  <c r="J1062" i="1" s="1"/>
  <c r="I1065" i="1"/>
  <c r="G1065" i="1"/>
  <c r="I1062" i="1"/>
  <c r="H1062" i="1"/>
  <c r="G1062" i="1"/>
  <c r="F1062" i="1"/>
  <c r="H1054" i="1"/>
  <c r="H1049" i="1" s="1"/>
  <c r="H1053" i="1"/>
  <c r="J1049" i="1"/>
  <c r="I1049" i="1"/>
  <c r="G1049" i="1"/>
  <c r="F1049" i="1"/>
  <c r="H1048" i="1"/>
  <c r="H1046" i="1"/>
  <c r="H1045" i="1"/>
  <c r="J1044" i="1"/>
  <c r="I1044" i="1"/>
  <c r="H1044" i="1"/>
  <c r="G1044" i="1"/>
  <c r="F1044" i="1"/>
  <c r="J1039" i="1"/>
  <c r="J1038" i="1" s="1"/>
  <c r="I1039" i="1"/>
  <c r="I1038" i="1" s="1"/>
  <c r="H1039" i="1"/>
  <c r="H1038" i="1"/>
  <c r="G1038" i="1"/>
  <c r="F1038" i="1"/>
  <c r="H1034" i="1"/>
  <c r="H1033" i="1"/>
  <c r="H1030" i="1"/>
  <c r="H1027" i="1"/>
  <c r="H1026" i="1" s="1"/>
  <c r="J1026" i="1"/>
  <c r="I1026" i="1"/>
  <c r="I1066" i="1" s="1"/>
  <c r="G1026" i="1"/>
  <c r="F1026" i="1"/>
  <c r="J1015" i="1"/>
  <c r="I1015" i="1"/>
  <c r="H1015" i="1"/>
  <c r="G1015" i="1"/>
  <c r="G1066" i="1" s="1"/>
  <c r="F1015" i="1"/>
  <c r="F1066" i="1" s="1"/>
  <c r="J1011" i="1"/>
  <c r="I1011" i="1"/>
  <c r="I1007" i="1" s="1"/>
  <c r="H1008" i="1"/>
  <c r="H1007" i="1" s="1"/>
  <c r="J1007" i="1"/>
  <c r="G1007" i="1"/>
  <c r="G1013" i="1" s="1"/>
  <c r="F1007" i="1"/>
  <c r="H1005" i="1"/>
  <c r="H999" i="1"/>
  <c r="H994" i="1" s="1"/>
  <c r="N994" i="1"/>
  <c r="O994" i="1" s="1"/>
  <c r="P994" i="1" s="1"/>
  <c r="Q994" i="1" s="1"/>
  <c r="J994" i="1"/>
  <c r="J1013" i="1" s="1"/>
  <c r="I994" i="1"/>
  <c r="I1013" i="1" s="1"/>
  <c r="G994" i="1"/>
  <c r="F994" i="1"/>
  <c r="F1013" i="1" s="1"/>
  <c r="J971" i="1"/>
  <c r="I971" i="1"/>
  <c r="H971" i="1"/>
  <c r="G971" i="1"/>
  <c r="F971" i="1"/>
  <c r="H970" i="1"/>
  <c r="H969" i="1"/>
  <c r="J959" i="1"/>
  <c r="I959" i="1"/>
  <c r="H948" i="1"/>
  <c r="G948" i="1"/>
  <c r="G893" i="1" s="1"/>
  <c r="H944" i="1"/>
  <c r="G944" i="1"/>
  <c r="G936" i="1"/>
  <c r="H928" i="1"/>
  <c r="G928" i="1"/>
  <c r="H927" i="1"/>
  <c r="G927" i="1"/>
  <c r="H922" i="1"/>
  <c r="F922" i="1"/>
  <c r="H919" i="1"/>
  <c r="H909" i="1"/>
  <c r="H893" i="1" s="1"/>
  <c r="F909" i="1"/>
  <c r="F893" i="1" s="1"/>
  <c r="H907" i="1"/>
  <c r="H901" i="1"/>
  <c r="J899" i="1"/>
  <c r="I899" i="1"/>
  <c r="H899" i="1"/>
  <c r="G899" i="1"/>
  <c r="J894" i="1"/>
  <c r="I894" i="1"/>
  <c r="I893" i="1" s="1"/>
  <c r="H894" i="1"/>
  <c r="G894" i="1"/>
  <c r="J893" i="1"/>
  <c r="H886" i="1"/>
  <c r="H876" i="1"/>
  <c r="J865" i="1"/>
  <c r="J863" i="1" s="1"/>
  <c r="J992" i="1" s="1"/>
  <c r="I865" i="1"/>
  <c r="I863" i="1" s="1"/>
  <c r="I992" i="1" s="1"/>
  <c r="H865" i="1"/>
  <c r="H863" i="1" s="1"/>
  <c r="G863" i="1"/>
  <c r="G992" i="1" s="1"/>
  <c r="F863" i="1"/>
  <c r="F992" i="1" s="1"/>
  <c r="H861" i="1"/>
  <c r="J858" i="1"/>
  <c r="J861" i="1" s="1"/>
  <c r="I858" i="1"/>
  <c r="I861" i="1" s="1"/>
  <c r="H858" i="1"/>
  <c r="G858" i="1"/>
  <c r="G861" i="1" s="1"/>
  <c r="F858" i="1"/>
  <c r="F861" i="1" s="1"/>
  <c r="J855" i="1"/>
  <c r="I855" i="1"/>
  <c r="J854" i="1"/>
  <c r="I854" i="1"/>
  <c r="H854" i="1"/>
  <c r="F854" i="1"/>
  <c r="J852" i="1"/>
  <c r="I852" i="1"/>
  <c r="H852" i="1"/>
  <c r="F852" i="1"/>
  <c r="H851" i="1"/>
  <c r="H850" i="1"/>
  <c r="H849" i="1" s="1"/>
  <c r="J849" i="1"/>
  <c r="I849" i="1"/>
  <c r="G849" i="1"/>
  <c r="F849" i="1"/>
  <c r="H848" i="1"/>
  <c r="H847" i="1"/>
  <c r="H846" i="1"/>
  <c r="H844" i="1"/>
  <c r="H843" i="1"/>
  <c r="H842" i="1"/>
  <c r="H841" i="1" s="1"/>
  <c r="H856" i="1" s="1"/>
  <c r="J841" i="1"/>
  <c r="J856" i="1" s="1"/>
  <c r="I841" i="1"/>
  <c r="I856" i="1" s="1"/>
  <c r="G841" i="1"/>
  <c r="G856" i="1" s="1"/>
  <c r="F841" i="1"/>
  <c r="F856" i="1" s="1"/>
  <c r="G839" i="1"/>
  <c r="F839" i="1"/>
  <c r="J835" i="1"/>
  <c r="I835" i="1"/>
  <c r="H835" i="1"/>
  <c r="J826" i="1"/>
  <c r="I826" i="1"/>
  <c r="H826" i="1"/>
  <c r="J819" i="1"/>
  <c r="I819" i="1"/>
  <c r="H819" i="1"/>
  <c r="H805" i="1"/>
  <c r="H801" i="1" s="1"/>
  <c r="J801" i="1"/>
  <c r="I801" i="1"/>
  <c r="J787" i="1"/>
  <c r="J783" i="1" s="1"/>
  <c r="I787" i="1"/>
  <c r="I783" i="1" s="1"/>
  <c r="H784" i="1"/>
  <c r="H783" i="1"/>
  <c r="H781" i="1"/>
  <c r="J778" i="1"/>
  <c r="I778" i="1"/>
  <c r="I839" i="1" s="1"/>
  <c r="H778" i="1"/>
  <c r="J1546" i="1" l="1"/>
  <c r="I1544" i="1"/>
  <c r="I1558" i="1" s="1"/>
  <c r="H839" i="1"/>
  <c r="H992" i="1"/>
  <c r="H1013" i="1"/>
  <c r="J1066" i="1"/>
  <c r="I1088" i="1"/>
  <c r="H1131" i="1"/>
  <c r="F1182" i="1"/>
  <c r="J1230" i="1"/>
  <c r="H1326" i="1"/>
  <c r="H1558" i="1"/>
  <c r="J1075" i="1"/>
  <c r="J1088" i="1" s="1"/>
  <c r="J1165" i="1"/>
  <c r="J1526" i="1"/>
  <c r="J1544" i="1"/>
  <c r="J839" i="1"/>
  <c r="H1066" i="1"/>
  <c r="J1506" i="1"/>
  <c r="J1551" i="1"/>
  <c r="G1558" i="1"/>
  <c r="I1115" i="1"/>
  <c r="J1573" i="1"/>
  <c r="J1596" i="1"/>
  <c r="J1595" i="1" s="1"/>
  <c r="J1635" i="1" s="1"/>
  <c r="G1524" i="1"/>
  <c r="J1085" i="1"/>
  <c r="I1097" i="1"/>
  <c r="I1526" i="1"/>
  <c r="H1544" i="1"/>
  <c r="J1115" i="1" l="1"/>
  <c r="J1111" i="1" s="1"/>
  <c r="J1131" i="1" s="1"/>
  <c r="I1111" i="1"/>
  <c r="I1131" i="1" s="1"/>
  <c r="J1558" i="1"/>
  <c r="H775" i="1" l="1"/>
  <c r="H773" i="1" s="1"/>
  <c r="H774" i="1"/>
  <c r="J773" i="1"/>
  <c r="I773" i="1"/>
  <c r="G773" i="1"/>
  <c r="F773" i="1"/>
  <c r="H771" i="1"/>
  <c r="H769" i="1"/>
  <c r="H758" i="1"/>
  <c r="H755" i="1"/>
  <c r="H754" i="1" s="1"/>
  <c r="J754" i="1"/>
  <c r="I754" i="1"/>
  <c r="G754" i="1"/>
  <c r="F754" i="1"/>
  <c r="H753" i="1"/>
  <c r="H752" i="1"/>
  <c r="H749" i="1"/>
  <c r="H747" i="1"/>
  <c r="H746" i="1"/>
  <c r="H744" i="1"/>
  <c r="H743" i="1"/>
  <c r="H742" i="1" s="1"/>
  <c r="J742" i="1"/>
  <c r="J776" i="1" s="1"/>
  <c r="I742" i="1"/>
  <c r="I776" i="1" s="1"/>
  <c r="G742" i="1"/>
  <c r="G776" i="1" s="1"/>
  <c r="F742" i="1"/>
  <c r="F776" i="1" s="1"/>
  <c r="J739" i="1"/>
  <c r="I739" i="1"/>
  <c r="G739" i="1"/>
  <c r="F739" i="1"/>
  <c r="H736" i="1"/>
  <c r="H739" i="1" s="1"/>
  <c r="J735" i="1"/>
  <c r="I735" i="1"/>
  <c r="G735" i="1"/>
  <c r="F735" i="1"/>
  <c r="J734" i="1"/>
  <c r="I734" i="1"/>
  <c r="H734" i="1"/>
  <c r="G734" i="1"/>
  <c r="F734" i="1"/>
  <c r="F740" i="1" s="1"/>
  <c r="G732" i="1"/>
  <c r="J726" i="1"/>
  <c r="I726" i="1"/>
  <c r="H726" i="1"/>
  <c r="G726" i="1"/>
  <c r="F726" i="1"/>
  <c r="J725" i="1"/>
  <c r="I725" i="1"/>
  <c r="H725" i="1"/>
  <c r="G725" i="1"/>
  <c r="F725" i="1"/>
  <c r="J719" i="1"/>
  <c r="I719" i="1"/>
  <c r="H719" i="1"/>
  <c r="G719" i="1"/>
  <c r="F719" i="1"/>
  <c r="I718" i="1"/>
  <c r="G718" i="1"/>
  <c r="F718" i="1"/>
  <c r="J711" i="1"/>
  <c r="J710" i="1"/>
  <c r="J718" i="1" s="1"/>
  <c r="H708" i="1"/>
  <c r="H718" i="1" s="1"/>
  <c r="I706" i="1"/>
  <c r="G706" i="1"/>
  <c r="F706" i="1"/>
  <c r="F705" i="1"/>
  <c r="J698" i="1"/>
  <c r="J697" i="1"/>
  <c r="I697" i="1"/>
  <c r="J695" i="1"/>
  <c r="I695" i="1"/>
  <c r="H695" i="1"/>
  <c r="H681" i="1" s="1"/>
  <c r="I690" i="1"/>
  <c r="I705" i="1" s="1"/>
  <c r="H682" i="1"/>
  <c r="G682" i="1"/>
  <c r="G705" i="1" s="1"/>
  <c r="I681" i="1"/>
  <c r="G681" i="1"/>
  <c r="F681" i="1"/>
  <c r="J680" i="1"/>
  <c r="I680" i="1"/>
  <c r="H680" i="1"/>
  <c r="F680" i="1"/>
  <c r="H679" i="1"/>
  <c r="H672" i="1" s="1"/>
  <c r="G679" i="1"/>
  <c r="G680" i="1" s="1"/>
  <c r="H673" i="1"/>
  <c r="G673" i="1"/>
  <c r="J672" i="1"/>
  <c r="I672" i="1"/>
  <c r="F672" i="1"/>
  <c r="J670" i="1"/>
  <c r="H670" i="1"/>
  <c r="F670" i="1"/>
  <c r="J666" i="1"/>
  <c r="I666" i="1"/>
  <c r="I670" i="1" s="1"/>
  <c r="H666" i="1"/>
  <c r="G666" i="1"/>
  <c r="G670" i="1" s="1"/>
  <c r="F666" i="1"/>
  <c r="J661" i="1"/>
  <c r="I661" i="1"/>
  <c r="I659" i="1" s="1"/>
  <c r="G661" i="1"/>
  <c r="J660" i="1"/>
  <c r="J659" i="1" s="1"/>
  <c r="I660" i="1"/>
  <c r="H660" i="1"/>
  <c r="H659" i="1" s="1"/>
  <c r="G660" i="1"/>
  <c r="F660" i="1"/>
  <c r="F659" i="1" s="1"/>
  <c r="G659" i="1"/>
  <c r="J658" i="1"/>
  <c r="I658" i="1"/>
  <c r="G658" i="1"/>
  <c r="J656" i="1"/>
  <c r="I656" i="1"/>
  <c r="I655" i="1" s="1"/>
  <c r="H656" i="1"/>
  <c r="G656" i="1"/>
  <c r="G655" i="1" s="1"/>
  <c r="F656" i="1"/>
  <c r="J655" i="1"/>
  <c r="H655" i="1"/>
  <c r="F655" i="1"/>
  <c r="J653" i="1"/>
  <c r="I653" i="1"/>
  <c r="H653" i="1"/>
  <c r="J652" i="1"/>
  <c r="I652" i="1"/>
  <c r="G652" i="1"/>
  <c r="J651" i="1"/>
  <c r="I651" i="1"/>
  <c r="I650" i="1" s="1"/>
  <c r="H651" i="1"/>
  <c r="G651" i="1"/>
  <c r="G650" i="1" s="1"/>
  <c r="F651" i="1"/>
  <c r="J650" i="1"/>
  <c r="H650" i="1"/>
  <c r="F650" i="1"/>
  <c r="J649" i="1"/>
  <c r="I649" i="1"/>
  <c r="J647" i="1"/>
  <c r="J663" i="1" s="1"/>
  <c r="I647" i="1"/>
  <c r="I663" i="1" s="1"/>
  <c r="H647" i="1"/>
  <c r="G647" i="1"/>
  <c r="F647" i="1"/>
  <c r="H642" i="1"/>
  <c r="H640" i="1"/>
  <c r="H639" i="1"/>
  <c r="H638" i="1"/>
  <c r="H637" i="1" s="1"/>
  <c r="H634" i="1"/>
  <c r="H629" i="1" s="1"/>
  <c r="H645" i="1" s="1"/>
  <c r="H663" i="1" l="1"/>
  <c r="F663" i="1"/>
  <c r="H740" i="1"/>
  <c r="H776" i="1"/>
  <c r="G663" i="1"/>
  <c r="G740" i="1"/>
  <c r="I740" i="1"/>
  <c r="G672" i="1"/>
  <c r="H705" i="1"/>
  <c r="J690" i="1"/>
  <c r="J706" i="1"/>
  <c r="H735" i="1"/>
  <c r="H706" i="1"/>
  <c r="J681" i="1" l="1"/>
  <c r="J705" i="1"/>
  <c r="J740" i="1" s="1"/>
  <c r="O447" i="1" l="1"/>
  <c r="N486" i="1" l="1"/>
  <c r="O486" i="1" s="1"/>
  <c r="P486" i="1" s="1"/>
  <c r="Q486" i="1" s="1"/>
  <c r="M486" i="1"/>
  <c r="H613" i="1" l="1"/>
  <c r="H608" i="1"/>
  <c r="H582" i="1"/>
  <c r="H372" i="1" l="1"/>
  <c r="H125" i="1" l="1"/>
  <c r="H87" i="1"/>
  <c r="H85" i="1"/>
  <c r="H353" i="1" l="1"/>
  <c r="H350" i="1"/>
  <c r="H346" i="1"/>
  <c r="H345" i="1"/>
  <c r="H344" i="1"/>
  <c r="H312" i="1"/>
  <c r="H247" i="1"/>
  <c r="H33" i="1"/>
  <c r="J247" i="1" l="1"/>
  <c r="I247" i="1"/>
  <c r="H239" i="1" l="1"/>
  <c r="H314" i="1" l="1"/>
  <c r="H236" i="1" l="1"/>
  <c r="H99" i="1"/>
  <c r="J277" i="1" l="1"/>
  <c r="I277" i="1"/>
  <c r="G277" i="1"/>
  <c r="F277" i="1"/>
  <c r="J274" i="1"/>
  <c r="I274" i="1"/>
  <c r="G274" i="1"/>
  <c r="F274" i="1"/>
  <c r="J270" i="1"/>
  <c r="I270" i="1"/>
  <c r="G270" i="1"/>
  <c r="F270" i="1"/>
  <c r="J265" i="1"/>
  <c r="I265" i="1"/>
  <c r="G265" i="1"/>
  <c r="F265" i="1"/>
  <c r="H501" i="1" l="1"/>
  <c r="H279" i="1" l="1"/>
  <c r="H278" i="1"/>
  <c r="H276" i="1"/>
  <c r="H275" i="1"/>
  <c r="H273" i="1"/>
  <c r="H272" i="1"/>
  <c r="H271" i="1"/>
  <c r="H268" i="1"/>
  <c r="H267" i="1"/>
  <c r="H266" i="1"/>
  <c r="H274" i="1" l="1"/>
  <c r="H265" i="1"/>
  <c r="H277" i="1"/>
  <c r="H270" i="1"/>
  <c r="H280" i="1" l="1"/>
  <c r="H425" i="1" l="1"/>
  <c r="H503" i="1" l="1"/>
  <c r="J532" i="1" l="1"/>
  <c r="I532" i="1"/>
  <c r="J524" i="1"/>
  <c r="I524" i="1"/>
  <c r="F547" i="1" l="1"/>
  <c r="F534" i="1"/>
  <c r="J534" i="1"/>
  <c r="I534" i="1"/>
  <c r="H534" i="1"/>
  <c r="G534" i="1"/>
  <c r="J549" i="1"/>
  <c r="I549" i="1"/>
  <c r="H549" i="1"/>
  <c r="G549" i="1"/>
  <c r="F549" i="1"/>
  <c r="J547" i="1"/>
  <c r="I547" i="1"/>
  <c r="H547" i="1"/>
  <c r="G547" i="1"/>
  <c r="J543" i="1"/>
  <c r="I543" i="1"/>
  <c r="H543" i="1"/>
  <c r="G543" i="1"/>
  <c r="F543" i="1"/>
  <c r="J537" i="1"/>
  <c r="I537" i="1"/>
  <c r="H537" i="1"/>
  <c r="G537" i="1"/>
  <c r="F537" i="1"/>
  <c r="F555" i="1" l="1"/>
  <c r="G555" i="1"/>
  <c r="J555" i="1"/>
  <c r="H555" i="1"/>
  <c r="I555" i="1"/>
  <c r="H430" i="1" l="1"/>
  <c r="G486" i="1" l="1"/>
  <c r="H486" i="1"/>
  <c r="I486" i="1"/>
  <c r="J486" i="1"/>
  <c r="F486" i="1"/>
  <c r="G471" i="1"/>
  <c r="H471" i="1"/>
  <c r="I471" i="1"/>
  <c r="J471" i="1"/>
  <c r="F471" i="1"/>
  <c r="G452" i="1"/>
  <c r="H452" i="1"/>
  <c r="I452" i="1"/>
  <c r="J452" i="1"/>
  <c r="F452" i="1"/>
  <c r="G433" i="1"/>
  <c r="H433" i="1"/>
  <c r="I433" i="1"/>
  <c r="J433" i="1"/>
  <c r="F433" i="1"/>
  <c r="G532" i="1" l="1"/>
  <c r="F504" i="1"/>
  <c r="I529" i="1" l="1"/>
  <c r="J529" i="1"/>
  <c r="J528" i="1"/>
  <c r="I528" i="1"/>
  <c r="F529" i="1"/>
  <c r="F528" i="1"/>
  <c r="F523" i="1"/>
  <c r="F518" i="1"/>
  <c r="F516" i="1"/>
  <c r="F513" i="1"/>
  <c r="H521" i="1" l="1"/>
  <c r="J521" i="1"/>
  <c r="I521" i="1"/>
  <c r="F521" i="1"/>
  <c r="F505" i="1"/>
  <c r="J391" i="1"/>
  <c r="I391" i="1"/>
  <c r="H391" i="1"/>
  <c r="G391" i="1"/>
  <c r="F391" i="1"/>
  <c r="J416" i="1" l="1"/>
  <c r="J411" i="1"/>
  <c r="J385" i="1"/>
  <c r="J375" i="1"/>
  <c r="I416" i="1"/>
  <c r="H416" i="1"/>
  <c r="G416" i="1"/>
  <c r="F416" i="1"/>
  <c r="J339" i="1" l="1"/>
  <c r="H339" i="1"/>
  <c r="G339" i="1"/>
  <c r="F339" i="1"/>
  <c r="J337" i="1"/>
  <c r="I337" i="1"/>
  <c r="H337" i="1"/>
  <c r="G337" i="1"/>
  <c r="F337" i="1"/>
  <c r="G326" i="1"/>
  <c r="F326" i="1"/>
  <c r="J324" i="1"/>
  <c r="I324" i="1"/>
  <c r="H324" i="1"/>
  <c r="G320" i="1"/>
  <c r="F320" i="1"/>
  <c r="G315" i="1"/>
  <c r="F315" i="1"/>
  <c r="J313" i="1"/>
  <c r="I313" i="1"/>
  <c r="H313" i="1"/>
  <c r="O309" i="1"/>
  <c r="J301" i="1"/>
  <c r="I301" i="1"/>
  <c r="H301" i="1"/>
  <c r="G301" i="1"/>
  <c r="F301" i="1"/>
  <c r="G341" i="1" l="1"/>
  <c r="H341" i="1"/>
  <c r="I341" i="1"/>
  <c r="F341" i="1"/>
  <c r="J341" i="1"/>
  <c r="I375" i="1" l="1"/>
  <c r="H375" i="1"/>
  <c r="G375" i="1"/>
  <c r="F375" i="1"/>
  <c r="F366" i="1"/>
  <c r="F431" i="1" l="1"/>
  <c r="J41" i="1"/>
  <c r="H429" i="1" l="1"/>
  <c r="G429" i="1"/>
  <c r="J427" i="1" l="1"/>
  <c r="I427" i="1"/>
  <c r="H427" i="1"/>
  <c r="I411" i="1"/>
  <c r="H411" i="1"/>
  <c r="J405" i="1"/>
  <c r="I405" i="1"/>
  <c r="H405" i="1"/>
  <c r="J398" i="1"/>
  <c r="J397" i="1" s="1"/>
  <c r="I398" i="1"/>
  <c r="I397" i="1" s="1"/>
  <c r="H398" i="1"/>
  <c r="H397" i="1" s="1"/>
  <c r="I385" i="1"/>
  <c r="H385" i="1"/>
  <c r="J374" i="1"/>
  <c r="I374" i="1"/>
  <c r="H374" i="1"/>
  <c r="Q373" i="1"/>
  <c r="P373" i="1"/>
  <c r="O373" i="1"/>
  <c r="Q372" i="1"/>
  <c r="P372" i="1"/>
  <c r="O372" i="1"/>
  <c r="J372" i="1"/>
  <c r="I372" i="1"/>
  <c r="G366" i="1"/>
  <c r="G431" i="1" s="1"/>
  <c r="J366" i="1" l="1"/>
  <c r="J431" i="1" s="1"/>
  <c r="I366" i="1"/>
  <c r="I431" i="1" s="1"/>
  <c r="H366" i="1"/>
  <c r="H431" i="1" s="1"/>
  <c r="F143" i="1"/>
  <c r="F138" i="1" s="1"/>
  <c r="J167" i="1"/>
  <c r="I167" i="1"/>
  <c r="H167" i="1"/>
  <c r="G167" i="1"/>
  <c r="F167" i="1"/>
  <c r="J159" i="1"/>
  <c r="I159" i="1"/>
  <c r="H159" i="1"/>
  <c r="G159" i="1"/>
  <c r="F159" i="1"/>
  <c r="J155" i="1"/>
  <c r="I155" i="1"/>
  <c r="H155" i="1"/>
  <c r="G155" i="1"/>
  <c r="F155" i="1"/>
  <c r="J151" i="1"/>
  <c r="I151" i="1"/>
  <c r="H151" i="1"/>
  <c r="G151" i="1"/>
  <c r="F151" i="1"/>
  <c r="J146" i="1"/>
  <c r="I146" i="1"/>
  <c r="H146" i="1"/>
  <c r="G146" i="1"/>
  <c r="F146" i="1"/>
  <c r="I138" i="1"/>
  <c r="H138" i="1"/>
  <c r="G138" i="1"/>
  <c r="J138" i="1"/>
  <c r="J133" i="1"/>
  <c r="I133" i="1"/>
  <c r="H133" i="1"/>
  <c r="G133" i="1"/>
  <c r="F133" i="1"/>
  <c r="J132" i="1"/>
  <c r="J125" i="1" s="1"/>
  <c r="I125" i="1"/>
  <c r="G125" i="1"/>
  <c r="F125" i="1"/>
  <c r="J119" i="1"/>
  <c r="I119" i="1"/>
  <c r="H119" i="1"/>
  <c r="G119" i="1"/>
  <c r="F119" i="1"/>
  <c r="J110" i="1"/>
  <c r="I110" i="1"/>
  <c r="H110" i="1"/>
  <c r="G110" i="1"/>
  <c r="F110" i="1"/>
  <c r="J107" i="1"/>
  <c r="I107" i="1"/>
  <c r="H107" i="1"/>
  <c r="G107" i="1"/>
  <c r="F107" i="1"/>
  <c r="J98" i="1"/>
  <c r="I98" i="1"/>
  <c r="H98" i="1"/>
  <c r="G98" i="1"/>
  <c r="F98" i="1"/>
  <c r="J91" i="1"/>
  <c r="I91" i="1"/>
  <c r="H91" i="1"/>
  <c r="G91" i="1"/>
  <c r="F91" i="1"/>
  <c r="J216" i="1"/>
  <c r="I216" i="1"/>
  <c r="H216" i="1"/>
  <c r="G216" i="1"/>
  <c r="F216" i="1"/>
  <c r="J207" i="1"/>
  <c r="I207" i="1"/>
  <c r="H207" i="1"/>
  <c r="G207" i="1"/>
  <c r="F207" i="1"/>
  <c r="J203" i="1"/>
  <c r="I203" i="1"/>
  <c r="H203" i="1"/>
  <c r="G203" i="1"/>
  <c r="F203" i="1"/>
  <c r="J197" i="1"/>
  <c r="I197" i="1"/>
  <c r="H197" i="1"/>
  <c r="G197" i="1"/>
  <c r="F197" i="1"/>
  <c r="J180" i="1"/>
  <c r="I180" i="1"/>
  <c r="H180" i="1"/>
  <c r="G180" i="1"/>
  <c r="F180" i="1"/>
  <c r="J171" i="1"/>
  <c r="I171" i="1"/>
  <c r="H171" i="1"/>
  <c r="G171" i="1"/>
  <c r="F171" i="1"/>
  <c r="G169" i="1" l="1"/>
  <c r="H169" i="1"/>
  <c r="F169" i="1"/>
  <c r="J169" i="1"/>
  <c r="I169" i="1"/>
  <c r="G144" i="1"/>
  <c r="F144" i="1"/>
  <c r="I144" i="1"/>
  <c r="H144" i="1"/>
  <c r="J144" i="1"/>
  <c r="F117" i="1"/>
  <c r="J117" i="1"/>
  <c r="F218" i="1"/>
  <c r="J218" i="1"/>
  <c r="G117" i="1"/>
  <c r="I117" i="1"/>
  <c r="H117" i="1"/>
  <c r="G218" i="1"/>
  <c r="H218" i="1"/>
  <c r="I218" i="1"/>
  <c r="F242" i="1" l="1"/>
  <c r="G242" i="1"/>
  <c r="H242" i="1"/>
  <c r="I242" i="1"/>
  <c r="J242" i="1"/>
  <c r="F249" i="1"/>
  <c r="G249" i="1"/>
  <c r="H249" i="1"/>
  <c r="I249" i="1"/>
  <c r="J249" i="1"/>
  <c r="G253" i="1"/>
  <c r="H253" i="1"/>
  <c r="I253" i="1"/>
  <c r="J253" i="1"/>
  <c r="F256" i="1"/>
  <c r="F253" i="1" s="1"/>
  <c r="F257" i="1"/>
  <c r="G257" i="1"/>
  <c r="H257" i="1"/>
  <c r="I257" i="1"/>
  <c r="J257" i="1"/>
  <c r="F260" i="1"/>
  <c r="G260" i="1"/>
  <c r="H260" i="1"/>
  <c r="I260" i="1"/>
  <c r="J260" i="1"/>
  <c r="H263" i="1" l="1"/>
  <c r="J263" i="1"/>
  <c r="G263" i="1"/>
  <c r="I263" i="1"/>
  <c r="F263" i="1"/>
  <c r="I503" i="1" l="1"/>
  <c r="G296" i="1" l="1"/>
  <c r="G49" i="1" l="1"/>
  <c r="H49" i="1"/>
  <c r="I49" i="1"/>
  <c r="J49" i="1"/>
  <c r="F49" i="1"/>
  <c r="H44" i="1"/>
  <c r="G44" i="1"/>
  <c r="F44" i="1"/>
  <c r="N41" i="1"/>
  <c r="P41" i="1" s="1"/>
  <c r="M41" i="1"/>
  <c r="J44" i="1"/>
  <c r="I41" i="1"/>
  <c r="I44" i="1" s="1"/>
  <c r="Q41" i="1" l="1"/>
  <c r="O41" i="1"/>
  <c r="J51" i="1" l="1"/>
  <c r="J55" i="1" s="1"/>
  <c r="I51" i="1"/>
  <c r="I55" i="1" s="1"/>
  <c r="H55" i="1"/>
  <c r="G55" i="1"/>
  <c r="F55" i="1"/>
  <c r="G521" i="1" l="1"/>
  <c r="J513" i="1"/>
  <c r="J505" i="1" s="1"/>
  <c r="I513" i="1"/>
  <c r="I505" i="1" s="1"/>
  <c r="H505" i="1"/>
  <c r="G492" i="1"/>
  <c r="J492" i="1"/>
  <c r="I492" i="1"/>
  <c r="H492" i="1"/>
  <c r="F492" i="1"/>
  <c r="M456" i="1"/>
  <c r="G470" i="1"/>
  <c r="H470" i="1"/>
  <c r="I470" i="1"/>
  <c r="J470" i="1"/>
  <c r="F470" i="1"/>
  <c r="P447" i="1"/>
  <c r="Q447" i="1" s="1"/>
  <c r="M447" i="1"/>
  <c r="G451" i="1"/>
  <c r="H451" i="1"/>
  <c r="I451" i="1"/>
  <c r="J451" i="1"/>
  <c r="F451" i="1"/>
  <c r="J485" i="1"/>
  <c r="I485" i="1"/>
  <c r="H485" i="1"/>
  <c r="G485" i="1"/>
  <c r="F485" i="1"/>
  <c r="G500" i="1"/>
  <c r="F503" i="1"/>
  <c r="H500" i="1"/>
  <c r="I500" i="1"/>
  <c r="J503" i="1"/>
  <c r="J500" i="1" s="1"/>
  <c r="G505" i="1" l="1"/>
  <c r="F500" i="1"/>
  <c r="F532" i="1" s="1"/>
  <c r="G495" i="1"/>
  <c r="F495" i="1"/>
  <c r="H495" i="1"/>
  <c r="O452" i="1" s="1"/>
  <c r="I495" i="1"/>
  <c r="J495" i="1"/>
  <c r="Q489" i="1" l="1"/>
  <c r="Q452" i="1"/>
  <c r="N489" i="1"/>
  <c r="N452" i="1"/>
  <c r="P489" i="1"/>
  <c r="P452" i="1"/>
  <c r="Q488" i="1"/>
  <c r="M490" i="1"/>
  <c r="M452" i="1"/>
  <c r="N488" i="1"/>
  <c r="O488" i="1"/>
  <c r="O489" i="1"/>
  <c r="O490" i="1"/>
  <c r="M488" i="1"/>
  <c r="P488" i="1"/>
  <c r="M489" i="1"/>
  <c r="J24" i="1" l="1"/>
  <c r="I29" i="1"/>
  <c r="G32" i="1"/>
  <c r="F12" i="1"/>
  <c r="F22" i="1"/>
  <c r="F28" i="1"/>
  <c r="F33" i="1"/>
  <c r="I37" i="1"/>
  <c r="I33" i="1" s="1"/>
  <c r="J33" i="1"/>
  <c r="G33" i="1"/>
  <c r="J32" i="1"/>
  <c r="I32" i="1"/>
  <c r="J30" i="1"/>
  <c r="I30" i="1"/>
  <c r="G30" i="1"/>
  <c r="J29" i="1"/>
  <c r="G29" i="1"/>
  <c r="J27" i="1"/>
  <c r="I27" i="1"/>
  <c r="G27" i="1"/>
  <c r="J25" i="1"/>
  <c r="I25" i="1"/>
  <c r="G25" i="1"/>
  <c r="I24" i="1"/>
  <c r="G24" i="1"/>
  <c r="J23" i="1"/>
  <c r="I23" i="1"/>
  <c r="G23" i="1"/>
  <c r="J21" i="1"/>
  <c r="I21" i="1"/>
  <c r="G21" i="1"/>
  <c r="J20" i="1"/>
  <c r="I20" i="1"/>
  <c r="G20" i="1"/>
  <c r="J19" i="1"/>
  <c r="I19" i="1"/>
  <c r="G19" i="1"/>
  <c r="J18" i="1"/>
  <c r="I18" i="1"/>
  <c r="G18" i="1"/>
  <c r="J17" i="1"/>
  <c r="I17" i="1"/>
  <c r="G17" i="1"/>
  <c r="J16" i="1"/>
  <c r="I16" i="1"/>
  <c r="G16" i="1"/>
  <c r="J15" i="1"/>
  <c r="I15" i="1"/>
  <c r="G15" i="1"/>
  <c r="J14" i="1"/>
  <c r="I14" i="1"/>
  <c r="G14" i="1"/>
  <c r="J13" i="1"/>
  <c r="I13" i="1"/>
  <c r="G13" i="1"/>
  <c r="J12" i="1" l="1"/>
  <c r="I12" i="1"/>
  <c r="H12" i="1"/>
  <c r="G12" i="1"/>
  <c r="I22" i="1"/>
  <c r="I28" i="1"/>
  <c r="G28" i="1"/>
  <c r="G22" i="1"/>
  <c r="J28" i="1"/>
  <c r="J22" i="1"/>
  <c r="H22" i="1"/>
  <c r="H28" i="1"/>
  <c r="F39" i="1"/>
  <c r="J39" i="1" l="1"/>
  <c r="I39" i="1"/>
  <c r="H39" i="1"/>
  <c r="H2019" i="1" s="1"/>
  <c r="H2024" i="1" s="1"/>
  <c r="G39" i="1"/>
  <c r="M84" i="1" l="1"/>
  <c r="M81" i="1" s="1"/>
  <c r="N82" i="1"/>
  <c r="N81" i="1" s="1"/>
  <c r="Q81" i="1"/>
  <c r="P81" i="1"/>
  <c r="O81" i="1"/>
  <c r="Q80" i="1"/>
  <c r="P80" i="1"/>
  <c r="O80" i="1"/>
  <c r="N80" i="1"/>
  <c r="M80" i="1"/>
  <c r="Q78" i="1"/>
  <c r="P78" i="1"/>
  <c r="O78" i="1"/>
  <c r="N78" i="1"/>
  <c r="M78" i="1"/>
  <c r="Q77" i="1"/>
  <c r="P77" i="1"/>
  <c r="O77" i="1"/>
  <c r="N77" i="1"/>
  <c r="M77" i="1"/>
  <c r="G76" i="1"/>
  <c r="F76" i="1"/>
  <c r="I73" i="1"/>
  <c r="I72" i="1"/>
  <c r="I71" i="1"/>
  <c r="I70" i="1"/>
  <c r="Q61" i="1"/>
  <c r="P61" i="1"/>
  <c r="O61" i="1"/>
  <c r="J59" i="1"/>
  <c r="I59" i="1"/>
  <c r="H59" i="1"/>
  <c r="G59" i="1"/>
  <c r="F59" i="1"/>
  <c r="G58" i="1"/>
  <c r="G57" i="1" l="1"/>
  <c r="F89" i="1"/>
  <c r="F57" i="1"/>
  <c r="I57" i="1"/>
  <c r="J89" i="1"/>
  <c r="J57" i="1"/>
  <c r="O76" i="1"/>
  <c r="P76" i="1"/>
  <c r="I89" i="1"/>
  <c r="G89" i="1"/>
  <c r="N76" i="1"/>
  <c r="M76" i="1"/>
  <c r="Q76" i="1"/>
  <c r="I280" i="1" l="1"/>
  <c r="F280" i="1"/>
  <c r="J280" i="1"/>
  <c r="G280" i="1"/>
  <c r="J357" i="1"/>
  <c r="J364" i="1" s="1"/>
  <c r="I357" i="1"/>
  <c r="I364" i="1" s="1"/>
  <c r="H357" i="1"/>
  <c r="H364" i="1" s="1"/>
  <c r="G357" i="1"/>
  <c r="G364" i="1" s="1"/>
  <c r="F357" i="1"/>
  <c r="F364" i="1" s="1"/>
  <c r="J291" i="1" l="1"/>
  <c r="I291" i="1"/>
  <c r="H291" i="1"/>
  <c r="G291" i="1"/>
  <c r="F291" i="1"/>
  <c r="J282" i="1"/>
  <c r="I282" i="1"/>
  <c r="H282" i="1"/>
  <c r="G282" i="1"/>
  <c r="F282" i="1"/>
  <c r="F299" i="1" l="1"/>
  <c r="G299" i="1"/>
  <c r="J299" i="1"/>
  <c r="I299" i="1"/>
  <c r="H299" i="1"/>
  <c r="J560" i="1" l="1"/>
  <c r="J557" i="1" s="1"/>
  <c r="J599" i="1"/>
  <c r="I613" i="1"/>
  <c r="I599" i="1" s="1"/>
  <c r="I582" i="1"/>
  <c r="J582" i="1"/>
  <c r="G582" i="1"/>
  <c r="F582" i="1"/>
  <c r="H599" i="1"/>
  <c r="G599" i="1"/>
  <c r="F599" i="1"/>
  <c r="G557" i="1"/>
  <c r="I557" i="1"/>
  <c r="F557" i="1"/>
  <c r="G625" i="1"/>
  <c r="H625" i="1"/>
  <c r="G343" i="1"/>
  <c r="H343" i="1"/>
  <c r="I343" i="1"/>
  <c r="J343" i="1"/>
  <c r="F343" i="1"/>
  <c r="G347" i="1"/>
  <c r="H347" i="1"/>
  <c r="I347" i="1"/>
  <c r="J347" i="1"/>
  <c r="F347" i="1"/>
  <c r="G349" i="1"/>
  <c r="H349" i="1"/>
  <c r="I349" i="1"/>
  <c r="F349" i="1"/>
  <c r="G352" i="1"/>
  <c r="H352" i="1"/>
  <c r="I352" i="1"/>
  <c r="J352" i="1"/>
  <c r="F352" i="1"/>
  <c r="J349" i="1"/>
  <c r="J239" i="1"/>
  <c r="J237" i="1" s="1"/>
  <c r="I239" i="1"/>
  <c r="I237" i="1" s="1"/>
  <c r="G239" i="1"/>
  <c r="G237" i="1" s="1"/>
  <c r="G234" i="1"/>
  <c r="H234" i="1"/>
  <c r="I234" i="1"/>
  <c r="J234" i="1"/>
  <c r="H237" i="1"/>
  <c r="J230" i="1"/>
  <c r="J229" i="1" s="1"/>
  <c r="J221" i="1"/>
  <c r="I230" i="1"/>
  <c r="F355" i="1" l="1"/>
  <c r="J355" i="1"/>
  <c r="G240" i="1"/>
  <c r="J621" i="1" l="1"/>
  <c r="I621" i="1"/>
  <c r="H621" i="1"/>
  <c r="G621" i="1"/>
  <c r="F621" i="1"/>
  <c r="J615" i="1"/>
  <c r="I615" i="1"/>
  <c r="H615" i="1"/>
  <c r="G615" i="1"/>
  <c r="F615" i="1"/>
  <c r="J579" i="1"/>
  <c r="J569" i="1" s="1"/>
  <c r="I579" i="1"/>
  <c r="I569" i="1" s="1"/>
  <c r="H569" i="1"/>
  <c r="G577" i="1"/>
  <c r="G569" i="1" s="1"/>
  <c r="F577" i="1"/>
  <c r="F569" i="1" s="1"/>
  <c r="H560" i="1"/>
  <c r="H557" i="1" s="1"/>
  <c r="H627" i="1" l="1"/>
  <c r="G627" i="1"/>
  <c r="F627" i="1"/>
  <c r="J627" i="1"/>
  <c r="I627" i="1"/>
  <c r="I355" i="1" l="1"/>
  <c r="H355" i="1"/>
  <c r="G355" i="1"/>
  <c r="F239" i="1" l="1"/>
  <c r="F237" i="1" s="1"/>
  <c r="J240" i="1"/>
  <c r="F234" i="1"/>
  <c r="I240" i="1" l="1"/>
  <c r="H240" i="1"/>
  <c r="F240" i="1"/>
  <c r="I229" i="1" l="1"/>
  <c r="H229" i="1"/>
  <c r="G229" i="1"/>
  <c r="F229" i="1"/>
  <c r="J228" i="1"/>
  <c r="I228" i="1"/>
  <c r="J225" i="1"/>
  <c r="I225" i="1"/>
  <c r="J223" i="1"/>
  <c r="I223" i="1"/>
  <c r="J222" i="1"/>
  <c r="I222" i="1"/>
  <c r="I221" i="1"/>
  <c r="H220" i="1"/>
  <c r="G220" i="1"/>
  <c r="F220" i="1"/>
  <c r="J220" i="1" l="1"/>
  <c r="J232" i="1" s="1"/>
  <c r="H232" i="1"/>
  <c r="G232" i="1"/>
  <c r="F232" i="1"/>
  <c r="I220" i="1"/>
  <c r="I232" i="1" s="1"/>
  <c r="H1504" i="1"/>
</calcChain>
</file>

<file path=xl/comments1.xml><?xml version="1.0" encoding="utf-8"?>
<comments xmlns="http://schemas.openxmlformats.org/spreadsheetml/2006/main">
  <authors>
    <author>Comp_100</author>
    <author>Admin</author>
  </authors>
  <commentList>
    <comment ref="H673" authorId="0" shapeId="0">
      <text>
        <r>
          <rPr>
            <b/>
            <sz val="9"/>
            <color indexed="81"/>
            <rFont val="Tahoma"/>
            <family val="2"/>
            <charset val="204"/>
          </rPr>
          <t>Comp_100:</t>
        </r>
        <r>
          <rPr>
            <sz val="9"/>
            <color indexed="81"/>
            <rFont val="Tahoma"/>
            <family val="2"/>
            <charset val="204"/>
          </rPr>
          <t xml:space="preserve">
ЦА мон Апто аппарат наука аппарат 6802 зп ца</t>
        </r>
      </text>
    </comment>
    <comment ref="F679" authorId="1" shapeId="0">
      <text>
        <r>
          <rPr>
            <b/>
            <sz val="8"/>
            <color indexed="81"/>
            <rFont val="Tahoma"/>
            <family val="2"/>
            <charset val="204"/>
          </rPr>
          <t>Admin:</t>
        </r>
        <r>
          <rPr>
            <sz val="8"/>
            <color indexed="81"/>
            <rFont val="Tahoma"/>
            <family val="2"/>
            <charset val="204"/>
          </rPr>
          <t xml:space="preserve">
БЮДЖЕТ АУП И ЦБ РАЙОО И ГОРОО И ЦБ МОН КР И ЦМ МОН КР</t>
        </r>
      </text>
    </comment>
    <comment ref="G679" authorId="1" shapeId="0">
      <text>
        <r>
          <rPr>
            <b/>
            <sz val="8"/>
            <color indexed="81"/>
            <rFont val="Tahoma"/>
            <family val="2"/>
            <charset val="204"/>
          </rPr>
          <t>Admin:</t>
        </r>
        <r>
          <rPr>
            <sz val="8"/>
            <color indexed="81"/>
            <rFont val="Tahoma"/>
            <family val="2"/>
            <charset val="204"/>
          </rPr>
          <t xml:space="preserve">
БЮДЖЕТ АУП И ЦБ РАЙОО И ГОРОО И ЦБ МОН КР И ЦМ МОН КР</t>
        </r>
      </text>
    </comment>
    <comment ref="H679" authorId="1" shapeId="0">
      <text>
        <r>
          <rPr>
            <b/>
            <sz val="8"/>
            <color indexed="81"/>
            <rFont val="Tahoma"/>
            <family val="2"/>
            <charset val="204"/>
          </rPr>
          <t>Admin:</t>
        </r>
        <r>
          <rPr>
            <sz val="8"/>
            <color indexed="81"/>
            <rFont val="Tahoma"/>
            <family val="2"/>
            <charset val="204"/>
          </rPr>
          <t xml:space="preserve">
БЮДЖЕТ АУП И ЦБ РАЙОО И ГОРОО И ЦБ МОН КР И ЦМ МОН КР 8432,1 зп райоо</t>
        </r>
      </text>
    </comment>
    <comment ref="F682" authorId="1" shapeId="0">
      <text>
        <r>
          <rPr>
            <b/>
            <sz val="10"/>
            <color indexed="81"/>
            <rFont val="Tahoma"/>
            <family val="2"/>
            <charset val="204"/>
          </rPr>
          <t>Admin:</t>
        </r>
        <r>
          <rPr>
            <sz val="10"/>
            <color indexed="81"/>
            <rFont val="Tahoma"/>
            <family val="2"/>
            <charset val="204"/>
          </rPr>
          <t xml:space="preserve">
</t>
        </r>
        <r>
          <rPr>
            <sz val="10"/>
            <color indexed="81"/>
            <rFont val="Arial"/>
            <family val="2"/>
            <charset val="204"/>
          </rPr>
          <t>2552287,6 МЛН.СОМ с учетом повышения БЮДЖЕТ ДЕЙСТВУЮШИХ САДИКОВ  и 194300 пги
 и на новые садики 2016 года 176587,0 из них зп-150607,3 и сф-25979,7</t>
        </r>
      </text>
    </comment>
    <comment ref="G682" authorId="1" shapeId="0">
      <text>
        <r>
          <rPr>
            <b/>
            <sz val="10"/>
            <color indexed="81"/>
            <rFont val="Tahoma"/>
            <family val="2"/>
            <charset val="204"/>
          </rPr>
          <t>Admin:</t>
        </r>
        <r>
          <rPr>
            <sz val="10"/>
            <color indexed="81"/>
            <rFont val="Tahoma"/>
            <family val="2"/>
            <charset val="204"/>
          </rPr>
          <t xml:space="preserve">
</t>
        </r>
        <r>
          <rPr>
            <sz val="10"/>
            <color indexed="81"/>
            <rFont val="Arial"/>
            <family val="2"/>
            <charset val="204"/>
          </rPr>
          <t>бюджет  и спец70911</t>
        </r>
      </text>
    </comment>
    <comment ref="H682" authorId="1" shapeId="0">
      <text>
        <r>
          <rPr>
            <b/>
            <sz val="10"/>
            <color indexed="81"/>
            <rFont val="Tahoma"/>
            <family val="2"/>
            <charset val="204"/>
          </rPr>
          <t>Admin:</t>
        </r>
        <r>
          <rPr>
            <sz val="10"/>
            <color indexed="81"/>
            <rFont val="Tahoma"/>
            <family val="2"/>
            <charset val="204"/>
          </rPr>
          <t xml:space="preserve">
</t>
        </r>
        <r>
          <rPr>
            <sz val="10"/>
            <color indexed="81"/>
            <rFont val="Arial"/>
            <family val="2"/>
            <charset val="204"/>
          </rPr>
          <t>бюджет  и спец70911 255 новые садики</t>
        </r>
      </text>
    </comment>
    <comment ref="N682" authorId="0" shapeId="0">
      <text>
        <r>
          <rPr>
            <b/>
            <sz val="9"/>
            <color indexed="81"/>
            <rFont val="Tahoma"/>
            <family val="2"/>
            <charset val="204"/>
          </rPr>
          <t>Comp_100:</t>
        </r>
        <r>
          <rPr>
            <sz val="9"/>
            <color indexed="81"/>
            <rFont val="Tahoma"/>
            <family val="2"/>
            <charset val="204"/>
          </rPr>
          <t xml:space="preserve">
ОМСП</t>
        </r>
      </text>
    </comment>
    <comment ref="F690" authorId="1" shapeId="0">
      <text>
        <r>
          <rPr>
            <b/>
            <sz val="8"/>
            <color indexed="81"/>
            <rFont val="Tahoma"/>
            <family val="2"/>
            <charset val="204"/>
          </rPr>
          <t>Admin:</t>
        </r>
        <r>
          <rPr>
            <sz val="8"/>
            <color indexed="81"/>
            <rFont val="Tahoma"/>
            <family val="2"/>
            <charset val="204"/>
          </rPr>
          <t xml:space="preserve">
СПЕЦ СРЕДСТВА ЗП</t>
        </r>
      </text>
    </comment>
    <comment ref="G690" authorId="1" shapeId="0">
      <text>
        <r>
          <rPr>
            <b/>
            <sz val="8"/>
            <color indexed="81"/>
            <rFont val="Tahoma"/>
            <family val="2"/>
            <charset val="204"/>
          </rPr>
          <t>Admin:</t>
        </r>
        <r>
          <rPr>
            <sz val="8"/>
            <color indexed="81"/>
            <rFont val="Tahoma"/>
            <family val="2"/>
            <charset val="204"/>
          </rPr>
          <t xml:space="preserve">
СПЕЦ СРЕДСТВА ЗП</t>
        </r>
      </text>
    </comment>
    <comment ref="H690" authorId="1" shapeId="0">
      <text>
        <r>
          <rPr>
            <b/>
            <sz val="8"/>
            <color indexed="81"/>
            <rFont val="Tahoma"/>
            <family val="2"/>
            <charset val="204"/>
          </rPr>
          <t>Admin:</t>
        </r>
        <r>
          <rPr>
            <sz val="8"/>
            <color indexed="81"/>
            <rFont val="Tahoma"/>
            <family val="2"/>
            <charset val="204"/>
          </rPr>
          <t xml:space="preserve">
СПЕЦ СРЕДСТВА ЗП</t>
        </r>
      </text>
    </comment>
    <comment ref="M693" authorId="0" shapeId="0">
      <text>
        <r>
          <rPr>
            <b/>
            <sz val="9"/>
            <color indexed="81"/>
            <rFont val="Tahoma"/>
            <family val="2"/>
            <charset val="204"/>
          </rPr>
          <t>Comp_100:</t>
        </r>
        <r>
          <rPr>
            <sz val="9"/>
            <color indexed="81"/>
            <rFont val="Tahoma"/>
            <family val="2"/>
            <charset val="204"/>
          </rPr>
          <t xml:space="preserve">
ОМСП</t>
        </r>
      </text>
    </comment>
    <comment ref="F695" authorId="1" shapeId="0">
      <text>
        <r>
          <rPr>
            <b/>
            <sz val="8"/>
            <color indexed="81"/>
            <rFont val="Tahoma"/>
            <family val="2"/>
            <charset val="204"/>
          </rPr>
          <t>Admin:</t>
        </r>
        <r>
          <rPr>
            <sz val="8"/>
            <color indexed="81"/>
            <rFont val="Tahoma"/>
            <family val="2"/>
            <charset val="204"/>
          </rPr>
          <t xml:space="preserve">
БЮДЖЕТ 70812, 70821, 70832, 70921 ,70951,70952,70961,70962,70964,70965  
</t>
        </r>
      </text>
    </comment>
    <comment ref="G695" authorId="1" shapeId="0">
      <text>
        <r>
          <rPr>
            <b/>
            <sz val="8"/>
            <color indexed="81"/>
            <rFont val="Tahoma"/>
            <family val="2"/>
            <charset val="204"/>
          </rPr>
          <t>Admin:</t>
        </r>
        <r>
          <rPr>
            <sz val="8"/>
            <color indexed="81"/>
            <rFont val="Tahoma"/>
            <family val="2"/>
            <charset val="204"/>
          </rPr>
          <t xml:space="preserve">
БЮДЖЕТ спец
 70812, 70821, 70832, 70921 ,70951,70952,70961,70962,70964,70965  
</t>
        </r>
      </text>
    </comment>
    <comment ref="H695" authorId="1" shapeId="0">
      <text>
        <r>
          <rPr>
            <b/>
            <sz val="8"/>
            <color indexed="81"/>
            <rFont val="Tahoma"/>
            <family val="2"/>
            <charset val="204"/>
          </rPr>
          <t>Admin:</t>
        </r>
        <r>
          <rPr>
            <sz val="8"/>
            <color indexed="81"/>
            <rFont val="Tahoma"/>
            <family val="2"/>
            <charset val="204"/>
          </rPr>
          <t xml:space="preserve">
БЮДЖЕТ спец
 70812, 70821, 70832, 70921 ,70951,70952,70961,70962,70964,70965  
</t>
        </r>
      </text>
    </comment>
    <comment ref="M695" authorId="0" shapeId="0">
      <text>
        <r>
          <rPr>
            <b/>
            <sz val="9"/>
            <color indexed="81"/>
            <rFont val="Tahoma"/>
            <family val="2"/>
            <charset val="204"/>
          </rPr>
          <t>Comp_100:</t>
        </r>
        <r>
          <rPr>
            <sz val="9"/>
            <color indexed="81"/>
            <rFont val="Tahoma"/>
            <family val="2"/>
            <charset val="204"/>
          </rPr>
          <t xml:space="preserve">
ОМСП</t>
        </r>
      </text>
    </comment>
    <comment ref="F697" authorId="1" shapeId="0">
      <text>
        <r>
          <rPr>
            <b/>
            <sz val="8"/>
            <color indexed="81"/>
            <rFont val="Tahoma"/>
            <family val="2"/>
            <charset val="204"/>
          </rPr>
          <t>Admin:</t>
        </r>
        <r>
          <rPr>
            <sz val="8"/>
            <color indexed="81"/>
            <rFont val="Tahoma"/>
            <family val="2"/>
            <charset val="204"/>
          </rPr>
          <t xml:space="preserve">
спец средства 70921, 70951, 70961, 70962, 70964, 70965, 70812, 70821, 70832</t>
        </r>
      </text>
    </comment>
    <comment ref="G697" authorId="1" shapeId="0">
      <text>
        <r>
          <rPr>
            <b/>
            <sz val="8"/>
            <color indexed="81"/>
            <rFont val="Tahoma"/>
            <family val="2"/>
            <charset val="204"/>
          </rPr>
          <t>Admin:</t>
        </r>
        <r>
          <rPr>
            <sz val="8"/>
            <color indexed="81"/>
            <rFont val="Tahoma"/>
            <family val="2"/>
            <charset val="204"/>
          </rPr>
          <t xml:space="preserve">
спец средства 70921, 70951, 70961, 70962, 70964, 70965, 70812, 70821, 70832</t>
        </r>
      </text>
    </comment>
    <comment ref="H697" authorId="1" shapeId="0">
      <text>
        <r>
          <rPr>
            <b/>
            <sz val="8"/>
            <color indexed="81"/>
            <rFont val="Tahoma"/>
            <family val="2"/>
            <charset val="204"/>
          </rPr>
          <t>Admin:</t>
        </r>
        <r>
          <rPr>
            <sz val="8"/>
            <color indexed="81"/>
            <rFont val="Tahoma"/>
            <family val="2"/>
            <charset val="204"/>
          </rPr>
          <t xml:space="preserve">
спец средства 70921, 70951, 70961, 70962, 70964, 70965, 70812, 70821, 70832</t>
        </r>
      </text>
    </comment>
    <comment ref="F698" authorId="1" shapeId="0">
      <text>
        <r>
          <rPr>
            <b/>
            <sz val="8"/>
            <color indexed="81"/>
            <rFont val="Tahoma"/>
            <family val="2"/>
            <charset val="204"/>
          </rPr>
          <t>Admin:</t>
        </r>
        <r>
          <rPr>
            <sz val="8"/>
            <color indexed="81"/>
            <rFont val="Tahoma"/>
            <family val="2"/>
            <charset val="204"/>
          </rPr>
          <t xml:space="preserve">
ПГИ ВНЕШНЕЕ ФИНАНСИРОВАНИЕ</t>
        </r>
      </text>
    </comment>
    <comment ref="G698" authorId="1" shapeId="0">
      <text>
        <r>
          <rPr>
            <b/>
            <sz val="8"/>
            <color indexed="81"/>
            <rFont val="Tahoma"/>
            <family val="2"/>
            <charset val="204"/>
          </rPr>
          <t>Admin:</t>
        </r>
        <r>
          <rPr>
            <sz val="8"/>
            <color indexed="81"/>
            <rFont val="Tahoma"/>
            <family val="2"/>
            <charset val="204"/>
          </rPr>
          <t xml:space="preserve">
ПГИ ВНЕШНЕЕ ФИНАНСИРОВАНИЕ</t>
        </r>
      </text>
    </comment>
    <comment ref="H698" authorId="1" shapeId="0">
      <text>
        <r>
          <rPr>
            <b/>
            <sz val="8"/>
            <color indexed="81"/>
            <rFont val="Tahoma"/>
            <family val="2"/>
            <charset val="204"/>
          </rPr>
          <t>Admin:</t>
        </r>
        <r>
          <rPr>
            <sz val="8"/>
            <color indexed="81"/>
            <rFont val="Tahoma"/>
            <family val="2"/>
            <charset val="204"/>
          </rPr>
          <t xml:space="preserve">
ПГИ ВНЕШНЕЕ ФИНАНСИРОВАНИЕ</t>
        </r>
      </text>
    </comment>
    <comment ref="I698" authorId="1" shapeId="0">
      <text>
        <r>
          <rPr>
            <b/>
            <sz val="8"/>
            <color indexed="81"/>
            <rFont val="Tahoma"/>
            <family val="2"/>
            <charset val="204"/>
          </rPr>
          <t>Admin:</t>
        </r>
        <r>
          <rPr>
            <sz val="8"/>
            <color indexed="81"/>
            <rFont val="Tahoma"/>
            <family val="2"/>
            <charset val="204"/>
          </rPr>
          <t xml:space="preserve">
ПГИ ВНЕШНЕЕ ФИНАНСИРОВАНИЕ</t>
        </r>
      </text>
    </comment>
    <comment ref="J698" authorId="1" shapeId="0">
      <text>
        <r>
          <rPr>
            <b/>
            <sz val="8"/>
            <color indexed="81"/>
            <rFont val="Tahoma"/>
            <family val="2"/>
            <charset val="204"/>
          </rPr>
          <t>Admin:</t>
        </r>
        <r>
          <rPr>
            <sz val="8"/>
            <color indexed="81"/>
            <rFont val="Tahoma"/>
            <family val="2"/>
            <charset val="204"/>
          </rPr>
          <t xml:space="preserve">
ПГИ ВНЕШНЕЕ ФИНАНСИРОВАНИЕ</t>
        </r>
      </text>
    </comment>
    <comment ref="F704" authorId="1" shapeId="0">
      <text>
        <r>
          <rPr>
            <b/>
            <sz val="8"/>
            <color indexed="81"/>
            <rFont val="Tahoma"/>
            <family val="2"/>
            <charset val="204"/>
          </rPr>
          <t>Admin:</t>
        </r>
        <r>
          <rPr>
            <sz val="8"/>
            <color indexed="81"/>
            <rFont val="Tahoma"/>
            <family val="2"/>
            <charset val="204"/>
          </rPr>
          <t xml:space="preserve">
ВГИ внутренне ФИНАСИРОВАНИЕ</t>
        </r>
      </text>
    </comment>
    <comment ref="G704" authorId="1" shapeId="0">
      <text>
        <r>
          <rPr>
            <b/>
            <sz val="8"/>
            <color indexed="81"/>
            <rFont val="Tahoma"/>
            <family val="2"/>
            <charset val="204"/>
          </rPr>
          <t>Admin:</t>
        </r>
        <r>
          <rPr>
            <sz val="8"/>
            <color indexed="81"/>
            <rFont val="Tahoma"/>
            <family val="2"/>
            <charset val="204"/>
          </rPr>
          <t xml:space="preserve">
ВГИ внутренне ФИНАСИРОВАНИЕ</t>
        </r>
      </text>
    </comment>
    <comment ref="H704" authorId="1" shapeId="0">
      <text>
        <r>
          <rPr>
            <b/>
            <sz val="8"/>
            <color indexed="81"/>
            <rFont val="Tahoma"/>
            <family val="2"/>
            <charset val="204"/>
          </rPr>
          <t>Admin:</t>
        </r>
        <r>
          <rPr>
            <sz val="8"/>
            <color indexed="81"/>
            <rFont val="Tahoma"/>
            <family val="2"/>
            <charset val="204"/>
          </rPr>
          <t xml:space="preserve">
ВГИ внутренне ФИНАСИРОВАНИЕ</t>
        </r>
      </text>
    </comment>
    <comment ref="F708" authorId="1" shapeId="0">
      <text>
        <r>
          <rPr>
            <b/>
            <sz val="8"/>
            <color indexed="81"/>
            <rFont val="Tahoma"/>
            <family val="2"/>
            <charset val="204"/>
          </rPr>
          <t>Admin:</t>
        </r>
        <r>
          <rPr>
            <sz val="8"/>
            <color indexed="81"/>
            <rFont val="Tahoma"/>
            <family val="2"/>
            <charset val="204"/>
          </rPr>
          <t xml:space="preserve">
бюджет и спец средства
</t>
        </r>
      </text>
    </comment>
    <comment ref="G708" authorId="1" shapeId="0">
      <text>
        <r>
          <rPr>
            <b/>
            <sz val="8"/>
            <color indexed="81"/>
            <rFont val="Tahoma"/>
            <family val="2"/>
            <charset val="204"/>
          </rPr>
          <t>Admin:</t>
        </r>
        <r>
          <rPr>
            <sz val="8"/>
            <color indexed="81"/>
            <rFont val="Tahoma"/>
            <family val="2"/>
            <charset val="204"/>
          </rPr>
          <t xml:space="preserve">
бюджет и спец средства
</t>
        </r>
      </text>
    </comment>
    <comment ref="H708" authorId="1" shapeId="0">
      <text>
        <r>
          <rPr>
            <b/>
            <sz val="8"/>
            <color indexed="81"/>
            <rFont val="Tahoma"/>
            <family val="2"/>
            <charset val="204"/>
          </rPr>
          <t>Admin:</t>
        </r>
        <r>
          <rPr>
            <sz val="8"/>
            <color indexed="81"/>
            <rFont val="Tahoma"/>
            <family val="2"/>
            <charset val="204"/>
          </rPr>
          <t xml:space="preserve">
бюджет и спец средства
 99 лицей по бюджету минус спец счет плюс на контрольные цифры</t>
        </r>
      </text>
    </comment>
    <comment ref="F712" authorId="1" shapeId="0">
      <text>
        <r>
          <rPr>
            <b/>
            <sz val="8"/>
            <color indexed="81"/>
            <rFont val="Tahoma"/>
            <family val="2"/>
            <charset val="204"/>
          </rPr>
          <t>Admin:</t>
        </r>
        <r>
          <rPr>
            <sz val="8"/>
            <color indexed="81"/>
            <rFont val="Tahoma"/>
            <family val="2"/>
            <charset val="204"/>
          </rPr>
          <t xml:space="preserve">
БЮДЖЕТ 70922,70931</t>
        </r>
      </text>
    </comment>
    <comment ref="G712" authorId="1" shapeId="0">
      <text>
        <r>
          <rPr>
            <b/>
            <sz val="8"/>
            <color indexed="81"/>
            <rFont val="Tahoma"/>
            <family val="2"/>
            <charset val="204"/>
          </rPr>
          <t>Admin:</t>
        </r>
        <r>
          <rPr>
            <sz val="8"/>
            <color indexed="81"/>
            <rFont val="Tahoma"/>
            <family val="2"/>
            <charset val="204"/>
          </rPr>
          <t xml:space="preserve">
БЮДЖЕТ 70922,70931</t>
        </r>
      </text>
    </comment>
    <comment ref="H712" authorId="1" shapeId="0">
      <text>
        <r>
          <rPr>
            <b/>
            <sz val="8"/>
            <color indexed="81"/>
            <rFont val="Tahoma"/>
            <family val="2"/>
            <charset val="204"/>
          </rPr>
          <t>Admin:</t>
        </r>
        <r>
          <rPr>
            <sz val="8"/>
            <color indexed="81"/>
            <rFont val="Tahoma"/>
            <family val="2"/>
            <charset val="204"/>
          </rPr>
          <t xml:space="preserve">
БЮДЖЕТ 70922,70931
</t>
        </r>
      </text>
    </comment>
    <comment ref="F713" authorId="1" shapeId="0">
      <text>
        <r>
          <rPr>
            <b/>
            <sz val="11"/>
            <color indexed="81"/>
            <rFont val="Tahoma"/>
            <family val="2"/>
            <charset val="204"/>
          </rPr>
          <t>Admin:</t>
        </r>
        <r>
          <rPr>
            <sz val="11"/>
            <color indexed="81"/>
            <rFont val="Tahoma"/>
            <family val="2"/>
            <charset val="204"/>
          </rPr>
          <t xml:space="preserve">
спец.средства 70922, 70931</t>
        </r>
      </text>
    </comment>
    <comment ref="G713" authorId="1" shapeId="0">
      <text>
        <r>
          <rPr>
            <b/>
            <sz val="11"/>
            <color indexed="81"/>
            <rFont val="Tahoma"/>
            <family val="2"/>
            <charset val="204"/>
          </rPr>
          <t>Admin:</t>
        </r>
        <r>
          <rPr>
            <sz val="11"/>
            <color indexed="81"/>
            <rFont val="Tahoma"/>
            <family val="2"/>
            <charset val="204"/>
          </rPr>
          <t xml:space="preserve">
спец.средства 70922, 70931</t>
        </r>
      </text>
    </comment>
    <comment ref="H713" authorId="1" shapeId="0">
      <text>
        <r>
          <rPr>
            <b/>
            <sz val="11"/>
            <color indexed="81"/>
            <rFont val="Tahoma"/>
            <family val="2"/>
            <charset val="204"/>
          </rPr>
          <t>Admin:</t>
        </r>
        <r>
          <rPr>
            <sz val="11"/>
            <color indexed="81"/>
            <rFont val="Tahoma"/>
            <family val="2"/>
            <charset val="204"/>
          </rPr>
          <t xml:space="preserve">
спец.средства 70922, 70931</t>
        </r>
      </text>
    </comment>
    <comment ref="F721" authorId="1" shapeId="0">
      <text>
        <r>
          <rPr>
            <b/>
            <sz val="11"/>
            <color indexed="81"/>
            <rFont val="Tahoma"/>
            <family val="2"/>
            <charset val="204"/>
          </rPr>
          <t>Admin:</t>
        </r>
        <r>
          <rPr>
            <sz val="11"/>
            <color indexed="81"/>
            <rFont val="Tahoma"/>
            <family val="2"/>
            <charset val="204"/>
          </rPr>
          <t xml:space="preserve">
спец 70942</t>
        </r>
        <r>
          <rPr>
            <sz val="8"/>
            <color indexed="81"/>
            <rFont val="Tahoma"/>
            <family val="2"/>
            <charset val="204"/>
          </rPr>
          <t xml:space="preserve">
</t>
        </r>
      </text>
    </comment>
    <comment ref="G721" authorId="1" shapeId="0">
      <text>
        <r>
          <rPr>
            <b/>
            <sz val="11"/>
            <color indexed="81"/>
            <rFont val="Tahoma"/>
            <family val="2"/>
            <charset val="204"/>
          </rPr>
          <t>Admin:</t>
        </r>
        <r>
          <rPr>
            <sz val="11"/>
            <color indexed="81"/>
            <rFont val="Tahoma"/>
            <family val="2"/>
            <charset val="204"/>
          </rPr>
          <t xml:space="preserve">
спец 70942</t>
        </r>
        <r>
          <rPr>
            <sz val="8"/>
            <color indexed="81"/>
            <rFont val="Tahoma"/>
            <family val="2"/>
            <charset val="204"/>
          </rPr>
          <t xml:space="preserve">
</t>
        </r>
      </text>
    </comment>
    <comment ref="H721" authorId="1" shapeId="0">
      <text>
        <r>
          <rPr>
            <b/>
            <sz val="11"/>
            <color indexed="81"/>
            <rFont val="Tahoma"/>
            <family val="2"/>
            <charset val="204"/>
          </rPr>
          <t>Admin:</t>
        </r>
        <r>
          <rPr>
            <sz val="11"/>
            <color indexed="81"/>
            <rFont val="Tahoma"/>
            <family val="2"/>
            <charset val="204"/>
          </rPr>
          <t xml:space="preserve">
спец 70942</t>
        </r>
        <r>
          <rPr>
            <sz val="8"/>
            <color indexed="81"/>
            <rFont val="Tahoma"/>
            <family val="2"/>
            <charset val="204"/>
          </rPr>
          <t xml:space="preserve">
</t>
        </r>
      </text>
    </comment>
    <comment ref="F723" authorId="1" shapeId="0">
      <text>
        <r>
          <rPr>
            <b/>
            <sz val="8"/>
            <color indexed="81"/>
            <rFont val="Tahoma"/>
            <family val="2"/>
            <charset val="204"/>
          </rPr>
          <t>Admin:</t>
        </r>
        <r>
          <rPr>
            <sz val="8"/>
            <color indexed="81"/>
            <rFont val="Tahoma"/>
            <family val="2"/>
            <charset val="204"/>
          </rPr>
          <t xml:space="preserve">
бюджет 70942</t>
        </r>
      </text>
    </comment>
    <comment ref="G723" authorId="1" shapeId="0">
      <text>
        <r>
          <rPr>
            <b/>
            <sz val="8"/>
            <color indexed="81"/>
            <rFont val="Tahoma"/>
            <family val="2"/>
            <charset val="204"/>
          </rPr>
          <t>Admin:</t>
        </r>
        <r>
          <rPr>
            <sz val="8"/>
            <color indexed="81"/>
            <rFont val="Tahoma"/>
            <family val="2"/>
            <charset val="204"/>
          </rPr>
          <t xml:space="preserve">
бюджет 70942</t>
        </r>
      </text>
    </comment>
    <comment ref="H723" authorId="1" shapeId="0">
      <text>
        <r>
          <rPr>
            <b/>
            <sz val="8"/>
            <color indexed="81"/>
            <rFont val="Tahoma"/>
            <family val="2"/>
            <charset val="204"/>
          </rPr>
          <t>Admin:</t>
        </r>
        <r>
          <rPr>
            <sz val="8"/>
            <color indexed="81"/>
            <rFont val="Tahoma"/>
            <family val="2"/>
            <charset val="204"/>
          </rPr>
          <t xml:space="preserve">
бюджет 70942</t>
        </r>
      </text>
    </comment>
    <comment ref="F728" authorId="1" shapeId="0">
      <text>
        <r>
          <rPr>
            <b/>
            <sz val="12"/>
            <color indexed="81"/>
            <rFont val="Tahoma"/>
            <family val="2"/>
            <charset val="204"/>
          </rPr>
          <t>Admin:</t>
        </r>
        <r>
          <rPr>
            <sz val="12"/>
            <color indexed="81"/>
            <rFont val="Tahoma"/>
            <family val="2"/>
            <charset val="204"/>
          </rPr>
          <t xml:space="preserve">
БЮДЖЕТ 70941, 70952</t>
        </r>
      </text>
    </comment>
    <comment ref="G728" authorId="1" shapeId="0">
      <text>
        <r>
          <rPr>
            <b/>
            <sz val="12"/>
            <color indexed="81"/>
            <rFont val="Tahoma"/>
            <family val="2"/>
            <charset val="204"/>
          </rPr>
          <t>Admin:</t>
        </r>
        <r>
          <rPr>
            <sz val="12"/>
            <color indexed="81"/>
            <rFont val="Tahoma"/>
            <family val="2"/>
            <charset val="204"/>
          </rPr>
          <t xml:space="preserve">
БЮДЖЕТ 70941, 70952</t>
        </r>
      </text>
    </comment>
    <comment ref="H728" authorId="1" shapeId="0">
      <text>
        <r>
          <rPr>
            <b/>
            <sz val="12"/>
            <color indexed="81"/>
            <rFont val="Tahoma"/>
            <family val="2"/>
            <charset val="204"/>
          </rPr>
          <t>Admin:</t>
        </r>
        <r>
          <rPr>
            <sz val="12"/>
            <color indexed="81"/>
            <rFont val="Tahoma"/>
            <family val="2"/>
            <charset val="204"/>
          </rPr>
          <t xml:space="preserve">
БЮДЖЕТ 70941, 70952</t>
        </r>
      </text>
    </comment>
    <comment ref="F732" authorId="1" shapeId="0">
      <text>
        <r>
          <rPr>
            <b/>
            <sz val="8"/>
            <color indexed="81"/>
            <rFont val="Tahoma"/>
            <family val="2"/>
            <charset val="204"/>
          </rPr>
          <t>Admin:</t>
        </r>
        <r>
          <rPr>
            <sz val="8"/>
            <color indexed="81"/>
            <rFont val="Tahoma"/>
            <family val="2"/>
            <charset val="204"/>
          </rPr>
          <t xml:space="preserve">
</t>
        </r>
        <r>
          <rPr>
            <sz val="12"/>
            <color indexed="81"/>
            <rFont val="Tahoma"/>
            <family val="2"/>
            <charset val="204"/>
          </rPr>
          <t>спец 70941, 70952</t>
        </r>
      </text>
    </comment>
    <comment ref="G732" authorId="1" shapeId="0">
      <text>
        <r>
          <rPr>
            <b/>
            <sz val="8"/>
            <color indexed="81"/>
            <rFont val="Tahoma"/>
            <family val="2"/>
            <charset val="204"/>
          </rPr>
          <t>Admin:</t>
        </r>
        <r>
          <rPr>
            <sz val="8"/>
            <color indexed="81"/>
            <rFont val="Tahoma"/>
            <family val="2"/>
            <charset val="204"/>
          </rPr>
          <t xml:space="preserve">
</t>
        </r>
        <r>
          <rPr>
            <sz val="12"/>
            <color indexed="81"/>
            <rFont val="Tahoma"/>
            <family val="2"/>
            <charset val="204"/>
          </rPr>
          <t>спец 70941, 70952</t>
        </r>
      </text>
    </comment>
    <comment ref="H732" authorId="1" shapeId="0">
      <text>
        <r>
          <rPr>
            <b/>
            <sz val="8"/>
            <color indexed="81"/>
            <rFont val="Tahoma"/>
            <family val="2"/>
            <charset val="204"/>
          </rPr>
          <t>Admin:</t>
        </r>
        <r>
          <rPr>
            <sz val="8"/>
            <color indexed="81"/>
            <rFont val="Tahoma"/>
            <family val="2"/>
            <charset val="204"/>
          </rPr>
          <t xml:space="preserve">
</t>
        </r>
        <r>
          <rPr>
            <sz val="12"/>
            <color indexed="81"/>
            <rFont val="Tahoma"/>
            <family val="2"/>
            <charset val="204"/>
          </rPr>
          <t>спец 70941, 70952</t>
        </r>
      </text>
    </comment>
    <comment ref="F736" authorId="1" shapeId="0">
      <text>
        <r>
          <rPr>
            <b/>
            <sz val="12"/>
            <color indexed="81"/>
            <rFont val="Tahoma"/>
            <family val="2"/>
            <charset val="204"/>
          </rPr>
          <t>Admin:</t>
        </r>
        <r>
          <rPr>
            <sz val="12"/>
            <color indexed="81"/>
            <rFont val="Tahoma"/>
            <family val="2"/>
            <charset val="204"/>
          </rPr>
          <t xml:space="preserve">
БЮДЖЕТ НАУКИ</t>
        </r>
      </text>
    </comment>
    <comment ref="G736" authorId="1" shapeId="0">
      <text>
        <r>
          <rPr>
            <b/>
            <sz val="12"/>
            <color indexed="81"/>
            <rFont val="Tahoma"/>
            <family val="2"/>
            <charset val="204"/>
          </rPr>
          <t>Admin:</t>
        </r>
        <r>
          <rPr>
            <sz val="12"/>
            <color indexed="81"/>
            <rFont val="Tahoma"/>
            <family val="2"/>
            <charset val="204"/>
          </rPr>
          <t xml:space="preserve">
БЮДЖЕТ НАУКИ</t>
        </r>
      </text>
    </comment>
    <comment ref="H736" authorId="1" shapeId="0">
      <text>
        <r>
          <rPr>
            <b/>
            <sz val="12"/>
            <color indexed="81"/>
            <rFont val="Tahoma"/>
            <family val="2"/>
            <charset val="204"/>
          </rPr>
          <t>Admin:</t>
        </r>
        <r>
          <rPr>
            <sz val="12"/>
            <color indexed="81"/>
            <rFont val="Tahoma"/>
            <family val="2"/>
            <charset val="204"/>
          </rPr>
          <t xml:space="preserve">
БЮДЖЕТ НАУКИ</t>
        </r>
      </text>
    </comment>
    <comment ref="F737" authorId="1" shapeId="0">
      <text>
        <r>
          <rPr>
            <b/>
            <sz val="12"/>
            <color indexed="81"/>
            <rFont val="Tahoma"/>
            <family val="2"/>
            <charset val="204"/>
          </rPr>
          <t>Admin:</t>
        </r>
        <r>
          <rPr>
            <sz val="12"/>
            <color indexed="81"/>
            <rFont val="Tahoma"/>
            <family val="2"/>
            <charset val="204"/>
          </rPr>
          <t xml:space="preserve">
СПЕЦ НАУКА</t>
        </r>
      </text>
    </comment>
    <comment ref="G737" authorId="1" shapeId="0">
      <text>
        <r>
          <rPr>
            <b/>
            <sz val="12"/>
            <color indexed="81"/>
            <rFont val="Tahoma"/>
            <family val="2"/>
            <charset val="204"/>
          </rPr>
          <t>Admin:</t>
        </r>
        <r>
          <rPr>
            <sz val="12"/>
            <color indexed="81"/>
            <rFont val="Tahoma"/>
            <family val="2"/>
            <charset val="204"/>
          </rPr>
          <t xml:space="preserve">
СПЕЦ НАУКА</t>
        </r>
      </text>
    </comment>
    <comment ref="H737" authorId="1" shapeId="0">
      <text>
        <r>
          <rPr>
            <b/>
            <sz val="12"/>
            <color indexed="81"/>
            <rFont val="Tahoma"/>
            <family val="2"/>
            <charset val="204"/>
          </rPr>
          <t>Admin:</t>
        </r>
        <r>
          <rPr>
            <sz val="12"/>
            <color indexed="81"/>
            <rFont val="Tahoma"/>
            <family val="2"/>
            <charset val="204"/>
          </rPr>
          <t xml:space="preserve">
СПЕЦ НАУКА</t>
        </r>
      </text>
    </comment>
  </commentList>
</comments>
</file>

<file path=xl/sharedStrings.xml><?xml version="1.0" encoding="utf-8"?>
<sst xmlns="http://schemas.openxmlformats.org/spreadsheetml/2006/main" count="6171" uniqueCount="3002">
  <si>
    <t>Код ПР</t>
  </si>
  <si>
    <t>Код ИН</t>
  </si>
  <si>
    <t>01</t>
  </si>
  <si>
    <t>02</t>
  </si>
  <si>
    <t>03</t>
  </si>
  <si>
    <t>04</t>
  </si>
  <si>
    <t>Список сокращений:</t>
  </si>
  <si>
    <r>
      <t>Код ПР</t>
    </r>
    <r>
      <rPr>
        <sz val="11"/>
        <rFont val="Times New Roman"/>
        <family val="1"/>
        <charset val="204"/>
      </rPr>
      <t xml:space="preserve"> - код программы</t>
    </r>
  </si>
  <si>
    <r>
      <t>Код МЕ</t>
    </r>
    <r>
      <rPr>
        <sz val="11"/>
        <rFont val="Times New Roman"/>
        <family val="1"/>
        <charset val="204"/>
      </rPr>
      <t xml:space="preserve"> - код меры</t>
    </r>
  </si>
  <si>
    <r>
      <t xml:space="preserve">СМИ - </t>
    </r>
    <r>
      <rPr>
        <sz val="11"/>
        <rFont val="Times New Roman"/>
        <family val="1"/>
        <charset val="204"/>
      </rPr>
      <t>средства массовой информации</t>
    </r>
  </si>
  <si>
    <r>
      <t xml:space="preserve">ЦА - </t>
    </r>
    <r>
      <rPr>
        <sz val="11"/>
        <rFont val="Times New Roman"/>
        <family val="1"/>
        <charset val="204"/>
      </rPr>
      <t>центральный аппарат</t>
    </r>
  </si>
  <si>
    <r>
      <t xml:space="preserve">НПА - </t>
    </r>
    <r>
      <rPr>
        <sz val="11"/>
        <rFont val="Times New Roman"/>
        <family val="1"/>
        <charset val="204"/>
      </rPr>
      <t>нормативные правовые акты</t>
    </r>
  </si>
  <si>
    <r>
      <t xml:space="preserve">НПО - </t>
    </r>
    <r>
      <rPr>
        <sz val="11"/>
        <rFont val="Times New Roman"/>
        <family val="1"/>
        <charset val="204"/>
      </rPr>
      <t>неправительственные организации</t>
    </r>
  </si>
  <si>
    <t xml:space="preserve"> </t>
  </si>
  <si>
    <t>%</t>
  </si>
  <si>
    <t>коэф.</t>
  </si>
  <si>
    <t>ед.</t>
  </si>
  <si>
    <t>4                                                                 122                                                             0</t>
  </si>
  <si>
    <t>0                                                                       111                                                              0</t>
  </si>
  <si>
    <t>9417                                                          14607                                                          9670                                                 3992150089 сом</t>
  </si>
  <si>
    <t>19018                                             8049                                           5581                                       388945321 сом</t>
  </si>
  <si>
    <t>6021                                                 10074                                        5693                                 3936303442 сом</t>
  </si>
  <si>
    <t xml:space="preserve">8170                                                  5210                                                       3022                                                       332291628 сом </t>
  </si>
  <si>
    <t>2030                                                2625                                                       2154                                            55846646 сом</t>
  </si>
  <si>
    <t xml:space="preserve">4124                                                1892                                                       1528                                           56653693 сом </t>
  </si>
  <si>
    <t>1366                                                       1908                                                      1823</t>
  </si>
  <si>
    <t>6724                                                 947                                              1031</t>
  </si>
  <si>
    <t>898                                          92195                                                 424                                                 12529                                           1045                                            604                                              78</t>
  </si>
  <si>
    <t>473                                                 44975                                                                  159                                                             7386                                                                          494                                                             245                                                       34</t>
  </si>
  <si>
    <t>802                                                         86440                                        398                                                   10285                                               861                                      556                                          65</t>
  </si>
  <si>
    <t>428                                             42142                                                             148                                                        5951                                                                   453                                                           222                                                    22</t>
  </si>
  <si>
    <t>70                                           5337                                                20                                               1841                                                     62                                              48                                          2</t>
  </si>
  <si>
    <t>31                                                    1511                                                      6                                                              786                                                          29                                                                   21                                                       0</t>
  </si>
  <si>
    <t>26                                           418                                                   6                                                  403                                          22                                              0                                       11</t>
  </si>
  <si>
    <t>12                                                             144                                                          2                                                              317                                                                   12                                                    2                                                12</t>
  </si>
  <si>
    <t>24357                                5760                                     2172                                      1925                                       1603                                           5444326000</t>
  </si>
  <si>
    <t>10208                                                       2818                                             1034                                                      684                                                665                                                     45850555</t>
  </si>
  <si>
    <t>21739                                           5760                                                   2076                                                       1785                                                   1488</t>
  </si>
  <si>
    <t xml:space="preserve">8390                                                           2818                                                                   934                                                               634                                                665 </t>
  </si>
  <si>
    <t>ВСЕГО (контрольные цифры)</t>
  </si>
  <si>
    <t>18. Центральная комиссия  по выборам и проведению референдумов Кыргызской Республики</t>
  </si>
  <si>
    <t>17. Счетная палата КР</t>
  </si>
  <si>
    <t>от 2 до 5</t>
  </si>
  <si>
    <t xml:space="preserve">от 5 до 10 </t>
  </si>
  <si>
    <t>от 10 до 15</t>
  </si>
  <si>
    <t>ед</t>
  </si>
  <si>
    <t>2</t>
  </si>
  <si>
    <t xml:space="preserve"> + 2</t>
  </si>
  <si>
    <t>+2</t>
  </si>
  <si>
    <t>05</t>
  </si>
  <si>
    <t>06</t>
  </si>
  <si>
    <t>07</t>
  </si>
  <si>
    <t>млн. долл.</t>
  </si>
  <si>
    <t>08</t>
  </si>
  <si>
    <t>09</t>
  </si>
  <si>
    <t>п.п.</t>
  </si>
  <si>
    <t>±5</t>
  </si>
  <si>
    <t>±2</t>
  </si>
  <si>
    <t>50+/-5</t>
  </si>
  <si>
    <t>40+/-5</t>
  </si>
  <si>
    <t>-</t>
  </si>
  <si>
    <t>шт.</t>
  </si>
  <si>
    <t>ИДН коэф.</t>
  </si>
  <si>
    <t>чел.</t>
  </si>
  <si>
    <t>Итого: всего по Резервным и другим фондам территорий</t>
  </si>
  <si>
    <t>15</t>
  </si>
  <si>
    <t>не менне      80 %</t>
  </si>
  <si>
    <t xml:space="preserve">ед. </t>
  </si>
  <si>
    <t>млн.сом</t>
  </si>
  <si>
    <t>шт</t>
  </si>
  <si>
    <t xml:space="preserve">≤ 60% </t>
  </si>
  <si>
    <t>сом</t>
  </si>
  <si>
    <t>≥ 35%</t>
  </si>
  <si>
    <t>15 мая</t>
  </si>
  <si>
    <t>4 раза</t>
  </si>
  <si>
    <t>"А"</t>
  </si>
  <si>
    <t>7 к 1</t>
  </si>
  <si>
    <t>8 к 1</t>
  </si>
  <si>
    <t>9 к 1</t>
  </si>
  <si>
    <t>16</t>
  </si>
  <si>
    <t>17</t>
  </si>
  <si>
    <t>18</t>
  </si>
  <si>
    <t>19</t>
  </si>
  <si>
    <t>20</t>
  </si>
  <si>
    <t>21</t>
  </si>
  <si>
    <t>22</t>
  </si>
  <si>
    <t>10</t>
  </si>
  <si>
    <t>11</t>
  </si>
  <si>
    <t>12</t>
  </si>
  <si>
    <t>13</t>
  </si>
  <si>
    <t>14</t>
  </si>
  <si>
    <t>002</t>
  </si>
  <si>
    <t>Защита прав пациентов,находящихся в психиатрических стационарах</t>
  </si>
  <si>
    <t>Итого: всего по Аппарату Омбудсмена (Акыйкатчы) КР</t>
  </si>
  <si>
    <t>149/16676145</t>
  </si>
  <si>
    <t>68/6021961</t>
  </si>
  <si>
    <t>1062/16771987</t>
  </si>
  <si>
    <t>765/5681011</t>
  </si>
  <si>
    <t>003</t>
  </si>
  <si>
    <t>203/13655801</t>
  </si>
  <si>
    <t>488/14181226</t>
  </si>
  <si>
    <t>004</t>
  </si>
  <si>
    <t>001</t>
  </si>
  <si>
    <t>1300-1500</t>
  </si>
  <si>
    <t>640</t>
  </si>
  <si>
    <t>630</t>
  </si>
  <si>
    <t>да</t>
  </si>
  <si>
    <t>6-8</t>
  </si>
  <si>
    <t>балл</t>
  </si>
  <si>
    <t>кв.м.</t>
  </si>
  <si>
    <t>005</t>
  </si>
  <si>
    <t>1300-1400</t>
  </si>
  <si>
    <t>индекс</t>
  </si>
  <si>
    <t>600</t>
  </si>
  <si>
    <t>1000</t>
  </si>
  <si>
    <t>2058</t>
  </si>
  <si>
    <t>1/1</t>
  </si>
  <si>
    <t>Итого по Программе 1</t>
  </si>
  <si>
    <t>Итого по Программе 2</t>
  </si>
  <si>
    <t>не более 100,0%</t>
  </si>
  <si>
    <t>Итого по Программе 3</t>
  </si>
  <si>
    <t>Итого по Программе 4</t>
  </si>
  <si>
    <t>150/17500,0</t>
  </si>
  <si>
    <t>160/18000,0</t>
  </si>
  <si>
    <t>170/18500,0</t>
  </si>
  <si>
    <t>1000/16000,0</t>
  </si>
  <si>
    <t>1100/17000,0</t>
  </si>
  <si>
    <t>1200/18000,0</t>
  </si>
  <si>
    <t>250/13000,0</t>
  </si>
  <si>
    <t>300/14000,0</t>
  </si>
  <si>
    <t>350/15000,0</t>
  </si>
  <si>
    <t>2618                                             96                                       140                                      115                            5444326000</t>
  </si>
  <si>
    <t>1818                                                                  100                                                                    50                                                       0                                                 45850555</t>
  </si>
  <si>
    <t>2 раза</t>
  </si>
  <si>
    <t>59</t>
  </si>
  <si>
    <t>60</t>
  </si>
  <si>
    <r>
      <t xml:space="preserve">Пландоо, башкаруу жана администрациялоо                                                      
</t>
    </r>
    <r>
      <rPr>
        <i/>
        <sz val="11"/>
        <rFont val="Times New Roman"/>
        <family val="1"/>
        <charset val="204"/>
      </rPr>
      <t xml:space="preserve">Программанын максаты: Башка программаларды ишке ашырууга координациялоочу жана уюштуруучу таасир этүүлөр          </t>
    </r>
    <r>
      <rPr>
        <b/>
        <i/>
        <sz val="11"/>
        <rFont val="Times New Roman"/>
        <family val="1"/>
        <charset val="204"/>
      </rPr>
      <t xml:space="preserve"> </t>
    </r>
    <r>
      <rPr>
        <b/>
        <sz val="11"/>
        <rFont val="Times New Roman"/>
        <family val="1"/>
        <charset val="204"/>
      </rPr>
      <t xml:space="preserve">                                                                                                               
</t>
    </r>
  </si>
  <si>
    <t>11 Кыргыз Республикасынын Жогорку Кеңеши</t>
  </si>
  <si>
    <t>Бюджеттик программалар/
Бюджеттик чаралар</t>
  </si>
  <si>
    <t>Министрликтердин жана ведомстволордун программалык негиздеги бюджети</t>
  </si>
  <si>
    <t>Жалпы жетекчиликти камсыз кылуу</t>
  </si>
  <si>
    <t>Финансылык менеджмент жана эсепке алууну камсыздоо</t>
  </si>
  <si>
    <t xml:space="preserve">Адам ресурстарын башкаруу </t>
  </si>
  <si>
    <t xml:space="preserve">Укуктук колдоо </t>
  </si>
  <si>
    <t>Тышкы байланышты жана  коомчулук менен байланышты колдоо</t>
  </si>
  <si>
    <t>Ишти уюштуруу жана кызматты камсыздоо</t>
  </si>
  <si>
    <t xml:space="preserve">Калктын бардык топтору үчүн мектепке чейинки билим берүүнүн сапаттуу кызмат көрсөтүүлөрүнө жеткиликтүүлүктү камсыз кылуу </t>
  </si>
  <si>
    <t>Транспорттук камсыз кылуу</t>
  </si>
  <si>
    <t>Социалдык колдоо</t>
  </si>
  <si>
    <r>
      <t xml:space="preserve">Кыргыз Республикасынын Жогорку Кеңешинин өкүлчүлүк функциясы аркылуу элдин кызыкчылыгын жана эркин чагылдыруу                                                                          </t>
    </r>
    <r>
      <rPr>
        <i/>
        <sz val="11"/>
        <rFont val="Times New Roman"/>
        <family val="1"/>
        <charset val="204"/>
      </rPr>
      <t xml:space="preserve">Программанын максаты: өлкөнүн өнүктүрүү артыкчылыктарын аныктоочу чечимдерди кабыл алууда элдин өз эркин эске алуу, жарандардын бардык категорияларынын укуктарын жана кызыкчылыктарын коргоонун жогорку деңгээли, Жогорку Кеңештин ишинин айкындуулугу жана коом алдында отчеттуулугу </t>
    </r>
  </si>
  <si>
    <t xml:space="preserve">Кыргыз Республикасынын өнүктүрүү программасынын жалпы мамалекеттик бекитүүдө фракция аралык макулдашуунун механизмдерин камсыз кылуу </t>
  </si>
  <si>
    <t xml:space="preserve">Шайлоочулар менен туруктуу жана иш-аракеттеги диалогдордун механизмдерин түзүү жана камсыз кылуу </t>
  </si>
  <si>
    <t>Жогорку Кеңештин ишинин айкындуулугун жана отчеттуулугун камсыз кылуу</t>
  </si>
  <si>
    <t xml:space="preserve">Жогорку Кеңештин Төрагасынын алдындагы консультациялык-коомдук Кеңештин  ишин камсыз кылуу жана колдоо </t>
  </si>
  <si>
    <t xml:space="preserve"> Коомдун жана мамлекеттин туруктуу өнүктүрүү үчүн зарыл болгон реформаларды  мыйзам менен камсыз кылуу</t>
  </si>
  <si>
    <t xml:space="preserve"> Иштеп чыгылчу мыйзам долбоорлордун сапатын жогорулатуу</t>
  </si>
  <si>
    <t>Чет өлкөлүк жана парламент аралык уюмдардын парламенти менен кызматташууну күчөтүү</t>
  </si>
  <si>
    <t xml:space="preserve"> Өкмөт жана башка отчеттуу органдардын ишин контролдоонун сапатын жакшыртуу </t>
  </si>
  <si>
    <t xml:space="preserve"> Парламенттик контролдоонун инструменттерин жакшыртуу</t>
  </si>
  <si>
    <t>12 Кыргыз Республикасынын Президентинин Аппараты</t>
  </si>
  <si>
    <t>КР Президентинин иштөөсүн эксперттик-аналитикалык, маалыматтык, укуктук, протоколдук, уюштуруучулук, документациялык камсыздоо</t>
  </si>
  <si>
    <t>КР Президентинин ишин "КР Президентинин ишинин кепилдиктери жөнүндө" КР Мыйзамына ылайык камсыз кылуу</t>
  </si>
  <si>
    <t>Экономикалык, социалдык, маданий жана башка иш-чаралар, ошондой эле өзгөчө окуялар боюнча алдын алынбаган чыгашалардын пайда болушунда мамлекеттик колдоону көрсөтүү</t>
  </si>
  <si>
    <t>Баардыгы(контролдук цифралар)</t>
  </si>
  <si>
    <t>Баардыгы (контролдук цифралар)</t>
  </si>
  <si>
    <t>13. Кыргыз Республикасынын Президентинин Аппараты</t>
  </si>
  <si>
    <t>14 Кыргыз Республикасынын Өкмөтүнүн Аппараты</t>
  </si>
  <si>
    <t xml:space="preserve">Аткаруу бийлигинин мамлекеттик органдарын координациялоо аркылуу КР Өкмөтүнүн ишин камсыз кылуу алардын ыйгарым укуктарын ишке ашыруусунун мониторингин жүзөгө ашыруу, ошондой эле КР Премьер-министринин ыйгарым укуктарын ишке ашыруу                                                                                                      </t>
  </si>
  <si>
    <t xml:space="preserve">КР мамлекеттик чек арасын делимитациялоо жана   демаркациялоо маселесинде чечимдерди  координациялоо жана кабыл алуу  </t>
  </si>
  <si>
    <t>15.Кыргыз Республикасынын Президентинин жана Өкмөтүнүн Иш башкармасы</t>
  </si>
  <si>
    <t>КР Президенттин Өкмөттүн иш башкармасы</t>
  </si>
  <si>
    <t xml:space="preserve">КР Президентинин, КР    Премьер-министринин, КР Президентинин Аппаратынын жана КР Өкмөтүнүн Аппаратынын ишин камсыз кылуу </t>
  </si>
  <si>
    <t>Мамлекеттик  кызмат көрсөтүүлөрдүн, ошондой эле мамлекеттик протколду камсыздап берүүнүн жогорку деңгээлин камсыз кылуу</t>
  </si>
  <si>
    <t xml:space="preserve"> Мамл мекемелердин бирдиктүү байл каналыны программалык жана  техникалык камсыз кылуу жана шайлоолор, референдум ачыктыгын камсыз кылуу</t>
  </si>
  <si>
    <t>Мамлекетти жана демократиялык коомду, элдин биримдигин бекемдөөгө жана коргоого салым кошкон адамдарды, ошондой эле мамлекеттин жана элдин алдында иштин ар кандай түрлөрү боюнча сиңирген эмгеги үчүн мамлекеттик сыйлыктар менен сыйлоо боюнча иш-чараларды камсыз кылуу жана уюштуруу</t>
  </si>
  <si>
    <t xml:space="preserve">Кыргыз Республикасынын экс Президентин жана Кыргыз ССРинин мурдагы жетекчилерин транспорттук камсыз кылуу </t>
  </si>
  <si>
    <t>Саммиттерди жана башка мамлекеттик маанилүү иш-чараларды уюштурууну камсыз кылуу</t>
  </si>
  <si>
    <t>Таланттуу жана жөндөмдүү балдарды жана жаштарды, анын ичинде чет өлкөлөргө окутууга колдоо көрсөтүү;</t>
  </si>
  <si>
    <t>2) Татаал турмуштук кырдаалдагы балдарга даректүү колдоо көрсөтүү;</t>
  </si>
  <si>
    <t xml:space="preserve">3) Билим берүү жана илим  жана жаштардын инсандык сапатын өнүктүрүүгө  багытталган башка долбоорлор жаатындагы демилгелерди колдоо </t>
  </si>
  <si>
    <t>КРПӨИБга жүктөлгөн кызмат адамдарынын ишин камсыз кылуу</t>
  </si>
  <si>
    <t xml:space="preserve"> Мамлекеттик кызмат көрсөтүүлөрдүн жогорку деңгээлин камсыз кылуу</t>
  </si>
  <si>
    <t xml:space="preserve"> Мамлекеттик  сектордо транспортук кызматтарды көрсөтүү</t>
  </si>
  <si>
    <t>Мамлекеттик мектепке чейинки билим берүүчү уюмдардын болгон тармагын колдоо</t>
  </si>
  <si>
    <t>Кесиптик искусствого калкты тартуу жана сапатын жогорулатуу</t>
  </si>
  <si>
    <t xml:space="preserve">Коомчулук менен байланышты колдоо </t>
  </si>
  <si>
    <t xml:space="preserve">Тышкы байланыштарды колдоо </t>
  </si>
  <si>
    <t>Ишти жана камсыздоо кызматын уюштуруу</t>
  </si>
  <si>
    <t>Жарандык, кылмыш жана  административдик-экономикалык иштер  боюнча сот адилетттүүлүгүн ишке ашыруу</t>
  </si>
  <si>
    <t>Тиешелүү стандарттагы имарат менен  ЖС камсыз кылуу</t>
  </si>
  <si>
    <t xml:space="preserve">ЖС имаратын заманбап жабдуулар менен жабдуулоо (эмерек, ПК ж.б..)/ Аларды сатып алууга каржылоону бөлүү </t>
  </si>
  <si>
    <t xml:space="preserve"> Жумушчу абалды  техникалык жабдууну колдоо  (эмерек, ПК, МФУ, ксерокопия)</t>
  </si>
  <si>
    <t>Судьяларды үзгүлтүксүз окутууну жана квалификациясын жогорулатуу боюнча аппараттын кызматкерлерине семинарларды өткөрүү (УЦC КР ЖС планын эске албаганда)</t>
  </si>
  <si>
    <t>Жалпылоо жана соттук практикадан жакшыртуу</t>
  </si>
  <si>
    <t xml:space="preserve"> Мыйзам долбоорлор менен иштөө</t>
  </si>
  <si>
    <t xml:space="preserve"> КР ЖС бюллетендери үчүн материалдарды топтоо</t>
  </si>
  <si>
    <t xml:space="preserve"> Соттун имаратынын видео байкоо камераларын орнотуу жана  коопсуздукту камсыздоодо   жана техникалык каражаттарды жумушчу абалда кармоо </t>
  </si>
  <si>
    <t>КР ЖС кызматкерлерине  социалдык пакет (медициналык тейлөө) менен камсыз кылуу</t>
  </si>
  <si>
    <t xml:space="preserve"> КР ЖС  чечимдерин жарыялоо системасын оптималдаштыруу</t>
  </si>
  <si>
    <t xml:space="preserve"> Сот жыйындарында  ИКТ орнотуу жана пайдалануу </t>
  </si>
  <si>
    <t>Сот иштерин бөлүштүрүүнү автоматтык техникалык колдоо</t>
  </si>
  <si>
    <t xml:space="preserve"> КР ЖС иштерди ар тараптуу чагылдырууну камсыз кылуу</t>
  </si>
  <si>
    <t xml:space="preserve"> Соттун жыйындар залында аудио-видеофиксация системасын жумушчу абалын колдоо</t>
  </si>
  <si>
    <t xml:space="preserve">Кыргыз Республикасынын Жогорку сотунун Конституциялык палатасы </t>
  </si>
  <si>
    <r>
      <t xml:space="preserve">Пландоо, башкаруу жана администрациялоо                                             </t>
    </r>
    <r>
      <rPr>
        <i/>
        <sz val="11"/>
        <color theme="1"/>
        <rFont val="Times New Roman"/>
        <family val="1"/>
        <charset val="204"/>
      </rPr>
      <t xml:space="preserve">Программанын максаты: Конституциялык палатанын системасынын ишин камсыздоо, ведомствонун башка программаларын ишке ашырууну координациялоо </t>
    </r>
  </si>
  <si>
    <t xml:space="preserve">Жалпы жетекчиликти камсыз кылуу </t>
  </si>
  <si>
    <t xml:space="preserve">Финансылык менеджментти жана эсепке алууну камсыз кылуу </t>
  </si>
  <si>
    <t>Тышкы байланышты жана коомчулук менен байланышты колдоо</t>
  </si>
  <si>
    <t xml:space="preserve">Иштерди камсыз кылуу жана камсыз кылуу кызматы  </t>
  </si>
  <si>
    <t>Конституциалык сот адилеттүүлүгүн ишке ашыруу</t>
  </si>
  <si>
    <t>Соттордун конституциялык  сот адилеттигин жүзөгө ашыруу боююнча ишин камсыз кылуу</t>
  </si>
  <si>
    <t>Конституциялык палатаны эл аралык сот адилеттиги системасына интеграциялоо</t>
  </si>
  <si>
    <t>Конституциялык палата болуп саналган конституциялык сот  адилеттиги мүчөлөрүнүн эл аралык жана региондук уюмдардын жана  бирикмелердин ишине катышуу</t>
  </si>
  <si>
    <t>Конституционализмдин актуалдуу маселелерине арналган эл аралык конференцияларды өткөрүү</t>
  </si>
  <si>
    <t>Кыргызстандагы конституционализмдин актуалдуу маселелерине арналган улуттук илимий-практикалык конференцияларды өткөрүү</t>
  </si>
  <si>
    <t>КП аппарат кызматкерлериннин квалификациясын көтөрүү, чет өлкөлөрдүн конституциялык сотторунда окутуу</t>
  </si>
  <si>
    <t xml:space="preserve">Конституционализмдин жайкы мектептерин уюштуруу жана студенттердин арасында меймандык лекциялардын конкурстарын өткөрүү </t>
  </si>
  <si>
    <t>Жанылыктарды чыгаруу, жылдык отчет, кароо, календарга, көрмө түзүү жана теле каналда жарыялоо</t>
  </si>
  <si>
    <t>Сайт, аудио-жазуу менен сот системасын камсыз кылуу</t>
  </si>
  <si>
    <t>Конституциялык сот  адилеттүүлүгүн  камсыз кылуу</t>
  </si>
  <si>
    <t>Сот процесстерин аудио-видео-фиксация системалары менен колдоо</t>
  </si>
  <si>
    <t>Маалымат жана техникалык коопсуздукту системасын киргизүү</t>
  </si>
  <si>
    <t>Сот өндүрүшүнүн башкарма системаларын тейлөө</t>
  </si>
  <si>
    <t>Баардыгы (контролдук цифрлар)</t>
  </si>
  <si>
    <t>Кыргыз Республикасынын  Жогорку Сотуна караштуу сот адилеттүүлүгүнүн  жогорку мектеби.</t>
  </si>
  <si>
    <t xml:space="preserve"> Жалпы жетекчиликти камсыздоо</t>
  </si>
  <si>
    <t xml:space="preserve"> Финансылык менеджмент жана эсепке алууну камсыз кылуу</t>
  </si>
  <si>
    <t xml:space="preserve"> Адам  ресурстарын башкаруу</t>
  </si>
  <si>
    <t xml:space="preserve"> Ишти камсыздоо жана камсыз кылуу кызматы </t>
  </si>
  <si>
    <t>Эл аралык байланыштарды өнүктүрүү (КМШ,  алыскы  чет өлкөлөр) судьяларды кесиптик даярдоо  чөйрөсүнө Жогорку сот акыйкаттыгы мектеби жана судьялар кеңешинде  тематикалык конференциялар жана семинарлар</t>
  </si>
  <si>
    <t>Угуучуларды  тандоо  боюнча  уюштуруу иш-чаралары</t>
  </si>
  <si>
    <t xml:space="preserve"> Окуу стандарттарын жана   программаларын иштеп чыгуу жана актуалдаштыруу</t>
  </si>
  <si>
    <t xml:space="preserve"> Комплекстүү программаны окутууну киргизүү</t>
  </si>
  <si>
    <t>Талапкерлерди окутуу үчүн окуу китептерин, окуу куралдарын актуалдаштыруу</t>
  </si>
  <si>
    <t xml:space="preserve"> Аудитордук фондду көбөйтүү</t>
  </si>
  <si>
    <t xml:space="preserve"> Аудиторияларда  видеобайкоо системасын киргизүү</t>
  </si>
  <si>
    <t>Китепканага  окуу куралдарын, лекциялык материалдарды киргизүү</t>
  </si>
  <si>
    <t>Талапкерлерди тестирлөө жол-жоболору уюштуруу</t>
  </si>
  <si>
    <t xml:space="preserve"> Кыргыз Республикасынын Жогорку сотуна караштуу сот департаменти</t>
  </si>
  <si>
    <t>Жалпы жетекчиликти камсыздоо</t>
  </si>
  <si>
    <t>Финансылык менеджмент жана эсепке алууну камсыз кылуу</t>
  </si>
  <si>
    <t>Укуктук колдоо</t>
  </si>
  <si>
    <r>
      <t xml:space="preserve">Кыргыз Республикасында жергиликтүү соттордун натыйжалуулугун, ачыктыгын, көз карандысыздыгын жогорулатуу                                                               </t>
    </r>
    <r>
      <rPr>
        <i/>
        <sz val="11"/>
        <color theme="1"/>
        <rFont val="Times New Roman"/>
        <family val="1"/>
        <charset val="204"/>
      </rPr>
      <t>Программанын максаты:Кыргыз Республикасынын сот системасына карата ишенемдик жогорулатуу</t>
    </r>
  </si>
  <si>
    <t>Соттордун имараттарынын коопсуздугун камсыздоо жана сактоо</t>
  </si>
  <si>
    <t>КР соттор кеңешинин жана соттор кеңешине караштуу тартиптик комиссиянын ишин камсыздоо</t>
  </si>
  <si>
    <t>Сот адилеттүүлүгүн  ишке ашыруу</t>
  </si>
  <si>
    <t xml:space="preserve">Жергиликтүү соттордун судьяларынын кызматкерлеринин кесиптик деңгээлин тийиштүү түрдө камсыз кылуу </t>
  </si>
  <si>
    <t xml:space="preserve">Cот аткаруучуларынын  ишин камсыздоо </t>
  </si>
  <si>
    <t>Аткаруучу өндүрүшүнүн институтунун ишин камсыз кылуу</t>
  </si>
  <si>
    <t>Сот актыларын автоматташтырылган бөлүштүрүү (АРД)</t>
  </si>
  <si>
    <t>Сот арачылар институтун киргизүү</t>
  </si>
  <si>
    <t>Тышкы байкоо системасын киргизүү</t>
  </si>
  <si>
    <t>Күзөт кызматын киргизүү (сот ортомчулары)</t>
  </si>
  <si>
    <t xml:space="preserve">Сот имараттарындагы коопсуздукту жана күзөттү камсыз кылуу </t>
  </si>
  <si>
    <t>ЖМК, БӨУ  жарандык коомдун маалымдуулугун жогорулатуу боюнча ишти камсыз кылуу</t>
  </si>
  <si>
    <t>Сот адилеттүүлүгүн ишке ашыруу</t>
  </si>
  <si>
    <t>Сот өндүрүшү процессинин  ыкчамдуулугун камсыздоо</t>
  </si>
  <si>
    <t xml:space="preserve"> Маалымат алмашуу системасын түзүү жана  маалыматтык жана техникалык коопсуздук системасын киргизүү</t>
  </si>
  <si>
    <t xml:space="preserve"> Иш-аракеттер чөйрөсүн кеңейтүү жана сот иштеринин  бөлүштүрүүнүн автоматташтырылган системасын модернизациялоо жана судьялар ортосунда  материалдарды бөлүштүрүү</t>
  </si>
  <si>
    <t>Сот  арачыларынын институтун киргизүү</t>
  </si>
  <si>
    <r>
      <t xml:space="preserve">Пландоо, башкаруу жана администрациялоо                                                                                                                             
</t>
    </r>
    <r>
      <rPr>
        <i/>
        <sz val="11"/>
        <rFont val="Times New Roman"/>
        <family val="1"/>
        <charset val="204"/>
      </rPr>
      <t>Программанын максаты: Башка программаларды ишке ашырууга координациялануучу жана уюштуруучу таасирлер</t>
    </r>
  </si>
  <si>
    <t xml:space="preserve">Координациялоо жана жалпы жетекчиликти камсыз кылуу </t>
  </si>
  <si>
    <t>Адам ресурстарын башкаруу</t>
  </si>
  <si>
    <t>18. Кыргыз Республикасынын Шайлоо жана референдумдарды өткөрүү боюнча Борбордук комиссиясы</t>
  </si>
  <si>
    <t>Президенттин, КР ЖКнын депутаттарын,  жергиликтүү кеңештердин  депутаттарын, жергиликтүү өз алдынча башкаруунун аткаруучу органдарынын башчыларын шайлоолорду жана референдумдарды  даярдоо жана өткөрүү</t>
  </si>
  <si>
    <t xml:space="preserve">19. Кыргыз Республикасынын Башкы прокуратурасы </t>
  </si>
  <si>
    <t>Тышкы байланыштарды жана коомчулук менен байланыштарды колдоо</t>
  </si>
  <si>
    <t>Ишти камсыз кылуу кызматын уюштуруу</t>
  </si>
  <si>
    <t>Ички иликтөөлөрдү жүргүзүү</t>
  </si>
  <si>
    <t>Балдарды коргоо боюнча мыйзамдардын аткарылышы үчүн көзөмөл.</t>
  </si>
  <si>
    <t xml:space="preserve">Оперативдик-ыкчам иликтөө ишин тергөөнү ишке ашыруучу органдардын мыйзамдардын сакталышы үчүн көзөмөл. </t>
  </si>
  <si>
    <t>Ички иштер органдарынын тергөө жана ыкчам-издөө иш-чараларын жана жазанын аткарылышын көзөмөлдөө.</t>
  </si>
  <si>
    <t xml:space="preserve">  Аскер прокуратурасында жана улуттук коопсуздук органдарында  экономикалык кылмыштар жана иликтөөлөр боюнча мамлекеттик кызматтын органдарында изиктөө жна ыкчам иликтөө иштерине көзөмөл</t>
  </si>
  <si>
    <t>Экономикалык кылмыштуулукка мамлекеттик кызматынын тергөө жана ыкчам-издөө иш-чараларын жана бажы органдарынын ишине көзөмөл</t>
  </si>
  <si>
    <t xml:space="preserve">Мамлекеттик күнөөлөөнү жана сотто атынан чыгууну колдоону камсыз кылуу </t>
  </si>
  <si>
    <t>Сотто мамлекеттик айыптоону колдоо</t>
  </si>
  <si>
    <t xml:space="preserve"> Жарандардын кылмыш жана жарандык сот иштериндеги кайрылууларды кароо</t>
  </si>
  <si>
    <t xml:space="preserve"> Укуктук  статистика жана эсепке алууну камсыз кылуу</t>
  </si>
  <si>
    <t>20 Кыргыз Республикасынын Аскер прокуратурасы</t>
  </si>
  <si>
    <t xml:space="preserve">Пландоо, башкаруу жана  администрациялоо                                                                                                                            </t>
  </si>
  <si>
    <t xml:space="preserve">Финансылык жана  ресурстук камсыздоо </t>
  </si>
  <si>
    <t xml:space="preserve">Иш жөнүндө маалыматты камсыз кылуу, аткарууну контролдоо кадрларды уюштуруу жана ЖМК менен өз ара аракеттенүү </t>
  </si>
  <si>
    <t xml:space="preserve"> Аскер мыйзамдарын сактоо үчүн жалпы көзөмөлдү ишке ашыруу</t>
  </si>
  <si>
    <t xml:space="preserve"> Кыргыз Республикасында мыйзамдардын  так жана бирдей аткарылышына көзөмөл</t>
  </si>
  <si>
    <t>Мызамдарды жана аскер уставдарын аткарылышын көзөмөлдөө</t>
  </si>
  <si>
    <t>Куралдуу күчтөрүндө чыгарылган ченемдик актыларга ылайык келиши үчүн көзөмөл</t>
  </si>
  <si>
    <t>Куралдуу күчтөрдүн алдын алуу жана кылмыш иштерин ачуу</t>
  </si>
  <si>
    <t>Куралдуу күчтөрдөгү кылмыштарды жасаган адамдарга кылмыш ишин козгоо</t>
  </si>
  <si>
    <t xml:space="preserve"> Куралдуу күчтөрдө кылмыштардын алдын алуу</t>
  </si>
  <si>
    <t>Соттордо мамлекеттик күнөөлөөнү колдоо</t>
  </si>
  <si>
    <t>Соттордо мамлекеттик күнөөлөнү даярдоо жана көрсөтүү</t>
  </si>
  <si>
    <t>Бардыгы (контролдук цифралар)</t>
  </si>
  <si>
    <t>21.   Кыргыз Республикасынын Акыйкатчысы</t>
  </si>
  <si>
    <t xml:space="preserve">Иштерди уюштуруу жана камсыз кылуу кызматы </t>
  </si>
  <si>
    <t xml:space="preserve">Мониторинг жүргүзүүнү, талдоону жана стратегиялык пландоону камсыз кылуу    </t>
  </si>
  <si>
    <t xml:space="preserve">Региондук деңгээлде жалпы координациялоо </t>
  </si>
  <si>
    <t xml:space="preserve"> Адамдардын эркиндигин, укуктарын жана дискриминациялардын бардык формаларынын сакталышын контролдоо                                                                      </t>
  </si>
  <si>
    <t xml:space="preserve">Балдардын жана жаштардын укуктарын коргоо </t>
  </si>
  <si>
    <t xml:space="preserve">Укук коргоо органдары  тарабынан жер-жерлерде эркинен ажыратуу жана чектөө боюнча адам укуктарын сактоо </t>
  </si>
  <si>
    <t>Социалдык-экономикалык жана  маданий укуктарды коргоо</t>
  </si>
  <si>
    <t>Жарандык -саясий укуктарды жана мигранттардын укуктарын, чет өлкөлүк жарандардын укуктарын коргоо</t>
  </si>
  <si>
    <t xml:space="preserve"> Материалдык-техникалык базаны камсыз кылуу</t>
  </si>
  <si>
    <t>22 Кыргыз Республикасынын Юстиция министрлиги</t>
  </si>
  <si>
    <r>
      <t xml:space="preserve">Пландоо, башкаруу жана администрациялоо    </t>
    </r>
    <r>
      <rPr>
        <i/>
        <sz val="11"/>
        <rFont val="Times New Roman"/>
        <family val="1"/>
        <charset val="204"/>
      </rPr>
      <t xml:space="preserve">Программанын максаты башка программаларды ишке ашырууга координациялык жана уюштуруучу таасир                                                                              </t>
    </r>
    <r>
      <rPr>
        <b/>
        <sz val="11"/>
        <rFont val="Times New Roman"/>
        <family val="1"/>
        <charset val="204"/>
      </rPr>
      <t xml:space="preserve">                                        
</t>
    </r>
  </si>
  <si>
    <t>Каржылык башкаруу жана бухгалтердик эсеп менен камсыз кылуу</t>
  </si>
  <si>
    <t xml:space="preserve"> Адам ресурстарын башкаруу</t>
  </si>
  <si>
    <t xml:space="preserve"> Тышкы байланыштар жана коомчулук менен байланышты  колдоо</t>
  </si>
  <si>
    <t xml:space="preserve"> Ишти уюштурруу жана камсыздоо кызматы</t>
  </si>
  <si>
    <t xml:space="preserve"> Региондук деңгээлде  жалпы координациялоо </t>
  </si>
  <si>
    <t xml:space="preserve"> Ченемдик  укуктук , соттук-эксперттик, адвокаттык нотариалдык пробациялык иштин ченемдик, укуктук жөнгө салуу жаатындагы мамлекеттик саясаттын функцияларын ишке ашырууну камсыз кылуу</t>
  </si>
  <si>
    <t>Мамлекеттик каттоону ишке ашыруу, юридикалык жактардын ишин кайра каттоо жана каттоону токтотуу жана нотариалдык иштерди координациялоо КРда чыгыш документтерди апостилдөө</t>
  </si>
  <si>
    <t>Мыйзам долбоорлорунун  ишинин планын аткарууну, ченемдик укуктук актылардын долбоорлорун экспертизалоону  иштеп чыгууну координациялоо</t>
  </si>
  <si>
    <t xml:space="preserve">Мыйзамдык актылардын долбоорлорун экспертизалоо жана эл аралык келишимдердин жана макулдашуулардын долбоорлорун экспертизалоону ишке ашыруу </t>
  </si>
  <si>
    <t>ЧУАны мамлекеттик реестрине киргизүү жана укуктук маалыматтардын борбордоштурулган маалымат базасын түзүү</t>
  </si>
  <si>
    <t>Укуктук маалымат борборлоштурулган маалыматтар базасын (БМБ) түзүү</t>
  </si>
  <si>
    <t xml:space="preserve">Нотариалдык ишти ишке ашыруу </t>
  </si>
  <si>
    <t>Коомдон обочолонгон  кылмыш жазаларына байланышпаган кылмыш жазаларын  жана  белгиленген кылмыш-жаза мыйзамдары тартибинде кылмыштык-укуктук  мажбурлоочу чараларды жазык аткаруу мыйзам белгиленген тартипте мажбур кылуучу чараларды аткаруу, о.э белгилүү бир мөөнөткө эркинен ажыратуу түрүндө жазаларды өтөөдөн  шарттуу-мөөнөтүнөн мурда бошотулган адамдарга көзөмөл жүргүзүү</t>
  </si>
  <si>
    <t>Коомдон обочолонгон   кылмыш жазаларына байланышпаган  кылмыш жазаларын  жана  белгиленген кылмыш-жаза мыйзамдары тартибинде кылмыштык-укуктук  мажбурлоочу чараларды аткаруу</t>
  </si>
  <si>
    <t>Юридикалык  жактардын, филиал (өкүлчүлүк)  бирдиктүү мамлекеттик каттоону жүргүзүү</t>
  </si>
  <si>
    <t>Юридикалык  жактар, филиалдарынын (өкүлчүлүк) онлайн каттоону киргизүү жана иштетүү</t>
  </si>
  <si>
    <t xml:space="preserve"> Юридикалык жактардын, филиалдарынын (өкүлчүлүк) маалыматтар базасын өркүндөтүү жана актуалдаштырууну камсыз кылуу</t>
  </si>
  <si>
    <t xml:space="preserve"> Мамлекеттик кепилденген  юридикалык  жардамды ишке ашыруу</t>
  </si>
  <si>
    <t xml:space="preserve"> КТП жана ТТП кызматчыларын тейлөөнү ишке ашыруу</t>
  </si>
  <si>
    <t xml:space="preserve">23. Тышкы иштер министрлиги </t>
  </si>
  <si>
    <t>Экономикалык дипломатияны натыйжалуу илгерилетүү</t>
  </si>
  <si>
    <t xml:space="preserve">Кыргыз Республикасынын Тышкы иштер министрлигинин  Ош, Жалал-Абад жана Баткен областтарындагы Ыйгарым укуктуу өкүлчүлүгүнүн ишмердүүүлүгү </t>
  </si>
  <si>
    <t xml:space="preserve">Өзүнүн компетенциясынын алкагында Кыргыз Республикасынын тышкы саясий курсун натыйжалуу ишке ашырууга катышуу, ошондой эле эгемендүүлүктү, аймактык бүтүндүктү жана башка Кыргыз Республикасынын улуттук кызыкчылыктарын эл аралык мамилелерде коргоо </t>
  </si>
  <si>
    <t xml:space="preserve"> Кыргыз Республикасынын чет өлкөлөрдөгү мекемелеринин ишмердүүлүгү</t>
  </si>
  <si>
    <t xml:space="preserve">Барган өлкөсүнө карата Кыргыз Республикасынын бирдиктүү тышкы саясий курсун жүргүзүү,  ошондой эле дипломатиялык каражаттар менен  эгемендүүлүктү, аймактык бүтүндүктү жана башка Кыргыз Республикасынын улуттук кызыкчылыктарын эл аралык мамилелерде коргоо </t>
  </si>
  <si>
    <t xml:space="preserve">Барган өлкөсүндө  Кыргыз Республикасынын жарандарынын жана юридикалык жактарынын укуктарын жана кызыкчылыктарын коргоо  </t>
  </si>
  <si>
    <t>Кыргыз Республикасынын Тышкы иштер министрлигинин  Казы Дикамбаевич Дикамбаев атындагы Дипломатиялык академиясынын ишмердүүлүгү</t>
  </si>
  <si>
    <t>Эл аралык мамилелер жаатындагы ЖОЖдон кийинки жогорку кесиптик жана кошумча кесиптик билим берүүнү көрсөтүү</t>
  </si>
  <si>
    <t>24. Аймактардын резервдик жана башка фонду</t>
  </si>
  <si>
    <t>Аймактардын резервдик жана башка фонддор</t>
  </si>
  <si>
    <t>Ысык-Көл облусунун өнүктүрүү фонду</t>
  </si>
  <si>
    <t>Райондордун өнүктүрүү фонду</t>
  </si>
  <si>
    <t>Областтардын өнүктүрүү фонду</t>
  </si>
  <si>
    <t>Кыргыз Республикасынын Өкмөтүнүн облустардагы ыйгарым укуктуу өкүлүнүн резервдик фонду</t>
  </si>
  <si>
    <t>Акимдердин резервдик фонду</t>
  </si>
  <si>
    <t>Мамлекеттик-жеке өнөктөштүк долбоорун даярдоону каржылоо фонду</t>
  </si>
  <si>
    <t>25. Кыргыз Республикасынын Финансы министрлиги</t>
  </si>
  <si>
    <r>
      <t xml:space="preserve">Пландоо, башкаруу жана администрациялоо  </t>
    </r>
    <r>
      <rPr>
        <i/>
        <sz val="11"/>
        <rFont val="Times New Roman"/>
        <family val="1"/>
        <charset val="204"/>
      </rPr>
      <t>Программанын максаты: Бул стратегияга киргизилген башка программаларды ишке ашырууга координациялоочу жана уюштуруучу таасир берүүлөр</t>
    </r>
  </si>
  <si>
    <t xml:space="preserve">Жалпы жетекчиликти камсыздоо </t>
  </si>
  <si>
    <t>Финансылык менеджментти  жана эсепке алууну камсыз кылуу</t>
  </si>
  <si>
    <t xml:space="preserve">Тышкы  байланыштарды жана коомчулук менен байланыштарды  колдоо </t>
  </si>
  <si>
    <t>Ишти уюштуруу жана камсыз кылуу кызматы</t>
  </si>
  <si>
    <t>Мамлекеттик финансыларды  натыйжалуу  башкаруу маселелери боюнча  мамлекеттик башкаруу жана жергиликтүү өз алдынча башкаруу органдарынын  кызматкерлерин  кайра даярдоо жана  квалификациясын жогорулатуу</t>
  </si>
  <si>
    <r>
      <t xml:space="preserve">Бюджетти түзүү, жана бюджеттин  теңдештирүүнүн  жана туруктуулугун камсыз кылуу.                                                        
</t>
    </r>
    <r>
      <rPr>
        <i/>
        <sz val="11"/>
        <color theme="1"/>
        <rFont val="Times New Roman"/>
        <family val="1"/>
        <charset val="204"/>
      </rPr>
      <t xml:space="preserve">Программанын максаты: Бюджеттин ачыктуулугун жогорулатуу жана реалдуу бюджетти даярдоо, бюджеттин киреше бөлүгүнүн болжолун жакшыртуу жана бюджеттик иш-чаралардын наркын аныктоо. </t>
    </r>
  </si>
  <si>
    <t>Бюджеттөөнүн программалык - максаттуу ыкмаларын ишке киргизүү жана  республикалык  бюджеттин чыгашаларын талдоо</t>
  </si>
  <si>
    <t xml:space="preserve">Республикалык  бюджеттин  ресурстук базасын талдоо жана баалоо </t>
  </si>
  <si>
    <t>Капиталдык чыгашаларды жана  дем берүүчү (үлүштүк) гранттарды пландоо</t>
  </si>
  <si>
    <t>Жергиликтүү бюджетти  пландоо жана аткаруунун мониторинги</t>
  </si>
  <si>
    <t xml:space="preserve">Жергиликтүү бюджетти пландоодо жана аткарууда пландык, пландан тышкары жана тематикалык текшерүүлөрдү жүргүзүү </t>
  </si>
  <si>
    <t>Жергиликтүү бюджеттин  бюджеттик отчеттуулугун автоматташтыруу</t>
  </si>
  <si>
    <r>
      <t xml:space="preserve">Мамлекеттик карызды башкаруу                                                                                                                                              </t>
    </r>
    <r>
      <rPr>
        <i/>
        <sz val="11"/>
        <rFont val="Times New Roman"/>
        <family val="1"/>
        <charset val="204"/>
      </rPr>
      <t xml:space="preserve">Программанын максаты: Кыргыз Республикасынын  мамлекеттик карызынын туруктуулугу </t>
    </r>
  </si>
  <si>
    <t>Орто мөөнөттүү келечекте тышкы карыздын туруктуулугун колдоо</t>
  </si>
  <si>
    <t xml:space="preserve">Мамлекеттик карыз алуунун булагы  катары  мамлекеттик баалуу кагаздар рыногунун потенциалын күчөтүү </t>
  </si>
  <si>
    <t xml:space="preserve">Бюджеттик ассигнованиелер, бюджеттик милдеттемелердин лимиттери жана кассалык пландар жөнүндө маалыматты колдонуучулардын кызыккандарга чейин билдирүү </t>
  </si>
  <si>
    <t>Санкциялаштыруу жана  төлөмдү ишке ашыруу</t>
  </si>
  <si>
    <t>Мамлекеттик бюджетти аткаруу тууралуу  отчеттуулукту түзүү</t>
  </si>
  <si>
    <t>Кыргыз Республикасынын бюджетти аткаруунун кассалык тейлөөсүнө  байланышкан, жеке эсеп-четту киргизүү жана башка кызматтарды берүү</t>
  </si>
  <si>
    <r>
      <t xml:space="preserve">Баалуу металлдар жана асыл таштар, алардан жасалган зер буюмдар  менен операциялар боюнча  мамлекеттик саясатты ишке ашыруу. </t>
    </r>
    <r>
      <rPr>
        <i/>
        <sz val="11"/>
        <color indexed="8"/>
        <rFont val="Times New Roman"/>
        <family val="1"/>
        <charset val="204"/>
      </rPr>
      <t>Программанын максаты: Кыргыз Республикасынын аймагында  баалуу металлдар жана асыл таштар  менен  операцияларды  натыйжалуу  мамлекеттик контролду жана жөнгө салууну уюштуруу.</t>
    </r>
  </si>
  <si>
    <t xml:space="preserve">Кыргыз Республикасынын аймагында  баалуу металлдар жана асыл таштар  менен  операцияларга  мамлекеттик контролдоону жана  көзөмөлдү ишке ашыруу </t>
  </si>
  <si>
    <t xml:space="preserve">Баалуу металлдардан жана асыл таштардан жасалган  зер жана башка буюмдарды  эн тамгалоо боюнча пробирдик  кызматтарды көрсөтүү </t>
  </si>
  <si>
    <r>
      <t xml:space="preserve">Мамлекеттик  финансыларды башкаруунун мониторинги жана  аудити                                                                                                   </t>
    </r>
    <r>
      <rPr>
        <i/>
        <sz val="11"/>
        <color indexed="8"/>
        <rFont val="Times New Roman"/>
        <family val="1"/>
        <charset val="204"/>
      </rPr>
      <t>Программанын максаты: Финансылык башкарууну жана контролдоону өркүндөтүү</t>
    </r>
  </si>
  <si>
    <t>Ички аудитти ишке ашыруу</t>
  </si>
  <si>
    <t xml:space="preserve">Тийиштүү жылга  коррупцияга каршы иш-аракеттер боюнча  иш-чаралар планын ишке ашыруу </t>
  </si>
  <si>
    <t>Сатып алуучу уюмдарга жана жабдып жеткирүүчүлөргө (подрядчыларга)  методологиялык жана  консультациялык жардам көрсөтүү</t>
  </si>
  <si>
    <t xml:space="preserve">Кыргыз Республикасынын Финансы министрлигинин  маселелери боюнча  мамлекеттик программаларды  аткаруунун мониторинги </t>
  </si>
  <si>
    <t xml:space="preserve">Программалык бюджеттештирүү боюнча методологиялык базаны өркүндөтүү </t>
  </si>
  <si>
    <t xml:space="preserve">Салыктык эмес кирешелерди өркүндөтүү жана тескөө </t>
  </si>
  <si>
    <t>Сатып алуунун натыйжалуу системасын камсыз кылуу</t>
  </si>
  <si>
    <t xml:space="preserve">Мамлекеттик сатып алуулардын  методологиялык жана ченемдик базасын өнүктүрүү </t>
  </si>
  <si>
    <t xml:space="preserve">Кыргыз Республикасынын мамлекеттик сатып алуулар расмий порталын өнүктүрүү </t>
  </si>
  <si>
    <t xml:space="preserve">Квалификацияны жогорулатуу боюнча иш-чаралар жана Кыргыз Республикасынын   мамлекеттик башкаруу секторундагы  ички аудит жана бухгалтердик эсеп боюнча адистердин  квалификациясын жогорулатууну уюштуруу </t>
  </si>
  <si>
    <t>Кыргыз Республикасынын мамлекеттик секторунда ички аудит системасын өнүктүрүүнү баалоо жана мониторинг,  консультациялык колдоо көрсөтүү.</t>
  </si>
  <si>
    <r>
      <t xml:space="preserve">Экономикалык өсүш үчүн шарттарды түзүү                                                                                                                           </t>
    </r>
    <r>
      <rPr>
        <i/>
        <sz val="11"/>
        <color indexed="8"/>
        <rFont val="Times New Roman"/>
        <family val="1"/>
        <charset val="204"/>
      </rPr>
      <t xml:space="preserve">Программанын максаты: Мамлекеттик заемдук каражаттарды кайтаруу </t>
    </r>
  </si>
  <si>
    <t xml:space="preserve">Мамлекеттик заемдук каражаттарга мониторингди, эсепке алууну жана талдоону ишке ашыруу </t>
  </si>
  <si>
    <t>Инфраструктуралык долбоорлорду ишке ашыруу</t>
  </si>
  <si>
    <t>Мамлектеттик инвестициялардын долбоорлорун ишке ашыруу</t>
  </si>
  <si>
    <t>26. Кыргызской Республикасынын Финансы министрлиги</t>
  </si>
  <si>
    <r>
      <t xml:space="preserve">Пландоо, башкаруу жана  админстрациялоо                                                                                                                                                </t>
    </r>
    <r>
      <rPr>
        <i/>
        <sz val="11"/>
        <rFont val="Times New Roman"/>
        <family val="1"/>
        <charset val="204"/>
      </rPr>
      <t xml:space="preserve">Программанын максаты: Бирдиктүү төлөөчү катары ММК фондун институционалдык жактан күчтөндүрүү. Башка программаларды жүзөгө ашырууга координациялык жана уюштуруучулук таасир этүү </t>
    </r>
  </si>
  <si>
    <t>Бирдиктүү төлөөчү тутумунун консолидацияланган бюджетин пландоону камсыздоо, бекитүү  жана аткаруу</t>
  </si>
  <si>
    <t>КРӨгө караштуу ММК фондунун бюджети боюнча эсеп жана отчеттуулукту камсыз кылуу</t>
  </si>
  <si>
    <t>Бирдиктүү төлөөчү тутумунда саламаттык сактоо уюмдары тарабынан көрсөтүлүүчү медициналык кызматтардын сапатын контролдоону камсыз кылуу</t>
  </si>
  <si>
    <t xml:space="preserve">Бирдиктүү төлөөчү тутумунда каражаттардын максаттуу жана рационалдуу пайдаланылышына контролдоону камсыз кылуу </t>
  </si>
  <si>
    <t xml:space="preserve">ММК фонду тарабынан жүзөгө ашырылуучу программалардын алкагында медициналык кызмат алуудагы укуктары тууралуу калктын маалымдуулугун жогорулатуу боюнча ишти камсыз кылуу </t>
  </si>
  <si>
    <t>ММК фондунан дарыланып чыккан учурлары боюнча маалыматтар базасын коштоону камсыздоо, ДП ММК ПГГ сапатка экспертиза, келишимдердин индикаторлору, ишеним телефондору</t>
  </si>
  <si>
    <t xml:space="preserve">Ачык-айкындуулукту жана отчеттуулукту күчөтүү максатында,  медициналык кызматтарды стратегиялык сатып алуулардын алкагында маалымат технологияларын өнүктүрүү </t>
  </si>
  <si>
    <t xml:space="preserve">Уюмдардын ишмердигин жана камсыз кылуу кызматын камсыз кылуу </t>
  </si>
  <si>
    <t xml:space="preserve">Региондук  денгээлде жалпы координация </t>
  </si>
  <si>
    <t xml:space="preserve">Республиканын калкына шашылыш (тез) медициналык жардамдын жеткиликтүүлүгүн камсыз кылуу </t>
  </si>
  <si>
    <t xml:space="preserve">Баштапкы медициналык-санитардык жардамдын (БМСЖ)деңгээлинде  республиканын калкынын базалык медициналык кызматтарга жеткиликтүүлүгүн камсыз кылуу </t>
  </si>
  <si>
    <t xml:space="preserve">Баштапкы медициналык-санитардык жардам кызматынын уюмдары тарабынан көрсөтүлүүчү кургак учук менен күрөшүү боюнча медициналык жардамга жеткиликтүүлүктү камсыз кылуу  </t>
  </si>
  <si>
    <t xml:space="preserve">Республиканын калкынын МКП боюнча женилдетилген дары-дармекке болгон жеткиликтүүлүгүн камсыз кылуу  (терминалдык стадиядагы онкологиялык оорулуулар;  параноялык шизофрения менен ооругандарды; ар түрдүү генездеги аффективдүү бузулуулар; талма; бронхиалдык астма менен ооругандар) </t>
  </si>
  <si>
    <t xml:space="preserve">Республиканын камсыздандырылган калкынын ММК боюнча жеңилдетилген дары-дармекке жеткиликтүүлүгүн камсыз кылуу </t>
  </si>
  <si>
    <t xml:space="preserve">Калкка Мамлекеттик кепилдиктер программасынын көлөмүнөн тышкары акы төлөнүүчү медициналык кызматтарды көрсөтүүнү камсыз кылуу                                                                </t>
  </si>
  <si>
    <t>Медициналык мекемелер тарабынан стационардык деңгээлде кызмат көрсөтүү                                                                                       Программанын максаты: Стационардык деңгээлде кепилденген медициналык жардам көрсөтүүнүн сапатын жана натыйжалуулугун  жогорулатуу</t>
  </si>
  <si>
    <t xml:space="preserve">МКПнын алкагында стационардык жардамдын деңгээлинде республиканын калкынын медициналык кызматттарга жеткиликтүүлүгүн камсыз кылуу </t>
  </si>
  <si>
    <t xml:space="preserve">Стационардык деңгээлдеги саламаттык сактоо уюмдары тарабынан көрсөтүлүүчү кургак учукка каршы медициналык жардамга жеткиликтүүлүктү камсыз кылуу </t>
  </si>
  <si>
    <t xml:space="preserve">Адистештирилген онкологиялык жана гематологиялык жардамдын деңгээлинде медициналык кызматтарга жеткиликтүүлүктү камсыз кылуу </t>
  </si>
  <si>
    <t xml:space="preserve">Адистештирилген кардиохирургиялык жардамдын деңгээлинде медициналык кызматтарга жеткиликтүүлүктү камсыз кылуу </t>
  </si>
  <si>
    <t xml:space="preserve">Адистештирилген психиатриялык жардамдын деңгээлинде медициналык кызматтарга жеткиликтүүлүктү камсыз кылуу </t>
  </si>
  <si>
    <t xml:space="preserve">Уюмдун  ишмердигинин сапатынын максаттуу көрсөткүчтөрүнө жетишкендиги үчүн өбөлгөлөөчү төлөмдөрдү төлөө жолу менен калкка медициналык жардам көрсөтүүнүн сапатын жакшыртуу </t>
  </si>
  <si>
    <r>
      <t xml:space="preserve">Калкка МКПнын көлөмүнөн тышкары көрсөтүлүүчү  медициналык жана башка кызматтарга жеткиликтүүлүктү камсыз кылуу                                                                                                                                                    </t>
    </r>
    <r>
      <rPr>
        <i/>
        <sz val="11"/>
        <rFont val="Times New Roman"/>
        <family val="1"/>
        <charset val="204"/>
      </rPr>
      <t>Программанын максаты: Менчигинин түрүнө карабастан саламаттык сактоо уюмдары тарабынан кеңири спектрдеги кызмат көрсөтүү аркылуу жарандардын канааттангандыгын жогорулатуу</t>
    </r>
  </si>
  <si>
    <t xml:space="preserve">Терминалдык стадиядагы өнөкөт бөйрөк оорусу менен ооруган, жеке менчик медициналык борборлордо акы төлөнүүчү дарылоодогу жана мамлекеттик саламаттык сактоо уюмдарында толук бюджеттик  гемодиализге которууну күтүп жаткан, курч муктаж болгон бейтаптардын жеңилдетилген гемодиализ менен дарылоого жеткиликтүүлүгүн  камсыз кылуу, ошондой эле  гемодиализ кызматын  алууда бейтаптардын чыгымын кыскартуу максатында  </t>
  </si>
  <si>
    <t>Камсыздандырууну түзүү үчүн запастар</t>
  </si>
  <si>
    <t>Саламаттыкты сактоо жана колдоо үчүн каражаттар</t>
  </si>
  <si>
    <t>"Онкологиялык кызматты колдоо фонду" коомдук фондунун каражаты</t>
  </si>
  <si>
    <t>Баардыгы ММКФ боюнча</t>
  </si>
  <si>
    <t>а.и. республикалык бюджеттен ассигнование</t>
  </si>
  <si>
    <t>Социалдык фонд</t>
  </si>
  <si>
    <t xml:space="preserve">Бюджеттик каражаттардын эсебинен пенсиялык камсыздоо жана компенсация </t>
  </si>
  <si>
    <t xml:space="preserve">Пенсиянын базалык бөлүгүн камсыздоо </t>
  </si>
  <si>
    <t xml:space="preserve">Пенсионерлерге электр энергиясы үчүн компенсация төлөө </t>
  </si>
  <si>
    <t xml:space="preserve">Аскер кызматчыларын пенсия менен камсыздоо, ички иштер органдарынын кызматкерлерине жана алардын үй-бүлөсүнө бир жолку жөлөк пул төлөө </t>
  </si>
  <si>
    <t xml:space="preserve">Калктын айрым категорияларын жеңилдиктүү (мөөнөтүнөн мурда)  пенсия менен камсыздоо жана пенсияга үстөк акыны төлөө </t>
  </si>
  <si>
    <t>Жалпы мамлекеттик  программалар</t>
  </si>
  <si>
    <t>Экспорттук жана импорттук ишканаларды каржылоо</t>
  </si>
  <si>
    <t>МИ "Электрондук өз ара борбору"</t>
  </si>
  <si>
    <t>Кыргыз Республикасында мамлекеттик тилди жана тил саясатын өркүндөтүү, өнүктүрүү боюнча мамлекеттик программаны ишке ашыруу</t>
  </si>
  <si>
    <t>Электрондук экономика</t>
  </si>
  <si>
    <t>Кыргыз Республикасынын региондорун өнүктүрүү  боюнча</t>
  </si>
  <si>
    <t>Коопсуз шаар</t>
  </si>
  <si>
    <t>Эл аралык уюмдарга тɵлɵмдɵр</t>
  </si>
  <si>
    <t>Мамлекеттик карыз</t>
  </si>
  <si>
    <t>КНС ордун толтуруу жана  кайтарып берүү</t>
  </si>
  <si>
    <t>Соттун чечимдеринин аткарылышын камсыздоо</t>
  </si>
  <si>
    <t>Банктын кызматынын  төлөмдөру</t>
  </si>
  <si>
    <t xml:space="preserve"> Бюджеттик кредиттерди башкаруу МА</t>
  </si>
  <si>
    <t>Коммерциялык банктардын пайыздык ченемдерин субсидиялоо</t>
  </si>
  <si>
    <t>Чек арага жакын аймактарды өнүктүрүү</t>
  </si>
  <si>
    <t>ААК "Улуттук Ипотекалык компаниясы"</t>
  </si>
  <si>
    <t>Мамлекеттик программалар, иш-чаралар жана төлөмдөр</t>
  </si>
  <si>
    <t>Капиталдык салымдар</t>
  </si>
  <si>
    <t>Табигый кырсыктан жабыр чеккендерге карата иш чаралар</t>
  </si>
  <si>
    <t>Социалдык тɵлɵмдɵрду жогорулатуу</t>
  </si>
  <si>
    <t>Тендɵɵчу гранттар</t>
  </si>
  <si>
    <t>Максаттуу трансферттер</t>
  </si>
  <si>
    <t>Түрткү берүүчү гранттар</t>
  </si>
  <si>
    <t xml:space="preserve">Жергиликтүү бюджеттен республикалык бюджетке которулган мекемелер </t>
  </si>
  <si>
    <t xml:space="preserve">Райондук бюджеттен республикалык бюджетке которулган мекемелер </t>
  </si>
  <si>
    <t>Мамлекеттик бюджеттик резерв</t>
  </si>
  <si>
    <t>Япония утурлама  фонду</t>
  </si>
  <si>
    <t>27. Маалыматтык технологиялар улуттук борбору</t>
  </si>
  <si>
    <t>Пландоо, башкаруу жана   администрациялоо</t>
  </si>
  <si>
    <t>Мониторингди, талдоону жана   стратегиялык пландоону камсыз кылуу</t>
  </si>
  <si>
    <t xml:space="preserve">финансылык  менеджментти жана эсепти камсыз кылуу  </t>
  </si>
  <si>
    <t xml:space="preserve">Квалификацияны жогорулатуунун кыска мөөнөттүү курстарынын мазмунун даярдоо </t>
  </si>
  <si>
    <t xml:space="preserve">Квалификацияны жогорулатуу окуу  процессин уюштуруу </t>
  </si>
  <si>
    <t>Окутуучулук  ресурстарды башкаруу</t>
  </si>
  <si>
    <t xml:space="preserve">Тарамдык жана компьютердик жабдуулардын үзгүлтүксүз иштөөсүн жана сакталышын камсыздоо </t>
  </si>
  <si>
    <t xml:space="preserve">Квалификацияны жогорулатуунун кыска мөөнөттүү курстарынын окутуучуларынын квалификациясын жогорулатуу </t>
  </si>
  <si>
    <t xml:space="preserve">Эл аралык тесттик борборлордун авторизацияланган кесиптик сертификациялоо боюнча  экзамендерди уюштуруу  </t>
  </si>
  <si>
    <t xml:space="preserve">Тесттик компьютердик жабдуулардын үзгүлтүксүз иштөөсүн жана сакталышын камсыздоо </t>
  </si>
  <si>
    <r>
      <rPr>
        <b/>
        <sz val="11"/>
        <color indexed="8"/>
        <rFont val="Times New Roman"/>
        <family val="1"/>
        <charset val="204"/>
      </rPr>
      <t xml:space="preserve">Тарамдык жана компьютердик инфраструктураны тейлөө боюнча кызмат көрсөтүү </t>
    </r>
    <r>
      <rPr>
        <sz val="11"/>
        <color indexed="8"/>
        <rFont val="Times New Roman"/>
        <family val="1"/>
        <charset val="204"/>
      </rPr>
      <t xml:space="preserve"> Программанын максаты: МТ-кызмат көрсөтүүлөр  аутсорсингин өнүктүрүү  </t>
    </r>
  </si>
  <si>
    <t xml:space="preserve">Эл аралык кызматташуунун Япон агенттигинин тарамдык инфраструктурасын администрациялоо жана  компьютердик жабдууларды тейлөө  </t>
  </si>
  <si>
    <t xml:space="preserve">Борбордук Азия илимий-билим берүү тарамынын тарамдык операциялык борборунун күнү-түнү иштөөсүн уюштуруу </t>
  </si>
  <si>
    <t xml:space="preserve">Илимий-изилдөөчүлүк иш, жогорку билим жана кошумча кесиптик билим жаатында алектенген адамдар үчүн эл аралык роумингдик сервисти киргизүү жана өнүктүрүү </t>
  </si>
  <si>
    <t xml:space="preserve"> Изилдөөчүлүк  жана  билим берүү иденттүүлүк федерациясын бириктирүүчү эл аралык федералдык кызматты киргизүү жана өнүктүрүү </t>
  </si>
  <si>
    <t xml:space="preserve">Тарамдык операциялык борбордун иши үчүн жооптуу кызматкерлердин квалификациясын жогорулатуу </t>
  </si>
  <si>
    <t xml:space="preserve">Кыргыз илимий-билим берүү компьютердик тарамдын мүчө ЖОЖдорунун инженерлери жана тарамдык администраторлору үчүн квалификацияны жогорулатуу курстарын уюштуруу  </t>
  </si>
  <si>
    <t>Баардыгы (контролдук сандар)</t>
  </si>
  <si>
    <t>28 Кыргыз Республикасынын Экономика  министрлиги</t>
  </si>
  <si>
    <t>Экономика министрлигинин ички потенциалын күчөтүү.                                                                            Пландаштыруу, башкаруу жана администрациялоо</t>
  </si>
  <si>
    <r>
      <rPr>
        <sz val="11"/>
        <rFont val="Times New Roman"/>
        <family val="1"/>
        <charset val="204"/>
      </rPr>
      <t xml:space="preserve"> Программаны максаты: </t>
    </r>
    <r>
      <rPr>
        <i/>
        <sz val="11"/>
        <rFont val="Times New Roman"/>
        <family val="1"/>
        <charset val="204"/>
      </rPr>
      <t xml:space="preserve">УЧР өнүктүрүү аркылуу министрликтин потенцалын өнүктүрүү, жумушчу процесстерди оптималдаштыруу жана  системаны өркүндөтүү.Башка прог ишке ашыруу координациялоо жана уюштуруучу таасири. </t>
    </r>
  </si>
  <si>
    <t xml:space="preserve"> Финансылык менеджментти  жана эсепке алууну камсыздоо,укуктук колдоо жана экспертизалоо, ошондой эле коомчулук менен байланышты колдоо,</t>
  </si>
  <si>
    <t xml:space="preserve"> Министрликтин ишинин уюштуруу-техникалык ишин камсыздоо, ошондой эле  кызматкерлерин окутуу жана квалификацияларын жогорулатуу</t>
  </si>
  <si>
    <t>Программанын максаты:  Экономиканын жана бизнес  субьекттеринин ишинин ошондой эле салык салуу базасынын өсүшүнүн артыкчылыктуу чөйрөсүн активдештирүү үчүн ченемдик -укуктук  жагымдуу чөйрөнү түзүү жана акылга сыярлык реформаларды жүргүзүү</t>
  </si>
  <si>
    <t>Ишкердикти өнүктүрүү жана салыктык башкарууну өркүндөтүү үчүн жагымдуу салыктык климатты камсыздоо.</t>
  </si>
  <si>
    <t>Салык мыйзамдарынын өзгөрүшүнүн таасирин талдоо жана салык чарасын баалоо</t>
  </si>
  <si>
    <t>Бажы жол-жоболорун жөнөкөйлөтүү маселелерин жөнгө салуучу Евразия экономикалык союзунун бажы мыйзамдарынын талаптарын имплементациялоо.</t>
  </si>
  <si>
    <t>Карызкордун өндүрүшүн сактап калуу максатында банкроттук чыңдоочу жол-жоболорду колдонуу чараларын ишке ашыруу</t>
  </si>
  <si>
    <t xml:space="preserve">Өлкөнүн инвестициялык климатын жакшыртуу  ошондой эле чет өлкөлүк инвестицияларды тартуу үчүн жагымдуу шарттарды түзүү </t>
  </si>
  <si>
    <t>Эл аралык  рейтингдерде өлкөнүн позициясын жакшыртуу</t>
  </si>
  <si>
    <t>Ишкердик иш чөйрөсүндөгү тийиштүү ЧУАларды кабыл алуу жолу менен жагымдуу ишкер чөйрөсүн түзүү (Ишкердик ишин өнүктүрүү жана колдоо, жөнгө салуучулук таасир талдоо системасында (ЖСТТ),  лицензиялык-уруксат берүү жана контролдук-көзөмөлдөө чөйрөлөрүндө   жаңы ыкмаларды киргизүү)</t>
  </si>
  <si>
    <t>Монополияга каршы жөнгө салуу чөйрөсүндөгү ЧУА  өркүндөтүү , атаандаштыкты өнүктүрүү , керектөөчүлөрдүн жана жарнама жаатында укуктарын коргоо,  баалык жөнгө салуу</t>
  </si>
  <si>
    <t xml:space="preserve"> КР МЖИ алкагында  инстиуционалдык базаны  өркүндөтүү </t>
  </si>
  <si>
    <t>Макроэкономикалык  саясат, стратегиялык пландоо жана  донордук координациялоо</t>
  </si>
  <si>
    <t xml:space="preserve">Программанын максаты: Макроэкономикалык өсүштүн, экономикада инвестициялардын динамикалуу өсүшүнүн туруктуулугун камсыздоо жана аларды пайдалануунун натыйжалуулугун жогорулатуу, ошондой эле өлкөнүн туруктуу өнүгүүсүн пландаган стратегиялык бирдиктүү системасын жана ишкердикти активдүү өнүктүрүү үчүн жагымдуу шарттарды түзүү.  </t>
  </si>
  <si>
    <t>Инвестициялык жагымдуулукту жогорулатуу жана  МЖӨ алкагында долбоорлорду алдыга жылдыруу</t>
  </si>
  <si>
    <t>Донордук жардамды баалоо жана мониторингди координациялоо натыйжалуулугун жогорулатуу</t>
  </si>
  <si>
    <t>Мамлекеттик материалдык резервдин .  чөйрөсүндө ченемдик укуктук базасын өркүндөтүү,мамлекеттик материалдык резервге материалдык  баалуулуктардын  топтоо нормасын жыл сайын тактоо</t>
  </si>
  <si>
    <t>Керектөөчүлөрдүн укуктардын коргоо жатаындагы монополияга каршы мыйзамдарды жакшыртуу жана керекөөчүлөрдүнр укуктардын координациялоо иштерин өткөрүүнү рекламалоо</t>
  </si>
  <si>
    <t>Стратегиялык пландоону камсыздоо.  Өлкөнүн жана региондордун экономикасын туруктуу өнүктүрүүнү камсыздоого багытталган мамлекетик иш чараларды иштеп чыгуу</t>
  </si>
  <si>
    <t>Жашыл экономиканын принциптерин илгерилетүү</t>
  </si>
  <si>
    <t>Региондорду комплекстүү өнүктүрүүнүн  бирдиктүү саясатын иштеп чыгууга өбөлгө көрсөтүү, анын ичинде  экономикалык болжолдору түзүү</t>
  </si>
  <si>
    <t xml:space="preserve">КР Эл аралык  гранттык жана   техникалык жардам долбоорлорунун монитрингдөө жана натыйжалуулугун баалоо </t>
  </si>
  <si>
    <t xml:space="preserve">Экспортун географиясын  товарлардын номенклатурасын кеңейтүү менен туруктуу өсүштү камсыздоо. </t>
  </si>
  <si>
    <t>Ата мекндик товарлар экспортун илгерилетүүгө өбөлгө түзүү</t>
  </si>
  <si>
    <t>КР чет өлкөлөр соода экономика кызматташтыгы Өкмөт аралык комиссиянын жыйынын өткөрүү аркылуу тышкы экономикалык кызматашууну өнүктүрүүнү камсыздоо</t>
  </si>
  <si>
    <t>Техникалык тоскоолдуктардыкыскартуу жана  экспорттук потенциалдыактивдеширүү үчүн ЧУА түзүү. Халал индустрияны түзүү</t>
  </si>
  <si>
    <t>Ишкердик субъекттери арасында    продукцияны керктөөчүлөр    ТС/ЕАЭСтехникалык регламенти белгилеген талаптары жана эрежелери жөнүндө маалыматтык түшүндүрүү иштерин жүргүзүү</t>
  </si>
  <si>
    <t xml:space="preserve">Дүйнөлүк соода уюму алдында Кыргыз Республикасынын эл аралык милдеттенмелеринин сакталышын камсыздоо  жана КР катышуусун көп тараптуу соода системасы натыйжалуу пайдалануу </t>
  </si>
  <si>
    <t>"Бирдиктүү терезе "принциби боюнча тышкы экономикалык иш боюнча кызматары көрсөтүү</t>
  </si>
  <si>
    <t>Эл аралык жана европа нормалары менен улуттук стандарттарды гармонизациялоо деңгээлин жогорулатуу  жана  мамлекети  жана жарандарды өлчөө натыйжаларынын так эмес кесептеттеринен  коргоо</t>
  </si>
  <si>
    <t xml:space="preserve">Мамлекеттик кызмат көрсөтүүлөрдүн бирдиктүү реестри ,аткаруу бийлиги органарынын системасын ишин баалоо / аткаруу бийлигинин органдарынын ишин баалоо системасынын мамлекеттик кызмат көрсөтүүлөрдүн бирдиктүү реестри </t>
  </si>
  <si>
    <t xml:space="preserve"> Программаны максаты: Мамлекеттик кызмат көрсөтүүлөр чөйрөсүндөгү ЧУА укуктук базасын өркүндөтүү, аткаруу бийлигинин орган жана жергилктүү өз алдынса башкарууну иин баалоо </t>
  </si>
  <si>
    <t>Баардыгы: (контролдук цифралар)</t>
  </si>
  <si>
    <t>Натыйжалуулук индикаторлору</t>
  </si>
  <si>
    <t>Бардык программалар боюнча эмгек акыга чыгашалардын суммасына карата 001 программа боюнча эмгек акыга чыгашалардын катышы</t>
  </si>
  <si>
    <t>Калктын ишеним индекси</t>
  </si>
  <si>
    <t>Бюджетти тартип бузуусуз аткаруу пайызы</t>
  </si>
  <si>
    <t>Эмгек талаш-тартыштарs боюнча утуп алган сот процессинин үлүшү</t>
  </si>
  <si>
    <t>Утуп алган сот иштеринин алардын санына карата катышы</t>
  </si>
  <si>
    <t>Министрликтердин/ведомстволордун ЖМКда оң эскертүүлөрдүн саны</t>
  </si>
  <si>
    <t>Борбордук аппаратынын кызматкерлеринин жалпы санынан камсыз кылуу кызматтарынын кызматкерлеринин үлүшү</t>
  </si>
  <si>
    <t>№ 172 "Арген" балдар бакчасына барган балдардын саны</t>
  </si>
  <si>
    <t>Кызматтык автомашиналардын саны</t>
  </si>
  <si>
    <t>Кабыл алынган мыйзам долбоорлорунун жалпы санында депутаттар тарабынан демилгеленген мыйзам долбоорлорунун үлүшү</t>
  </si>
  <si>
    <t>Жогорку Кеңештин ишинин жумуш айынын саны  (каникул жана эс алуу күндөрүн кошпогондо)</t>
  </si>
  <si>
    <t>Шайлоочулардын кайрылууларын карап чыгуунун орточо мөөнөтү</t>
  </si>
  <si>
    <t>Парламентке бюджеттин чыгашаларынын ИДПнын номиналдык көлөмүндөгү үлүшү</t>
  </si>
  <si>
    <t>Туруктуу иштеген депутаттардын штаттык бирдиктердин саны</t>
  </si>
  <si>
    <t xml:space="preserve">  Кеңеш  өткөргөн  жыйындардын саны</t>
  </si>
  <si>
    <t>Жогорку Кеңеш тарабынан кабыл алынгандардын санынан Президент тарабынан кол коюлган мыйзамдардын үлүшү</t>
  </si>
  <si>
    <t xml:space="preserve">100 депутат-күндө кабыл алынган токтомдордун саны </t>
  </si>
  <si>
    <t>Парламент тарабынан кабыл алынган бир ченемдик актыга  бюджеттин чыгашасы</t>
  </si>
  <si>
    <t xml:space="preserve">100 депутат -күн үчүн Президент тарабынан кол коюлган мыйзамдардын саны </t>
  </si>
  <si>
    <t xml:space="preserve">Кызматташуу жөнүндө кол коюлган документтердин саны </t>
  </si>
  <si>
    <t>Кыргыз Республикасынын Өкмөтүнө калктын ишеним индекси</t>
  </si>
  <si>
    <t xml:space="preserve">Депутаттардын суроо-талаптарын аткаруу </t>
  </si>
  <si>
    <t xml:space="preserve"> Республикалык бюджеттин жалпы чыгашаларына карата бюджеттик чара боюнча  чыгашаларынын катышы</t>
  </si>
  <si>
    <t>Камсыздуулуктун  толуктугу</t>
  </si>
  <si>
    <t xml:space="preserve"> Финансылык  жардам көрсөтүүгө чыккан буйруктардын саны</t>
  </si>
  <si>
    <t xml:space="preserve"> Бузуусуз бюджетти аткаруу үлүшү</t>
  </si>
  <si>
    <t>КР Өкмөтүнүн демилгеси боюнча кабыл алынган ченемдик-укуктук актылардын саны</t>
  </si>
  <si>
    <t>Тейленүүчү  сметалардын саны</t>
  </si>
  <si>
    <t xml:space="preserve">Уюштурулган  протоколдук  иш чаралардын саны </t>
  </si>
  <si>
    <t>Мамлекеттик мекемелердин саны</t>
  </si>
  <si>
    <t>Даярдалган сыйлыктардын саны</t>
  </si>
  <si>
    <t xml:space="preserve"> Адамдардын саны</t>
  </si>
  <si>
    <t>Мамлекеттик маанилүү иш-чаралардын саны</t>
  </si>
  <si>
    <t xml:space="preserve">Жылдык бюджеттин жалпы суммасынан салыштырма салмак % </t>
  </si>
  <si>
    <t>Бузууларсыз бюджетти аткаруунун пайызы</t>
  </si>
  <si>
    <t>Уюмдардын жалпы суммасына карата атайын каражаттардын үлүшү</t>
  </si>
  <si>
    <t xml:space="preserve"> Республикалык бюджет, анын ичинде тейленүүчү. Эсебинен  тейленүүчү автомашиналардын саны</t>
  </si>
  <si>
    <t>-  K77КР Президенттин  Аппараты</t>
  </si>
  <si>
    <t>- K79 КР Өкмөтүнүн Аппараты</t>
  </si>
  <si>
    <t>- КРӨ Иш башкармасы</t>
  </si>
  <si>
    <t>- K83АТК  жана меймандар</t>
  </si>
  <si>
    <t xml:space="preserve"> Атайын каражаттар эсебинен тейленүүчү автомашиналардын саны,а.и.</t>
  </si>
  <si>
    <t>- министрликтер жана   ведомстволор</t>
  </si>
  <si>
    <t>- КБ ИБ</t>
  </si>
  <si>
    <t>- АТК  жана меймандар</t>
  </si>
  <si>
    <t>Балдардын  саны</t>
  </si>
  <si>
    <t xml:space="preserve"> Мамлекеттик протоколдун иш чараларын тейлөө саны</t>
  </si>
  <si>
    <t xml:space="preserve"> КР ЖК бардык программалар боюнча эмгек акыга чыгашалардын суммасына карата 001 программа боюнча эмгек акыга чыгашалардын катышы</t>
  </si>
  <si>
    <t xml:space="preserve"> Жогорку соттун аппаратынын кызматкерлеринин кызматтык милдеттерине байланыштуу  бузуулардын саны</t>
  </si>
  <si>
    <t>Эмгектик талаш-тартыштар боюнча жеңип чыккан сот процессинин үлүшү</t>
  </si>
  <si>
    <t>Жогорку деңгээлдеги жолугушуулардын жана меймандарды кабыл алуунун саны</t>
  </si>
  <si>
    <t>Жогорку деңгээлдеги эл аралык иш чараларга судьлардын  иш сапарынын саны</t>
  </si>
  <si>
    <t>ЖМК Жогорку соттун оң эскертүүлөрүнүн саны</t>
  </si>
  <si>
    <t xml:space="preserve"> Жогорку соттун борбордук аппаратынын кызматкерлеринин жалпы санын камсыздоо кызматынын кызматкерлеринин үлүшү </t>
  </si>
  <si>
    <t xml:space="preserve"> Жергиликтүү   соттордун сапатсыз  сот адилетсиздигинин  себеби боюнча кайтарылган иштердин саны</t>
  </si>
  <si>
    <t>Жергиликтүү соттордун сапатсыз сот  адилетсиздигинин  себеби боюнча жокко чыгарылган иштердин саны</t>
  </si>
  <si>
    <t xml:space="preserve"> Аянты боюнча белгиленген стандарттарга КР ЖС имараттарын шайкеш келтирүү: ооба / жок</t>
  </si>
  <si>
    <t>Жабдуулар менен жабдылышы– 0-100%</t>
  </si>
  <si>
    <t>Жабдууларды колдоо</t>
  </si>
  <si>
    <t xml:space="preserve"> КР ЖС  аппаратынын  кызматкерлерин семинарлар жана жана башкалар менен камтуу </t>
  </si>
  <si>
    <t xml:space="preserve"> Жалпыланган  сот практикасынын саны</t>
  </si>
  <si>
    <t xml:space="preserve"> Сунуш киргизилген мыйзам долбоорлордун саны</t>
  </si>
  <si>
    <t xml:space="preserve"> Топтолгон  материалдардын саны</t>
  </si>
  <si>
    <t>Cудьяларга кол салуулардын саны</t>
  </si>
  <si>
    <t xml:space="preserve">Соттун имаратында жана аймагында  видеокамера/техникалык каражаттардын саны </t>
  </si>
  <si>
    <t>Оорулардын (оорунун, а.и. балдардын)  жана өргүмөлөрдүн себеби боюнча   жумушчу орундарда кызматкерлердин жок болуу күндөрүнүн саны</t>
  </si>
  <si>
    <t>КР ЖС  аппаратынын  кызматкерлери арасында коррупциялык көрүнүштөрдүн саны</t>
  </si>
  <si>
    <t xml:space="preserve"> sot.kg сайтында жарыяланган чечимдердин саны</t>
  </si>
  <si>
    <t xml:space="preserve"> КР ЖС сайтында уникуалдуу кароолордун саны</t>
  </si>
  <si>
    <t xml:space="preserve"> КРЖС соттордун ишиндеги  кызыкчылыктар кагылышына даттануулардын саны</t>
  </si>
  <si>
    <t xml:space="preserve"> КР ЖС сайтында  ЖМК (ТВ, радио, интернет, басма ж.б .) шилтемелердин жана илгерилөөлөрдүн саны</t>
  </si>
  <si>
    <t xml:space="preserve"> Процесстин катышуучуларынын, БӨУ тарабынан  КР ЖС  ишине карата даттануулардын саны</t>
  </si>
  <si>
    <t xml:space="preserve">Кыргыз Республикасынын Жогорку сотунун Конституциялык палатасынын бардык программалары боюнча  чыгашаларга карата 001 программасы боюнча эмгек акыга чыгашалардын катышы </t>
  </si>
  <si>
    <t>Эмгек жана финансылык тартип жөнүндө мыйзамдарды бузуулардын саны</t>
  </si>
  <si>
    <t>Финансылык тартип чөйрөсүндөгү мыйзамдарды бузуулардын саны</t>
  </si>
  <si>
    <t>Эмгек жөнүндө жана мамлекеттик кызмат чөйрөсүндөгү мыйзамдарды бузуулардын саны</t>
  </si>
  <si>
    <t xml:space="preserve">Конституциялык палатанын борбордук аппаратынын кызматкерлеринин жалпы санынын камсыз кылуу кызматынын кызматкерлеринин үлүшү </t>
  </si>
  <si>
    <t xml:space="preserve">KПга келип түшкөн кайрылуулардын жана КП судьяларынын жана аппараттын кызматкерлеринин кесиптик деңгээлин жогорулатууга багытталган иш-чаралардын саны </t>
  </si>
  <si>
    <t>Конституциялуулукту камсыз кылуу боюнча каралган иштердин саны</t>
  </si>
  <si>
    <t xml:space="preserve">КП өкүлдөрүнүн эл аралык иш-чараларда катышуусунун саны </t>
  </si>
  <si>
    <t>Эларалык конференцияларды  эки жылда 1 жолу өткөрүү</t>
  </si>
  <si>
    <t>Улуттук конференцияларды  эки жылда 1 жолу өткөрүү</t>
  </si>
  <si>
    <t>Стажировкадан өткөн кызматкерлердин саны</t>
  </si>
  <si>
    <t>Ачык-айкындуулукту камсыз кылууга багытталган иш-чараларды жана бул иш-чаралардын катышуучулары саны</t>
  </si>
  <si>
    <t>КП жана башка ЖМК сайтына жайгаштырылган материалдардын саны</t>
  </si>
  <si>
    <t>Катышуучулардын саны</t>
  </si>
  <si>
    <t>Чыгарылган продукциянын саны</t>
  </si>
  <si>
    <t>Конституциялык адилеттүүлүктүн автоматизация системасынын иштеши</t>
  </si>
  <si>
    <t>КР ЖС аппаратындагы кызматкерлердин арасындагы коррупциялардын саны</t>
  </si>
  <si>
    <t xml:space="preserve">КР жогорку сотунун окуу борборунун бардык программалары боюнча чыгашаларга  карата 001 программасы боюнча эмгек акыга чыгашаларынын катышы  </t>
  </si>
  <si>
    <t xml:space="preserve"> КР ЖС ВШП аппаратынын кызматкерлеринин кызматтык милдеттерине байланыштуу бузуулардын саны</t>
  </si>
  <si>
    <t xml:space="preserve"> КР ЖС ВШС  бузуусуз жана  себепсиз кармалууларсыз бюджетти аткаруунун пайызы  </t>
  </si>
  <si>
    <t xml:space="preserve"> Эмгек талаштары боюнча сот процесстеринин саны</t>
  </si>
  <si>
    <t xml:space="preserve"> ЖМК мекемелерге оң эскертүүлөрдүн саны</t>
  </si>
  <si>
    <t xml:space="preserve"> Соттук корпусунун  ачыктыгын жана кесипкөйлүгүн күчөтүү</t>
  </si>
  <si>
    <t>Кесипкөйлүк деңгээлин жогорулатуу</t>
  </si>
  <si>
    <t xml:space="preserve"> Сот системасынын кызматкерлеринин кесиптик маданиятынын деңгээлин жогорулатуу</t>
  </si>
  <si>
    <t>Төмөнкү сапат себеби боюнча жогорку инстанциядагы соттордун  ишин кайтаруу саны</t>
  </si>
  <si>
    <t>Тестирлөөгө талапкерлер алган орточо упай</t>
  </si>
  <si>
    <t>Окутулган талапкелердин саны</t>
  </si>
  <si>
    <t xml:space="preserve"> Окутулган талапкерлердин саны</t>
  </si>
  <si>
    <t xml:space="preserve"> Окуу процессинде (окутуучу, ошондой эле катышуучу тараптан) бузууларга даттануулардын саны</t>
  </si>
  <si>
    <t>Зарыл санга карата бекитилген программалардын үлүшү</t>
  </si>
  <si>
    <t>Зарыл болгон санга бекитилген стандарттардын үлүшү</t>
  </si>
  <si>
    <t>Киргизилген  комплекстүү программа</t>
  </si>
  <si>
    <t xml:space="preserve"> Зарыл болгон санга карата окуу  китептеринин жана куралдарынын актуалдуу үлүшү</t>
  </si>
  <si>
    <t xml:space="preserve"> Аудиториялардын аянты</t>
  </si>
  <si>
    <t xml:space="preserve"> Окуу процессин бузууда даттануулар саны ( окутуучулар, ошондой эле катышуучулар тарабынан)</t>
  </si>
  <si>
    <t>Китепкананы комплектациялоо</t>
  </si>
  <si>
    <t xml:space="preserve"> Тесттен өткөн талапкерлердин саны </t>
  </si>
  <si>
    <t xml:space="preserve"> КР жергиликтүү сотторго жана  Сот департаментинин сот өндүрүшү процессинин ишин  үзгүлтүксүз камсыздоо</t>
  </si>
  <si>
    <t xml:space="preserve"> Сот департаментинин бюджетинин ачыктыгын камсыздоо </t>
  </si>
  <si>
    <t xml:space="preserve"> КРЖС караштуу Сот департаментинин бюджетинин бузуусуз жана  негизсиз кармалуусуз аткарылышынын үлүшүнүн пайызы  </t>
  </si>
  <si>
    <t xml:space="preserve"> Эмгек талаштары боюнча утуп алынган сот процесстеринин үлүшү</t>
  </si>
  <si>
    <t>Утуп алынган сот процесстеринин жалпы санга карата катышы</t>
  </si>
  <si>
    <t>ЖМК мекемелерге оң эскертүүлөрдүн саны</t>
  </si>
  <si>
    <t xml:space="preserve"> Борбордук аппараттын жалпы санынан камсыздоо кызматынын кызматкерлеринин үлүшү</t>
  </si>
  <si>
    <t xml:space="preserve">  Тиешелүү жылга пландалган мамлекеттик максаттуу программанын иш-чараларын өз учурунда ишке ашыруу үлүшү </t>
  </si>
  <si>
    <t xml:space="preserve"> Дүйнөлүк экономикалык форумдун аттаандаштыкка жөндөмдүүлүктүн Глобалдык индексинин рейтингиндеги Кыргызстандын орду(а.и."соттордун көз карандысыздыгы" көрсөткүчү боюнча)</t>
  </si>
  <si>
    <t xml:space="preserve">Сот процесстеринин тараптарынын катышуучулары үчүн коопсуздукту камсыз кылуу </t>
  </si>
  <si>
    <t>КР сот системасын өнүктүрүүнүн артыкчылыктарын аныктоо / соттук өз алдынча башкаруу органдарынын потенциалын күчөтүү</t>
  </si>
  <si>
    <t xml:space="preserve"> Сот процесстеринин тараптарынын катышуучулары үчүн шарттарды түзүү / соттордун кызматтык жайлары үчүн бекитилген нормативдерге жооп берүүчү КР жергиликтүү соттору үчүн модернизацияланган жана жаңы курулган имараттардын саны</t>
  </si>
  <si>
    <r>
      <rPr>
        <b/>
        <sz val="11"/>
        <color theme="1"/>
        <rFont val="Times New Roman"/>
        <family val="1"/>
        <charset val="204"/>
      </rPr>
      <t>Маалыматтык системалар менен жабдылган соттордун саны  (видео жазуу жана  сот  процесстерин трансляциялоо, аудио жана видео протоколдоо ж.б.)</t>
    </r>
    <r>
      <rPr>
        <sz val="11"/>
        <color theme="1"/>
        <rFont val="Times New Roman"/>
        <family val="1"/>
        <charset val="204"/>
      </rPr>
      <t xml:space="preserve"> / Соттук териштирүүлөрдүн толук ачык-айкындыгы камсыз кылуу</t>
    </r>
  </si>
  <si>
    <t>Сот корпусунун ачыктыгын жана кесипкөйлүгүн күчөтүү</t>
  </si>
  <si>
    <t>Сот имараттарына техникалык каражаттарды жана коопсуздук системасын киргизүү</t>
  </si>
  <si>
    <t xml:space="preserve"> Сот чечимдеринин аткаруунун өз ара аракет моделин өркүндөтүү / сот чечимдерин аткаруунун үлүшүнүн көбөйүшү</t>
  </si>
  <si>
    <t xml:space="preserve"> Канааттандырылбаган сот иштери уюштурулду деп эсептелген жарандардын , анын ичинде сурамжылангандардын үлүшү </t>
  </si>
  <si>
    <t xml:space="preserve">  Жарандарга  реалдуу жеткиликтүүлүк жана квалификациялуу юридикалык жардам</t>
  </si>
  <si>
    <t xml:space="preserve"> Сот адилеттүүлүгүн  жүргүзүү сапатын жакшыртуу</t>
  </si>
  <si>
    <t>Соттордун саны,  сот иштеринин  тез   маалыматтык технологиялардын киргизүүлөрдүн тез чечилишин киргизүү</t>
  </si>
  <si>
    <t xml:space="preserve">Сот арачыларынын катышуусу менен соттук иштерди карай турган район аралык соттордун саны </t>
  </si>
  <si>
    <t xml:space="preserve"> Коомдук пикир, саясий партиялардын басымы менен чыгарылган чечимдердин үлүшү, каралган иштердин көлөмүндө(баалоо)</t>
  </si>
  <si>
    <t>Жергиликтүү соттордун судьялык корпустун комплекттөөнүн пайызы</t>
  </si>
  <si>
    <t>Маалыматтык ишти өткөрүү:  ЖМК чыгып сүйлөө (ТВ, радио, пресса)</t>
  </si>
  <si>
    <t>Сот өндүрүшүнүн жол -жоболорун сактабоого даттануулардын саны</t>
  </si>
  <si>
    <t xml:space="preserve"> Сот ситемасынын бирдиктүү сайтында ЖМК публикациялар саны:  бюджеттик системаны каржылоо жөнүндө,  судьялардын кирешелери жөнүндө   соттордун аппаратынын кызматкерлери</t>
  </si>
  <si>
    <t>Жалпы санда процессуалдык нормаларды бузуу себебинен сот токтомдорунун   жокко чыгарылган жана  өзгөртүлгөндөр үлүшү</t>
  </si>
  <si>
    <t xml:space="preserve">Жылына иштердин жалпы санына карата судьялар тарабынан четке кагылган, билдирилген жана канааттандырылган иштердин катышы </t>
  </si>
  <si>
    <t xml:space="preserve"> Соттордун токтомдорун реалдуу жана өз учурунда аткарылгандардын үлүшү  (кайтарылбаган   иштерди аткаруу үчүн  багытталган)</t>
  </si>
  <si>
    <t>Кызматтык милдеттер менен байланыштуу бузуулардын саны</t>
  </si>
  <si>
    <t xml:space="preserve"> Тиешелүү стандарттарга жана   санитардык нормаларга ылайык сотторунун саны</t>
  </si>
  <si>
    <t>Сот өндүрүшүнүн ченемдик  мөөнөттөрүн сактоо менен өткөрүлгөн иштердин саны</t>
  </si>
  <si>
    <t xml:space="preserve">Сот иштеринин автоматташташтырылган системасында  бөлүштүрүлгөн иштердин  үлүшү жана   жалпы иштердин санында судьялар ортосундагы материалдарды бөлүштүрүү.  </t>
  </si>
  <si>
    <t>Каралган иштердин жалпы санында сот арачыларынын сот чыгарылган чечимдеринин  үлүшү</t>
  </si>
  <si>
    <t>Каралаган иштердин жалпы санында сот арачылары  сотторунун чыгарылган чечимдеринин үлүшү</t>
  </si>
  <si>
    <t xml:space="preserve"> ЖК КР ЖК ЭП отчетун берүү </t>
  </si>
  <si>
    <t xml:space="preserve"> Иш чараларды каржылоону камсыз кылуу</t>
  </si>
  <si>
    <t xml:space="preserve"> Кызматкерлердин жалпы санына  жогорку балл менен ишти баалоо өткөн кызматкерлердин үлүшү (4,1-5) ;</t>
  </si>
  <si>
    <t xml:space="preserve">Жалпы кызматкерлердин  санынан  квалификациясын жогорулаткан кызматкерлердин үлүшү; </t>
  </si>
  <si>
    <t xml:space="preserve"> Ченемдик-укутук актылар долбоордун, доолбоорлодун ведомство аралык макулдашуулардын долбоорлорунун каралган саны</t>
  </si>
  <si>
    <t xml:space="preserve"> Эсептөө палатасынын Кеңешинин токомунун долбоорун каралган саны</t>
  </si>
  <si>
    <t>Укук коргоо  органдарынын,  прокуратура органдарынын  суроо-талаптарынын каралгандар саны</t>
  </si>
  <si>
    <t xml:space="preserve">Материалдык-техникалык камсыздоо </t>
  </si>
  <si>
    <t xml:space="preserve"> Пландалган  аудитордук иш чаралардын саны </t>
  </si>
  <si>
    <t xml:space="preserve">Пландалган аудитордук  иш-чаралардын  иш жүзүндө аткарылышынын % саны </t>
  </si>
  <si>
    <t xml:space="preserve">Бардык программалар боюнча эмгек акыга чыгашалардын суммасына карата 001 программа боюнча эмгек акыга чыгашалардын катышы </t>
  </si>
  <si>
    <t xml:space="preserve"> Бюджетти бузууларсыз аткаруунун пайызы </t>
  </si>
  <si>
    <t xml:space="preserve"> Эмгек талаштары боюнча  утулган сот процесстеринини үлүшү </t>
  </si>
  <si>
    <t>ЖМК мин. вед оң эскертүүлөр саны</t>
  </si>
  <si>
    <t>Кызматкерлдердин жалпы санынан камсыз кылуу кызматынын кызматкерлеринин  үлүшү</t>
  </si>
  <si>
    <t xml:space="preserve"> Жүргүзүлгөн иликтөөлөр, каралган даттануулар, козголгон кылмыш иштеринин саны</t>
  </si>
  <si>
    <t>Жүргүзүлгөн текш саны ( 2018 -ж бузууларды аныктоо),адм. жана   тартиптик  жаза менен жазаланган  адамдарды прокурордук байкоо  киргизүү актыларынын саны, зыянды байкоо акт боюнча  орду толтуруу суммасы.</t>
  </si>
  <si>
    <t>Жүргүзүлгөн текшерүүлөр саны ( 2018 -ж бузууларды аныктоо),адм. жана   тартиптик  жаза менен жазаланган  адамдарды прокурордук байкоо  киргизүү актыларынын саны, зыянды байкоо акт боюнча  орду толтурулган суммасы.</t>
  </si>
  <si>
    <t>Жүргүзүлгөн текшерүүлөр саны, кылмыш иштерин козгоодон баш тартуу текшерилген  материалдардын  саны, жаап коюлган кылмыш иштеринин саны, тергөөчүлөрдүн негизсиз чечимдеринин саны , киргизилген сунуштамалардын саны,кылмыш жоопкерчилигине  тартылган жазаланган укук коргоо органдарынын кызмат адамдарынын саны.</t>
  </si>
  <si>
    <t>Жүргүзүлгөн текшерүүлөр саны, кылмыш иштерин козгоодон баш тартуу текшерилген  материалдардын  саны, жаап коюлган кылмыш иштеринин саны, тергөөчүлөрдүн негизсиз чечимдеринин саны , киргизилген сунуштамалардын саны,кылмыш жоопкерчилигне  тартылган жазаланган укук коргоо органдарынын кызмат адамдарынын саны.</t>
  </si>
  <si>
    <t>Жүргүзүлгөн текшерүүлөр саны, кылмыш иштерин коүгоодон баш тартуу текшерилген  материалдардын  саны, жаап коюлган кылмыш иштеринин саны, тергөөчүлөрдүн негизсиз чечимдеринин саны , киргизилген сунуштамалардын саны,кылмыш жоопкерчилигне  тартылган жазаланган укук коргоо органдарынын кызмат адамдарынын саны.</t>
  </si>
  <si>
    <t xml:space="preserve"> Сот процесстеринде катышуулардын саны .  Биринчи инстанциядагы  күнөөлөөчү өкүмдөрдүн саны. Киргизилген аппеляциялык, кассациялык жана көзөмөлдүк сунуштар саны. Зыяндын доолору боюнча орду толтурулган сумма .</t>
  </si>
  <si>
    <t xml:space="preserve"> Сот процесстеринде катышуулардын саны .  Биринчи инстанциядагы  күнөөлөөчү өкүмдөрдүн саны. Киргизилген аппеляциялык, кассациялык жана  көзөмөлдүк сунуштар саны.Зыяндын доолору боюнча орду толтурулган сумма .. </t>
  </si>
  <si>
    <t xml:space="preserve"> Сот процесстеринде катышуулардын саны .  Биринчи инстанциядагы  күнөөлөөчү өкүмдөрдүн саны. Киргизилген аппеляциялык, кассациялык жана  көзөмөлдүк сунуштар саны.Зыяндын доолору боюнча орду толтурулган сумма ..  </t>
  </si>
  <si>
    <t xml:space="preserve">  Сот процесстеринде катышуулардын саны .  Биринчи инстанциядагы  күнөөлөөчү өкүмдөрдүн саны. Киргизилген аппеляциялык, кассациялык жана  көзөмөлдүк сунуштар саны.Зыяндын доолору боюнча орду толтурулган сумма .. </t>
  </si>
  <si>
    <t>Аскер кызматчыларынын ишеним индекси</t>
  </si>
  <si>
    <t>Бюджетти бузууларсыз аткаруунун проценти</t>
  </si>
  <si>
    <t>Жетектөөчү кадрлардын курамын жакшыртуу.  Отчёттук маалыматарды сапаттуу жана өз учурунда аткаруу  ЖМК жарыялоо</t>
  </si>
  <si>
    <t>Аскер мыйзамдары боюнча укук бузууларды азайтуу</t>
  </si>
  <si>
    <t xml:space="preserve">Аскер мыйзамдарын сактабоо боюнча жүргүзүлгөн текшерүүлөрдүн саны </t>
  </si>
  <si>
    <t xml:space="preserve">Командирлердин, начальниктердин иш аракеттерине даттануулардын жана арыздануулардын саны </t>
  </si>
  <si>
    <t>Иштелип чыккан ченемдик актылардын жалпы санынан кайра иштеп чыгууга кайтарылган ченемдик актылардын саны</t>
  </si>
  <si>
    <t>Куралдуу күчтөрүндө кылмыштардын ачылуу пайызын көбөйтүү</t>
  </si>
  <si>
    <t xml:space="preserve"> Куралдуу  күчтөрүндө кылмыш иштеринин ачылуу пайызын көбөйтүү</t>
  </si>
  <si>
    <t xml:space="preserve"> Кылмыштарды  профилактикалоо боюнча сабактан өткөн аскер кызматчыларынын саны (аскер кызматчыларынын жалпы санына)</t>
  </si>
  <si>
    <t>Аскер сотунун чечимдерин колдоого алган мамлекеттик күнөөлөлөр саны</t>
  </si>
  <si>
    <t>Соттордо кылмыш иштеринин каралган саны</t>
  </si>
  <si>
    <t xml:space="preserve"> Сот чечими колдоого алынган  мамлекеттик күнөөлөө саны</t>
  </si>
  <si>
    <t>Бюджетти укук бузууларсыз аткаруу пайызы</t>
  </si>
  <si>
    <t>Жеңип чыккан сот иштеринин алардын жалпы санына карата катышы</t>
  </si>
  <si>
    <t>Министрликтердин/ведомстволордун ЖМКдагы оң эскертүүлөрүнүн саны</t>
  </si>
  <si>
    <t xml:space="preserve">Борбордук аппаратынын кызматкерлеринин жалпы санынан  камсыз кылуу кызматынын кызматкерлеринин үлүшү </t>
  </si>
  <si>
    <t xml:space="preserve">Мамлекеттик органдардын жана ЖӨБ органдарынын таасир берүү актылары боюнча оң чечимдеринин үлүшү </t>
  </si>
  <si>
    <t xml:space="preserve">Региондордо адам укуктары боюнча жарандардын даттануу-кайрылууларынын үлүшү </t>
  </si>
  <si>
    <r>
      <rPr>
        <b/>
        <sz val="11"/>
        <rFont val="Times New Roman"/>
        <family val="1"/>
        <charset val="204"/>
      </rPr>
      <t xml:space="preserve">Жалпы арыз берүүчүлөрдүн санына карата Кыргыз Республикасынын Акыйкатчысы  аппаратынын кызмат көрсөтүүсүнөн канааттандырылгандардын санын көбөйтүү </t>
    </r>
    <r>
      <rPr>
        <sz val="11"/>
        <rFont val="Times New Roman"/>
        <family val="1"/>
        <charset val="204"/>
      </rPr>
      <t>(программа боюнча максаттуу индикатор)</t>
    </r>
  </si>
  <si>
    <t xml:space="preserve">Психиатриялык стационарларда бейтаптарды күтүү шарттарын жакшыртуу </t>
  </si>
  <si>
    <t>Балдардын, аялдардын, үй-бүлөлөрдүн укуктарын бузуу боюнча даттануулардын үлүшү  (бардык арыздардын жана даттануулардын жалпы санына карата)</t>
  </si>
  <si>
    <t xml:space="preserve">Жарандардын кайрылууларынан  жер-жерлерде эркинен ажыратуу жана чектөө боюнча оңунан чечилген маселелер </t>
  </si>
  <si>
    <t xml:space="preserve">Социалдык-экономикалык  укуктардын гендердик дискриминациясын бузуу боюнча даттануулардын үлүшү  (арыздар жана даттануулардын жалпы саны </t>
  </si>
  <si>
    <t>Мигранттардын,  чет өлкөлүк жарандардын укуктарын бузуу боюнча даттануулардын үлүшү</t>
  </si>
  <si>
    <t xml:space="preserve">Бюджетти мыйзам бузуусуз аткаруунун пайызы </t>
  </si>
  <si>
    <t xml:space="preserve"> Министрликке калктын ишеним  индекси</t>
  </si>
  <si>
    <t xml:space="preserve"> Бузууларсыз бюджети аткаруунун пайызы</t>
  </si>
  <si>
    <t xml:space="preserve">Мамлекеттик жарандык административдик кызматтардын бош орундарын ээлөө </t>
  </si>
  <si>
    <t>Окутуу жана  персонадын квалификациясын жогорулатуу</t>
  </si>
  <si>
    <t xml:space="preserve"> Мин-к/вед-в ЖМК оң эскертүүлөрүнүн саны </t>
  </si>
  <si>
    <t>КМШ кызматкерлеринин ШКУ мүчө-мамлекеттердин юстиция министрлеринин кеңешмесинин жыйынына жана КМШнын катышуучу мамлекеттеринин юстиция министрлеринин кеңешине катышуу үчүн КРЮМ кызматкерлеринин иш сапары  (Министр жана 2 эксперт)</t>
  </si>
  <si>
    <t xml:space="preserve"> ШКУ мүчө-мамлекеттеринин юстиция министрлеринин кеңешмесинин жыйынын өткөрүү (2018 -ж)  жана КР КМШ министр кеңеши, мүчө-малекеттери юстиция мсинистрлер кеңеши (2020 -ж  Кыргыз Республикасында).</t>
  </si>
  <si>
    <t xml:space="preserve"> Мыйзам актыларды экспертизалоо саны,  эл аралык келишимдердин долбоорунун саны.</t>
  </si>
  <si>
    <t xml:space="preserve"> Борбордук аппараттын кызматкерлерининин жалпы санынын камсыздоо кызматынын кызматкерлеринин үлүшү</t>
  </si>
  <si>
    <t>Аткаруу тартибинин  деңгээли</t>
  </si>
  <si>
    <t xml:space="preserve"> Мыйзамдык актыларды экспертизалоо саны, эл аралык келишимдердин долбоорунун саны ЧУАны кабыл алуунун саны</t>
  </si>
  <si>
    <t xml:space="preserve">Мамлекеттик каттоону, кайра каттоо саны жана юридикалык жактардын ишин токтотуу, нотариалдык аткарылган иш-аракеттер саны </t>
  </si>
  <si>
    <t xml:space="preserve"> Экспертиза сапатын жогорулатуу</t>
  </si>
  <si>
    <t xml:space="preserve">Иштелип чыккан ченемдик укуктук актылардын долбоорлорунун саны </t>
  </si>
  <si>
    <t xml:space="preserve">Мамлекеттик реестрге ЧУАларды киргизүү </t>
  </si>
  <si>
    <t xml:space="preserve">КР ченемдик укуктук актыларынын БМБдагы электрондук   версияларынын саны   </t>
  </si>
  <si>
    <t xml:space="preserve">Сапаттуу жана өз убагындагы кызмат көрсөтүү менен камсыз кылуу </t>
  </si>
  <si>
    <t xml:space="preserve">Апостилдик документтердин саны </t>
  </si>
  <si>
    <t>Мыйзамдаштырылган документтердин саны</t>
  </si>
  <si>
    <t xml:space="preserve">Мамлекеттик нотариалдык иштердин саны                                 </t>
  </si>
  <si>
    <t>Укук бузууну жзасаган жарандарды оңдоо жана кайра окутуу ошондой эле соттолгон адамдарды социалдык интеграциялоо</t>
  </si>
  <si>
    <t>Күрөөлүк бүтүмдөрдү каттоонун сапатын жогорулатуу</t>
  </si>
  <si>
    <t xml:space="preserve">Юрид жактардын филиалдардын (өкүлчүлүк) маалыматтар базасы боюнча иштерди көрсөтүү үчүн келишим боюнча IT адистерди тартуу </t>
  </si>
  <si>
    <t>Юрид жактардын филиал (өкүлчүлүк) маалыматтар базасы үчүн серверди сатып алуу</t>
  </si>
  <si>
    <t xml:space="preserve">Катталган документтерди оцифровкалоо үчүн  юстициянын аймактык органдарына  сканерди сатып алуу </t>
  </si>
  <si>
    <t xml:space="preserve"> Күрөөлүк бүтүмдөр саны</t>
  </si>
  <si>
    <t xml:space="preserve"> Юридикалык жардамдын көрсөтүлгөн саны</t>
  </si>
  <si>
    <t>Өз учурунда тейлөө чөйрөсүндө кызмат көрсөтүүнү ишке ашыруу</t>
  </si>
  <si>
    <t xml:space="preserve"> Өз учурунда  жана сапаттуу тейлөө деңгээли</t>
  </si>
  <si>
    <t>Кыргыз Республикасынын тышкы саясий курсун натыйжалуу ишке ашыруу</t>
  </si>
  <si>
    <t xml:space="preserve">Улуттук коопсуздукту дипломатиялык каражаттар менен камсыз кылуу  жана Кыргыз Республикасынын экономикалык жана социалдык саясатын ишке ашырууга катышуу </t>
  </si>
  <si>
    <t xml:space="preserve">Кыргыз Республикасында экспортту жана туристтик мүмкүнчүлүктөрдү илгерилетүү. Чет өлкөлүк инвестицияларды тартуу. Кыргыз Республикасынын экономикасына жаңы технологияларды жана инновацияларды тартуу </t>
  </si>
  <si>
    <t xml:space="preserve">Өзүнүн компетенциясынын алкагында Кыргыз Республикасынын тышкы саясий курсун натыйжалуу ишке ашырууга катышуу, ошондой эле эгемендүүлүктү, аймактык бүтүндүктү жана башка Кыргыз Республикасынын улуттук кызыкчылыктарын  коргоо </t>
  </si>
  <si>
    <t xml:space="preserve">Эл аралык мамилелер жаатындагы ЖОЖдон кийинки жогорку кесиптик жана кошумча кесиптик билим берүүнү көрсөтүү </t>
  </si>
  <si>
    <t>Министрликтин ведомство борбодук аппараты боюнча / эмгек акыга чыгашалардын суммасына карата 001 программасы боюнча эмгек акыга чыгашалардын катышы</t>
  </si>
  <si>
    <t>Ишеним индекси</t>
  </si>
  <si>
    <t xml:space="preserve">Бюджетти бузуусуз аткаруу пайызы </t>
  </si>
  <si>
    <t>Эмгек талаштары боюнча сот процессинин утуп алынган үлүлшү</t>
  </si>
  <si>
    <t>Уткан сот иштеринин жалпы санына катышы</t>
  </si>
  <si>
    <t>Министрликтин ведомствонун оң эскертүүлөрдүн саны</t>
  </si>
  <si>
    <t>Кызматкерлердин жалпы саны боюнча кызмат көрсөткөн кызматкерлердин үлүшү</t>
  </si>
  <si>
    <t>Угуучулардын саны</t>
  </si>
  <si>
    <t>Кыргыз Республикасынын Өкмөтүнүн жана Кыргыз Республикасынын Жогорку Кенешинин республикалык бюджеттин долбоорун өз убагында тапшыруу</t>
  </si>
  <si>
    <t>Программалык форматта берилген Республикалык бюджеттин чыгымдарынын үлүшү</t>
  </si>
  <si>
    <t>Бюджеттин ачык-айкындык индекси</t>
  </si>
  <si>
    <t xml:space="preserve">Кыргыз Республикасынын фискалдык саясатынын негизги багыттарын түзүү жана Кыргыз Республикасынын Өкмөтүнүн кеңешине берүү  </t>
  </si>
  <si>
    <t>Кыргыз Республикасынын фискалдык саясатынын негизги багыттарына карата бюджеттик чыгымдардын орто мөөнөттүү стратегиясына берилген министрликтердин жана ведомстволордун саны</t>
  </si>
  <si>
    <t>Республикалык кирешелеринин көлөмү</t>
  </si>
  <si>
    <t>Республикалык бюджеттен каржыланган бүткөрүлгөн обьектилердин саны</t>
  </si>
  <si>
    <t>Тартылган гранттык жардамдын көлөмү</t>
  </si>
  <si>
    <t>Жеңилдиктер негизинде тартылган кредиттик  каражаттардын көлөмү</t>
  </si>
  <si>
    <t>Бюджеттер аралык трансферттерди албаган Жергиликтүү бюджеттердин үлүшү</t>
  </si>
  <si>
    <t>Бюджеттер аралык трансферттерди албаган Жергилитүү бюджеттердин үлүшү</t>
  </si>
  <si>
    <t>(01.01.15 ж. 183,2 млн. 16751,1 млн дон бекитилген) Жергиликтүү бюджеттердин чыгымдардагы мөөнөтү өтүп кеткен кредитордук карыздардын үлүшү</t>
  </si>
  <si>
    <t>Жергиликтүү өзүн өзү башкаруу органдарын  бир жыл ичинде текшерүү саны</t>
  </si>
  <si>
    <t>Дем берүүчү грантттардын эсебинен каржылоо</t>
  </si>
  <si>
    <t>Фин башкармалыктын (үлүшү) жана жергиликтүү өз алдынча башкаруунун саны анда автоматташтырылган программалык камсыз кылуу колдонулат</t>
  </si>
  <si>
    <t>ИДП карата  мамлекеттик тышкы карыздын деңгээли</t>
  </si>
  <si>
    <t xml:space="preserve">Мамлекеттик  карыз боюнча  мөөнөтүнөн өтүп кеткен  карыздардын көлөмү </t>
  </si>
  <si>
    <t>Жаңы тышкы карыз алуулардын  жеңилдетилген деңгээли (% грант-элемент)</t>
  </si>
  <si>
    <t xml:space="preserve">Аукциондук негизде мамлекеттик баалуу кагаздарды чыгаруунун үлүшү </t>
  </si>
  <si>
    <t>Мамлекеттик баалуу кагаздардын жылдык эмиссиясынын жалпы структурасындагы 2 жылдан ашык жүгүртүү мөөнөтү менен мамлекеттик баалуу кагаздардын оң өсүшү</t>
  </si>
  <si>
    <t xml:space="preserve">Мамлекеттик  ички карыз боюнча  мөөнөтүнөн өтүп кеткен  карыздардын көлөмү </t>
  </si>
  <si>
    <t xml:space="preserve">Казыналыктын органдары тарабынан  бюджеттик ассигнованиелер, бюджеттик каражаттардын лимиттери жана кассалык пландар жөнүндө  маалыматтар берилген  республикалык бюджеттин БКА үлүшү </t>
  </si>
  <si>
    <t xml:space="preserve">Бюджеттик милдеттенмелерди эсепке алуу боюнча  республикалык бюджеттин чыгашаларынын   экономикалык  классификация беренелеринин үлүшү </t>
  </si>
  <si>
    <t xml:space="preserve">Бирдиктүү казыналык эсеп аркылуу  казыналыктын  органдары тарабынан  тейленүүчү БКБТ, БКА жана жергиликтүү өз алдынча  башкаруу  органдарынын  каражаттарынын үлүшү </t>
  </si>
  <si>
    <t>Мамлекеттик бюджетти аткаруу тууралуу ай сайын отчетту берүүнүн белгиленген мөөнөтү</t>
  </si>
  <si>
    <t>Мамлекеттик бюджетти аткаруу тууралуу  жылдык  отчетту берүүнүн белгиленген мөөнөтү</t>
  </si>
  <si>
    <t xml:space="preserve">Мамлекеттик бюджет боюнча  жылдык консолидацияланган бухгалтердик отчеттуулукту берүүнүн белгиленген  мөөнөтү </t>
  </si>
  <si>
    <t xml:space="preserve">Казыналыктын органдары  үчүн бюджет алуучулардын жеке  эсеп-чоттун  киргизүү  жана бюджетти аткарууда кассалык тейлөө менен байланышкан, башка кызматтарды  көрсөтүүнү ишке ашырылуучу, БКБТ (БКТ, БКА)  жана жергиликтүү өз алдынча башкаруу органдарынын үлүшү </t>
  </si>
  <si>
    <t xml:space="preserve">Жургүзүлгөн  текшерүүлөрдүн саны </t>
  </si>
  <si>
    <t xml:space="preserve">Жургүзүлгөн  текшерүүлөрдүн санынан  жеке жана юридикалык жактардан аныкталган  бузуулардын үлүшү </t>
  </si>
  <si>
    <t xml:space="preserve">Өндүрүлүп алынган  айыптардын көлөмү </t>
  </si>
  <si>
    <t xml:space="preserve">Пробирдик төлөмдү жыйноо боюнча  жылдык планды аткаруу </t>
  </si>
  <si>
    <t>Кыргыз Республикасынын Финансы министрлигинин расмий сайтында мониторингдин натыйжаларын жайгаштыруу</t>
  </si>
  <si>
    <t xml:space="preserve">Жүргүзүлгөн аудиттердин саны </t>
  </si>
  <si>
    <t>Берилген жардамга  сатып алуучу уюмдардын жана жабдып берүүчүлөрдүн (подрядчылар) канааттануу деңгээли</t>
  </si>
  <si>
    <t xml:space="preserve">Мамлекеттик программалардын мониторингдөө саны </t>
  </si>
  <si>
    <t xml:space="preserve">Бюджеттик программалардын натыйжалуулугун баалоону киргизүү </t>
  </si>
  <si>
    <t xml:space="preserve">Программалык  бюджеттештирүү боюнча иштеп чыккан/өркүндөтүлгөн нускамалык-методологиялык документтердин саны </t>
  </si>
  <si>
    <t xml:space="preserve">Кабыл алынган ченемдик укуктук актылардын саны Башкаруу маселелери боюнча ЧУАнын долбоорлоруна карата корутундуларды өз убагында кароо жана даярдоо </t>
  </si>
  <si>
    <t xml:space="preserve">PEFA "D" баалоо </t>
  </si>
  <si>
    <t xml:space="preserve">Департаментке   берилген маалыматтардын  жалпы санынан Мамлекеттик сатып алуулар  порталында  мамлекеттик сатып алуулар жөнүндө  жарыялардын үлүшү </t>
  </si>
  <si>
    <t xml:space="preserve">Сатып алуу процессиндеги  катышуучулардын  орточо саны  (берилген табыштамалардын жалпы санына  карата мамлекеттик сатып алуулар жөнүндө жарыялардын жалпы санына болгон  катышы) </t>
  </si>
  <si>
    <t xml:space="preserve">Жыл аралыгында Порталдын үзгүлтүксүз  иштешинин жалпы убактысы </t>
  </si>
  <si>
    <t xml:space="preserve">Ички аудит жана бухгалтердик эсеп боюнча окуудан өткөн адистердин саны                                    </t>
  </si>
  <si>
    <t>Ички аудит кызматтарынын тышкы баалоосу</t>
  </si>
  <si>
    <t xml:space="preserve">Калктын милдеттүү медициналык камсыздандыруу менен камтылышы </t>
  </si>
  <si>
    <t xml:space="preserve">Калктын ишеним индекси </t>
  </si>
  <si>
    <t xml:space="preserve">2018-2022-жылдарга карата  ММК фондунун өнүгүү стратегиясын жүзөгө ашыруу планынын индикаторлорун аткаруунун деңгээли </t>
  </si>
  <si>
    <t xml:space="preserve">Бирдиктүү төлөөчү тутумунун консолидацияланган бюджетинин планын аткаруу </t>
  </si>
  <si>
    <t>1С бухгалтерия автоматташтырылган эсеп менен саламаттык сактоо уюмдарын камтуу пайызы</t>
  </si>
  <si>
    <t xml:space="preserve">Баалоо картасы боюнча ОЗнын стационардык деңгээлинин ишинин сапатын баалоо жүргүзүлгөн ОЗ  саны  </t>
  </si>
  <si>
    <t xml:space="preserve">Баалоо картасы боюнча стационардык денгээлде  ишмердигинин сапатына баалоо жүргүзүлгөн саламаттык сактоо уюмдарынын саны </t>
  </si>
  <si>
    <t>Ички аудиттин корутундусунда көрсөтүлгөн сунуштардын жалпы санына карата саламаттык сактоо уюмдары тарабынан аткарылган сунуштардын катышы</t>
  </si>
  <si>
    <t xml:space="preserve">Өткөрүлгөн жолугушуулардын жана жалпыга маалымдоо каражаттарында жарыялоолордун саны       </t>
  </si>
  <si>
    <t xml:space="preserve">Таркатылган басма продукциясынын саны </t>
  </si>
  <si>
    <t xml:space="preserve">Маалыматтык жана социалдык роликтердин саны </t>
  </si>
  <si>
    <t xml:space="preserve">ММК фондунун коштоп жүрүүчү маалымат базаларынын саны </t>
  </si>
  <si>
    <t xml:space="preserve">Компьютерлер менен камсыз болгон жана интернетке жеткиликтүү саламаттык сактоо уюмдарынын үлүшү </t>
  </si>
  <si>
    <t xml:space="preserve">ММК фондунун негизги персоналынын жалпы санына карата кенже жана техникалык персоналдын санынын катышы </t>
  </si>
  <si>
    <t xml:space="preserve">Калктын ишеним индексинин орточо көрсөткүчү </t>
  </si>
  <si>
    <t xml:space="preserve">Саламаттык сактоо уюмдарында иш жүзүндө врачтардын санынын (жеке адам) штаттык ырааттама боюнча бекитилген врачтардын кызмат ордуна карата катышы </t>
  </si>
  <si>
    <t xml:space="preserve">Үй-бүлөлүк дарыгерлердин орточо эмгек акысынын республика боюнча врачтардын орточо эмгек акысына карата деңгээли </t>
  </si>
  <si>
    <t>Башка программалар боюнча жалпы чыгашаларынын үлүлшү. Бир тургунга ГСБ врачтарына карата врачтарына баруулардын саны</t>
  </si>
  <si>
    <t xml:space="preserve">ҮДТ дарыгерине каттагандардын саны 1 тургунга карата </t>
  </si>
  <si>
    <t xml:space="preserve">"Электрондук кезек" сервисин киргизген БМСЖК уюмдарынын үлүшү </t>
  </si>
  <si>
    <t xml:space="preserve">Медициналык тез жардам бригадаларынын иш жүзүндө санынын бекитилген санына  карата пайыздык шайкештиги </t>
  </si>
  <si>
    <t xml:space="preserve">Саны 1000 болгон калкка шашылыш мед. жардам бригадалары тарабынан тейленген чакыруулардын саны </t>
  </si>
  <si>
    <t xml:space="preserve">Төрөт үйүнөн чыккандан кийинки алгачкы үч күндө ҮДТда каттоого алынган ымыркайлардын үлүшү  (үйдө төрөлүп, кийин госпиталдаштырылбаган учурда - төрөттөн кийинки алгачкы  үч күн) </t>
  </si>
  <si>
    <t>Үй-бүлөлүк дарыгерге каттаган 1 жашка чейинки курактагы  балдардын пайыздык үлүшү (жалпы практика врачы), %</t>
  </si>
  <si>
    <t xml:space="preserve">Гипертония оорусу менен биринчи жолу катталган бейтаптардын саны, 100 миң сандагы калктын санына карата  </t>
  </si>
  <si>
    <t>Кош бойлуулугу боюнча кезекке турган аялдардын, алдын ала кароодон өткөн учурда аныкталган саны</t>
  </si>
  <si>
    <t>Профилактикалык текшерүүдөн өткөн 10 жашка чейинки балдардын үлүшү (мектеп, бала-бакчалардан)</t>
  </si>
  <si>
    <t>Профилактикалык текшерүүдөн байкалып санациядан өткөн 10 жашка чейинки балдардын үлүшү (мектеп, бала-бакчалардан)</t>
  </si>
  <si>
    <t xml:space="preserve">Баштапкы медициналык-санитардык жардамдын  пилоттук саламаттык сактоо уюмдарында амбулаториялык деңгээлде дарылоосу ийгиликтүү аяктаган кургак учук менен ооруган учурлардын саны   </t>
  </si>
  <si>
    <t xml:space="preserve">Амбулаториялык деңгээлде  МКП рецепттери боюнча сатылган дары-дармек каражаттарынын ордун толтуруунун деңгээли  </t>
  </si>
  <si>
    <t xml:space="preserve">Амбулаториялык деңгээлде  ММК рецепттери боюнча сатылган дары-дармек каражаттарынын ордун толтуруу деңгээли </t>
  </si>
  <si>
    <t xml:space="preserve">Калктан кошумча төлөм катары келип түшкөн каражаттардын жалпы көлөмүнөн БМСЖ уюмдарын өнүктүрүүгө  багытталган чыгымдардын үлүшү </t>
  </si>
  <si>
    <t>Госпиталдаштыруунун деңгээли 100 кишиге</t>
  </si>
  <si>
    <t>Канааттандыруу деңгээли (баалоо картасы боюнча)</t>
  </si>
  <si>
    <t>медикаменттер</t>
  </si>
  <si>
    <t>тамак аш</t>
  </si>
  <si>
    <t xml:space="preserve">Социалдык жеңилдиктер боюнча дарыланган калктын саны </t>
  </si>
  <si>
    <t>Негизсиз дарылангандарын деңгээли</t>
  </si>
  <si>
    <t xml:space="preserve">Медициналык көрсөткүчтөрү боюнча жеңилдетилген дарылоо жүргүзүлгөн калктын үлүшү </t>
  </si>
  <si>
    <t>Иш жүзүндө дарыланып чыккандардын макулдашылган планга карата катышы</t>
  </si>
  <si>
    <t>100,0%дан көп эмес</t>
  </si>
  <si>
    <t xml:space="preserve">Өбөлгөлөөчү төлөмдөр үчүн баалоо картасы боюнча ишинин сапатына баалоо жүргүзүлгөн саламаттык сактоо уюмдарынын саны </t>
  </si>
  <si>
    <t xml:space="preserve">Терминалдык стадиядагы бөйрөктүн өнөкөт оорусу менен ооруган жеңилдетилген гемодиализдик дарылоо менен камтылган бейтаптардын каттоодо турган бейтаптардын санына карата катышы </t>
  </si>
  <si>
    <t>Терминалдык стадиядагы өнөкөт бөйрөк оорусу менен ооруган, жеке менчик медициналык борборлордо акы төлөнүүчү дарылоодо болгон жана мамлекеттик саламаттык сактоо уюмдарында толук бюджеттик  гемодиализге которууну күтүп жаткан, курч муктаж болгон бейтаптардын саны</t>
  </si>
  <si>
    <t>Саламаттык сактоо уюмдары тарабынан көрсөтүлгөн ден соолук жана сергектик кызматтарды каржылоо үчүн бөлүнгөн каражаттардын жалпы суммасы ай сайын каржылоо кем эмес өлчөмүндө каржылык туруктуулук үлүшү</t>
  </si>
  <si>
    <t>Үлүшү коомдук саламаттык сактоо жана коомдук саламаттык сактоо уюмдарынын өнүгүшүнө колдоо үчүн бөлүнгөн</t>
  </si>
  <si>
    <t>ММК жалпы бекитилген бюджеттин бекитилген каражаттардын үлүшү онкология кызматына колдоо көрсөтүү үчүн</t>
  </si>
  <si>
    <t>Кымбат баалуу жабдууларды камсыз кылуу үчүн жөнөтүүчүлөрдүн менен түзүлгөн келишимдердин саны</t>
  </si>
  <si>
    <r>
      <rPr>
        <b/>
        <sz val="11"/>
        <rFont val="Times New Roman"/>
        <family val="1"/>
        <charset val="204"/>
      </rPr>
      <t xml:space="preserve">Натыйжалуулук индикатору </t>
    </r>
    <r>
      <rPr>
        <sz val="11"/>
        <rFont val="Times New Roman"/>
        <family val="1"/>
        <charset val="204"/>
      </rPr>
      <t xml:space="preserve">(Программа боюнча максаттуу индикатор) Республикалык бюджеттин эсебинен каржыланган пенсияларды төлөөнү кечеңдетүү боюнча бузуулардын саны  </t>
    </r>
  </si>
  <si>
    <t xml:space="preserve">Республикалык бюджеттин эсебинен каржыланган пенсияларды төлөөнү кечеңдетүү боюнча бузуулардын саны  </t>
  </si>
  <si>
    <t>Кирешелердин көбөйүү пайызы</t>
  </si>
  <si>
    <t xml:space="preserve">Бюджетти бузууларсыз аткаруу пайызы </t>
  </si>
  <si>
    <t xml:space="preserve">Бардык программалар боюнча эмгек акыга чыгашалардын суммасына карата 001  Программасы боюнча эмгек акыга чыгашаларынын катышы </t>
  </si>
  <si>
    <t xml:space="preserve">Курстардын жаңыланган материалдарынын уюштурулган курстардын жалпы санына катышы </t>
  </si>
  <si>
    <t xml:space="preserve">Квалификацияны жогорулатуу курстарынын катышуучуларынын жалпы саны </t>
  </si>
  <si>
    <t xml:space="preserve">Пландалган квалификацияны жогорулатуу курстарынын окутуучулук курам менен камсыздалуу пайызы  </t>
  </si>
  <si>
    <t xml:space="preserve">Жабдуулардын үзгүлтүксүз иштөөсүнө жана сакталышына таасир эткен өзгөчө жана авариялык кырдаалдардын саны </t>
  </si>
  <si>
    <t xml:space="preserve">Инструктор тарабынан алынган эл аралык үлгүдөгү сертификаттардын саны  </t>
  </si>
  <si>
    <t xml:space="preserve"> Сертификациялык экзамендердин катышуучуларынын саны </t>
  </si>
  <si>
    <t xml:space="preserve"> Сертификациялык  экзамендердин катышуучуларынын саны </t>
  </si>
  <si>
    <t>Үзгүлтүксүз иштөө пайызы</t>
  </si>
  <si>
    <t xml:space="preserve">Интернет менен үзгүлтүксүз камсыздоого баш тартуулардын катышы </t>
  </si>
  <si>
    <t xml:space="preserve">eduroam га кошулган илимий-билим берүү мекемелеринин саны </t>
  </si>
  <si>
    <t xml:space="preserve">edugain га кошулган илимий-билим берүү мекемелеринин саны </t>
  </si>
  <si>
    <t xml:space="preserve">Тарамдык операциялык борбордун кызматкерлери тарабынан эл аралык үлгүдөгү сертификаттарды алгандардын саны </t>
  </si>
  <si>
    <t xml:space="preserve">Квалификациясын жогорулатуу курстарынын катышуучуларынын саны </t>
  </si>
  <si>
    <t xml:space="preserve"> Натыйжалуулук индикаторлору</t>
  </si>
  <si>
    <t>Бюджетти аткаруу проценти</t>
  </si>
  <si>
    <t xml:space="preserve">Министрликтин мыйзам долбоорлуу иш планын аткаруу </t>
  </si>
  <si>
    <t xml:space="preserve">Түзүмдүк бөлүктөр тарабынан иштелип чыккан мыйзамдарды экспертизалоо </t>
  </si>
  <si>
    <t xml:space="preserve">Жеке жана юридикалык жактардын арыздарын жана кайрылууларын кароого министрликтин түзүмдүк бөлүктөрүнүн укуктук консультациясы </t>
  </si>
  <si>
    <t xml:space="preserve">Тармактык ЧУА жана министрликтин актыларын инвертизациялоо боюнча иш-чаралар </t>
  </si>
  <si>
    <t xml:space="preserve">Белгиленген тартипте товарларды, жумуштарды жана кызмат көрсөтүүлөрдү жана консультациялык кызмат көрсөтүүлөрдү сатып алууларды ишке ашыруу </t>
  </si>
  <si>
    <t xml:space="preserve">Бюджеттик каражаттардан окуудан өткөн кызматкерлер % </t>
  </si>
  <si>
    <t>Министрликтерге, Өкмөттүн Аппаратына жана  Президенттин Аппаратына аналитикалык каттарды даярдоо</t>
  </si>
  <si>
    <t>Бюллетендерди чыгаруу</t>
  </si>
  <si>
    <t xml:space="preserve">Ишкердикти өнүктүрүүнү жана салыктык администрациялоону өнүктүрүүнү колдоо үчүн кабыл алынган ЧУА саны </t>
  </si>
  <si>
    <t>Эсептешүүлөрдүн жана аналитикалык материалдардын саны</t>
  </si>
  <si>
    <t>Товарларды чыгаруу мөөнөтү</t>
  </si>
  <si>
    <t xml:space="preserve">Кош салык салуудан четтөө жөнүндө макулдашууга кол койгон жана ратификациялаган өлкөлөрдүн саны </t>
  </si>
  <si>
    <t xml:space="preserve">Эки тараптуу комиссиялардын жолугушуусун уюштуруу </t>
  </si>
  <si>
    <t xml:space="preserve"> Реструктуризациялоо, реабилитациялоо, санациялоо жана дүйнөлүк макулдашуулар колдонулган ишканалардын саны </t>
  </si>
  <si>
    <t>Өлкөнүн эл аралык рейтинги боюнча отчетту жыл сайын жаңыртуу жана жайгаштыруу  (Бизнес жүргүзүү жана эгемендүү рейтинги)</t>
  </si>
  <si>
    <t>ЧУА саны  (Концепциялар, токтомдор, мыйзамдар)</t>
  </si>
  <si>
    <t>Программалык иштеп чыгуу жана ишке киргизүү боюнча касыздоонун  багыты: оперативдик жана экономикалык</t>
  </si>
  <si>
    <t>Иштеп чыгылган ЧУА саны</t>
  </si>
  <si>
    <t>Министрликтердин  иш аракеттер/ милдеттенмелердин аткаруу проценти</t>
  </si>
  <si>
    <t>Бекитилген жана кабыл алынган  региондорду өнүктүрүү программасынын саны</t>
  </si>
  <si>
    <t>КР   эл аралык  гранттык жана  техникалык жардам  долбоорлрунун натыйжалуулугун баалоо методикасын иштеп чыгуу</t>
  </si>
  <si>
    <t xml:space="preserve"> КР Өкмөтү менен ФРГ Өкмөтүнүн ортосундагы 2019-2020 -жж. финансылык жана  техникалык кызматташтыгы жөнүндө  макулдашууга кол кюу</t>
  </si>
  <si>
    <t>Жыл сайынкыт  ЕБРР директорлор Кеңеши</t>
  </si>
  <si>
    <t>Долбоорлорду мониторингдөө</t>
  </si>
  <si>
    <t xml:space="preserve"> Товарларды эксполттоо көлөмүнүн өсүш темпи</t>
  </si>
  <si>
    <t>Өкмөт аралык комиссиянын алкагында  ишке ашкан макулдашуулардын саны</t>
  </si>
  <si>
    <t xml:space="preserve">Техникалык жөнгө салуу жана  метрология чөйрөсүндө ЧУА саны </t>
  </si>
  <si>
    <t xml:space="preserve"> Өкүлчүлүктүн катышуусу менен ДСУ органдары менен жумушучу жолугушуулар саны</t>
  </si>
  <si>
    <t>Тартылган ведомстволор "бирдиктүү терезе "принциби боюнча берилген  документер саны,  ички бизнес процесс толук  автоматизация толук өткөрүлгөн жерде"</t>
  </si>
  <si>
    <t>Бизнес кызыкчылыктарын коргоо максатында улуттук стандарттар негизинде  өкмөт аралык стандарттарды иштеп чыгуу</t>
  </si>
  <si>
    <t>Жарандарга жана юридикалык жактарга көрсөтүлүүчү кызматтардын сапаты жана жеткиликтүүлүгүн жогрулатуу</t>
  </si>
  <si>
    <t xml:space="preserve"> Кыргыз Республикасынын  мамлекеттик аткаруу бийлигин функцияларын системалаштыруу ( Бирдиктүү реестрди түзүү) </t>
  </si>
  <si>
    <t xml:space="preserve">Максаттуу маанилер </t>
  </si>
  <si>
    <t>11-тиркеме</t>
  </si>
  <si>
    <t>2018-ж.</t>
  </si>
  <si>
    <t>2019-ж.</t>
  </si>
  <si>
    <t>2020-ж.</t>
  </si>
  <si>
    <t>2021-ж.</t>
  </si>
  <si>
    <t>2022-ж.</t>
  </si>
  <si>
    <t>Өлчөө бирдиги</t>
  </si>
  <si>
    <t>аудит өткөрүлгөн эмес</t>
  </si>
  <si>
    <t>Кылм.иш.саны</t>
  </si>
  <si>
    <t xml:space="preserve">Саны </t>
  </si>
  <si>
    <t>Сунуштар жана жазма буйруктар</t>
  </si>
  <si>
    <t>бирд/бирд</t>
  </si>
  <si>
    <t>бирд</t>
  </si>
  <si>
    <t>Саны</t>
  </si>
  <si>
    <t xml:space="preserve">адам </t>
  </si>
  <si>
    <t>Графикке ылайык</t>
  </si>
  <si>
    <t xml:space="preserve">Графикке ылайык </t>
  </si>
  <si>
    <t>ЖӨБО саны</t>
  </si>
  <si>
    <t xml:space="preserve"> Райондордун саны, ЖӨБО</t>
  </si>
  <si>
    <t>Өткөн жылга карата % өзгөрүүлөр</t>
  </si>
  <si>
    <t xml:space="preserve"> Натыйжалуу өсүш</t>
  </si>
  <si>
    <t>Натыйжалуу өсүш</t>
  </si>
  <si>
    <t>Отчёттуктан   кийинки 25-число</t>
  </si>
  <si>
    <t>Отчёттуктан кийинки 25-число</t>
  </si>
  <si>
    <t>Күнү</t>
  </si>
  <si>
    <t xml:space="preserve">саны </t>
  </si>
  <si>
    <t>күн</t>
  </si>
  <si>
    <t xml:space="preserve">даана </t>
  </si>
  <si>
    <t xml:space="preserve">бирдик </t>
  </si>
  <si>
    <t>4 жолу</t>
  </si>
  <si>
    <t>2 жолу</t>
  </si>
  <si>
    <t xml:space="preserve">2 жолу </t>
  </si>
  <si>
    <t>Киргизилген</t>
  </si>
  <si>
    <t xml:space="preserve">Мамлекеттик зайымдык каражаттарынын пландык көрсөткүчтөрүн аткаруунун көлөмү </t>
  </si>
  <si>
    <t xml:space="preserve"> 35% дан кем эмес </t>
  </si>
  <si>
    <t xml:space="preserve">36%дан кем эмес  </t>
  </si>
  <si>
    <t xml:space="preserve">37%дан кем эмес </t>
  </si>
  <si>
    <t xml:space="preserve"> 38%дан кем эмес </t>
  </si>
  <si>
    <t>90%дан кем эмес</t>
  </si>
  <si>
    <t xml:space="preserve">95% дан кем эмес </t>
  </si>
  <si>
    <t xml:space="preserve"> 95%дан кем эмес </t>
  </si>
  <si>
    <t xml:space="preserve"> 95%дан кем эмес</t>
  </si>
  <si>
    <t xml:space="preserve">  110 кем эмес </t>
  </si>
  <si>
    <t xml:space="preserve"> 110 кем эмес </t>
  </si>
  <si>
    <t xml:space="preserve"> 82,0 кем эмес </t>
  </si>
  <si>
    <t xml:space="preserve"> 82,0 кем эмес</t>
  </si>
  <si>
    <t xml:space="preserve">  90%дан кем эмес </t>
  </si>
  <si>
    <t xml:space="preserve">  90% дан кем эмес</t>
  </si>
  <si>
    <t xml:space="preserve">  90% кем эмес</t>
  </si>
  <si>
    <t xml:space="preserve">  90% кем эмес </t>
  </si>
  <si>
    <t xml:space="preserve">20% дан кем эмес </t>
  </si>
  <si>
    <t>35%дан кем эмес</t>
  </si>
  <si>
    <t xml:space="preserve">35%дан кем эмес </t>
  </si>
  <si>
    <t xml:space="preserve"> 35%дан кем эмес</t>
  </si>
  <si>
    <t xml:space="preserve">80%дан кем эмес </t>
  </si>
  <si>
    <t xml:space="preserve"> 80%дан кем эмес </t>
  </si>
  <si>
    <t xml:space="preserve"> 80%дан кем эмес</t>
  </si>
  <si>
    <t xml:space="preserve"> 100%кем эмес </t>
  </si>
  <si>
    <t xml:space="preserve"> 95,6% дан кем эмес</t>
  </si>
  <si>
    <t>учурлар</t>
  </si>
  <si>
    <t xml:space="preserve"> 90%дан кем эмес</t>
  </si>
  <si>
    <t>100%дан кем эмес</t>
  </si>
  <si>
    <t xml:space="preserve">100%дан кем эмес </t>
  </si>
  <si>
    <t xml:space="preserve">90%дан кем эмес </t>
  </si>
  <si>
    <t xml:space="preserve"> 90%дан кем эмес </t>
  </si>
  <si>
    <t xml:space="preserve">50%дан кем эмес </t>
  </si>
  <si>
    <t xml:space="preserve"> 50%дан кем эмес </t>
  </si>
  <si>
    <t xml:space="preserve"> 90% дан кем эмес</t>
  </si>
  <si>
    <t>100% кем эмес</t>
  </si>
  <si>
    <t xml:space="preserve"> 100% дан кем эмес </t>
  </si>
  <si>
    <t xml:space="preserve">13,5%дан көп эмес </t>
  </si>
  <si>
    <t xml:space="preserve"> 13,5%дан көп эмес</t>
  </si>
  <si>
    <t xml:space="preserve">13,2%дан көп эмес </t>
  </si>
  <si>
    <t xml:space="preserve">13,0%дан көп эмес </t>
  </si>
  <si>
    <t xml:space="preserve">12,5%дан көп эмес </t>
  </si>
  <si>
    <t xml:space="preserve">85,0%дан кем эмес </t>
  </si>
  <si>
    <t>85,0%дан кем эмес</t>
  </si>
  <si>
    <t>50%дан кем эмес</t>
  </si>
  <si>
    <t xml:space="preserve"> 50%дан кем эмес</t>
  </si>
  <si>
    <t xml:space="preserve"> 20%кем эмес </t>
  </si>
  <si>
    <t>20%дан кем эмес</t>
  </si>
  <si>
    <t xml:space="preserve"> 20%дан кем эмес </t>
  </si>
  <si>
    <t xml:space="preserve"> 100,0%дан көп эмес </t>
  </si>
  <si>
    <t xml:space="preserve">100% Жаңы ТР ТС кабыл алынг. жараша </t>
  </si>
  <si>
    <t>бирд.</t>
  </si>
  <si>
    <t xml:space="preserve"> 1ден 3кө чейин</t>
  </si>
  <si>
    <t xml:space="preserve">Каржылоо </t>
  </si>
  <si>
    <t>адам.</t>
  </si>
  <si>
    <t>ооба/жок</t>
  </si>
  <si>
    <t>ооба</t>
  </si>
  <si>
    <t>саны</t>
  </si>
  <si>
    <t>адам</t>
  </si>
  <si>
    <t>баасы</t>
  </si>
  <si>
    <t>миң сом</t>
  </si>
  <si>
    <t>абс сан</t>
  </si>
  <si>
    <t>даана</t>
  </si>
  <si>
    <t>сааты</t>
  </si>
  <si>
    <t>орду</t>
  </si>
  <si>
    <t xml:space="preserve">Мамлекеттик органдар менен демилгеленген МЖӨ долбоорлорунун саны </t>
  </si>
  <si>
    <t xml:space="preserve"> Нотариалдык ишти жана КРгы чыгыш документтерди апостилдөө чөйрөсүндө о.э. апостил штампын коюуну координациялоону ишке ашыруу </t>
  </si>
  <si>
    <t>бирдд.</t>
  </si>
  <si>
    <t>Экономиканын артыкчылыктуу чөйрөсүн активдештирүү үчүн жагымдуу ченемдик -укуктук чөйрө</t>
  </si>
  <si>
    <t xml:space="preserve"> Мамлекеттик кызмат көрсөтүүнүн бирдиктүү реестрин түзүүгө өбөлгө көрсөтүү, мыйзамдарды жана мамл кызмат көрсөтүү механизмин систематизациялоону өркүндөтүүлөрдү рекомендацияларды иштеп чыгуу (МВК, жумушчу жолушуулар)</t>
  </si>
  <si>
    <t>Маморгандардын натыйжаларына, маморгандардын жетекчилерине, маморгандардын түзүмдүк  бөлүмдөрүнө багытталган мамлекеттик башкаруу сапатын баалоо системасын киргизүү</t>
  </si>
  <si>
    <t xml:space="preserve">Кыргыз Республикасынын аткаруу бийлигинин мамлекеттик органдарынын, Бишкек, Ош шаарларынын мэрияларынын ишин бирдиктүү баалоону жүргүзүү, ошондой эле алардын жетекчилеринин жана Кыргыз Республикасынын Өкмөтүнүн облустардагы ыйгарым укуктуу өкүлдөрүнүн жоопкерчилигин жогорулатуу </t>
  </si>
  <si>
    <t>Программанын максаты: Евразия экономикалык союзунун жана Евразия экономикалык комиссиясы менен өз ара аракеттенүү маселелери боюнча  министрликтер жана ведомстволордун аракеттери боюнча  ишти координациялоону камсыз кылуу</t>
  </si>
  <si>
    <t xml:space="preserve">Кыргыз Республикасынын ЕАЭСке кирүүсүнөн экономикалык жана социалдык таасирлерге комплекстүү баалоо жүргүзүү </t>
  </si>
  <si>
    <t>ЕАЭС интеграциялоо шарттарына Кыргызстандын  адаптациялануу маселеси боюнча калкка маалымдоо үчүн маалыматтык кампанияларды жана окутуучу семинарларды, иш-чараларды өткөрүү</t>
  </si>
  <si>
    <t>Мамлекеттик инвестициялардын долбоорлорун ишке ашыруу</t>
  </si>
  <si>
    <t>Жетекчилик үчүн аналитикалык жазуу</t>
  </si>
  <si>
    <t>Калкка ЕАЭС маселелери боюнча маалымдоо</t>
  </si>
  <si>
    <t>29. Кыргыз Республикасынын Өкмөтүнө караштуу Жер ресурстары боюнча мамлекеттик агенттик</t>
  </si>
  <si>
    <r>
      <t xml:space="preserve">Пландоо, башкаруу жана   администрациялоо
</t>
    </r>
    <r>
      <rPr>
        <sz val="11"/>
        <color indexed="8"/>
        <rFont val="Times New Roman"/>
        <family val="1"/>
        <charset val="204"/>
      </rPr>
      <t>Программанын максаты: башка программаларды ишке ашырууга координациялоочу жана уюштуруучу таасирлер</t>
    </r>
  </si>
  <si>
    <t>Финансы менеджментин жана эсебин камсыз кылуу</t>
  </si>
  <si>
    <t>Ишти жана камсыз кылуу кызматын уюштуруу</t>
  </si>
  <si>
    <t>КР аймагын жана анын региондорун топографиялык-геодезиялык жана картографиялык  камсыз кылуу</t>
  </si>
  <si>
    <t xml:space="preserve">Чек ара белгилеринин мамлекеттик геодезиялык тармагын реконструкциялоо жана колдоо; чек ара белгилеринде жана баштапкы пункттарда спутникалык өлчөө  </t>
  </si>
  <si>
    <t xml:space="preserve">Масштабдык катардын топографиялык карталарын жаңыртуу жана басуу </t>
  </si>
  <si>
    <t xml:space="preserve">Жерге жайгаштыруу боюнча долбоордук-изилдөө жана текшерүү иштерин аткаруу </t>
  </si>
  <si>
    <t>Жер кыртышын изилдөөлөрдү корректировкалоо, жерге жайгаштыруу боюнча айдоо жерлерин долбоорлоо-изилдөө иштерине мониторинг  жүргүзүү</t>
  </si>
  <si>
    <t xml:space="preserve">Чек ара белгилерин рекогнацовкациялоо жана орнотуу; чек ара пункттарында жана баштапкы пункттарда өлчөө  </t>
  </si>
  <si>
    <t>Чек ара аймактарында  топографиялык карталарды жаңыртуу</t>
  </si>
  <si>
    <t>Бардыгы: (контролдук цифралар)</t>
  </si>
  <si>
    <t xml:space="preserve">32. Кыргыз Республикасынын Өкмөтүнө караштуу Жазаларды аткаруу мамлекеттик кызматы </t>
  </si>
  <si>
    <r>
      <t xml:space="preserve">Пландаштыруу, башкаруу жана администрациялоо                             
</t>
    </r>
    <r>
      <rPr>
        <i/>
        <sz val="11"/>
        <rFont val="Times New Roman"/>
        <family val="1"/>
        <charset val="204"/>
      </rPr>
      <t xml:space="preserve">Программанын максаты: тергөөдөгүлөрдү жана соттологондорду оңдоо жана багуу </t>
    </r>
  </si>
  <si>
    <t xml:space="preserve">Бардык программалар боюнча  эмгек акыга чыгашалардын суммасына карата 001 программасы боюнча эмгек акыга чыгашалардын катышы </t>
  </si>
  <si>
    <t>Жазаларды аткаруу мамлекеттик кызматынын ишин  камсыз кылууну жетекчиликке алуу, контролдоо жана  бөлүмдөрдүн ишин уюштуруу</t>
  </si>
  <si>
    <t>Кыргыз Республикасынын Өкмөтүнө караштуу Жазаларды аткаруу мамлекеттик кызматынын ишинин ачык-айкындуулугун камсыз кылуу</t>
  </si>
  <si>
    <t xml:space="preserve">Жазаларды аткаруу мамлекеттик кызматынын бөлүмдөрүнүн ишин жана камсыз кылуу кызматын уюштуруу </t>
  </si>
  <si>
    <t xml:space="preserve">УИСте жазаларды аткаруунун тартибин жана шарттарын уюштуруу </t>
  </si>
  <si>
    <t xml:space="preserve">Соттолгондорду эмгекке тартуу жана эмгектин натыйжасында алардын моралдык жана материалдык кызыкчылыктары үчүн шарттарды түзүү </t>
  </si>
  <si>
    <t xml:space="preserve">Эркинен ажыратылган жерде соттолгондордун жазаларын аткаруу боюнча иштерди уюштуруу </t>
  </si>
  <si>
    <t xml:space="preserve">Соттолгондордун саны, качкындардын саны, өлтүрүүлөрдүн саны </t>
  </si>
  <si>
    <t xml:space="preserve">Мекемелердин инфраструктурасын камсыз кылуу жана соттолгондорду эмгекке тартуу </t>
  </si>
  <si>
    <t xml:space="preserve">Курулуш, реконструкциялоо, оңдоо-калыбына келтирүү иштери </t>
  </si>
  <si>
    <t xml:space="preserve">Соттолгондорду тамак-аш азыктары менен камсыз кылуу </t>
  </si>
  <si>
    <t xml:space="preserve">Соттолгондордун санына категориялар боюнча тамак-аш ченемдери </t>
  </si>
  <si>
    <r>
      <t xml:space="preserve">Атайын контингенттин ден соолугун камсыз кылуу
</t>
    </r>
    <r>
      <rPr>
        <i/>
        <sz val="11"/>
        <color indexed="8"/>
        <rFont val="Times New Roman"/>
        <family val="1"/>
        <charset val="204"/>
      </rPr>
      <t xml:space="preserve">Программанын максаты: Соттолгондорго жана тергөөдөгүлөргө зарыл болгон медициналык кызматтарды көрсөтүү </t>
    </r>
  </si>
  <si>
    <t xml:space="preserve">Дарылоо мекемелеринде соттолгондордун жазаларын аткарууну уюштуруу  </t>
  </si>
  <si>
    <t xml:space="preserve">Соттолгондорго алгачкы медициналык-санитардык жардам көрсөтүү </t>
  </si>
  <si>
    <t>Соттолгондорду дарылоо мекемелеринде  тамак аш азыктары менен камсыз кылуу</t>
  </si>
  <si>
    <t xml:space="preserve">Соттолгондордун санына категория боюнча тамак-аш ченеми </t>
  </si>
  <si>
    <t xml:space="preserve">Жазаларды аткаруу мамлекеттик кызматынынын дарылоо мекемелеринин инфраструктурасын камсыз кылуу </t>
  </si>
  <si>
    <t xml:space="preserve">Курулуш,  реконструкциялоо, оңдоо-калыбына келтирүү иштери </t>
  </si>
  <si>
    <t xml:space="preserve">Мектепке чейинки мекемелерди колдоо жана аларды кеңейтүү </t>
  </si>
  <si>
    <t xml:space="preserve">Мектепке чейинки мекемелерди каржылоо пайызын жакшыртуу </t>
  </si>
  <si>
    <t xml:space="preserve">Балдарды мектепке даярдоо программаларын 2 жаштан 7 жашка чейин жогорулатуу </t>
  </si>
  <si>
    <t xml:space="preserve">Билим берүү мекемелеринин материалдык-техникалык базасын жакшыртуу </t>
  </si>
  <si>
    <t xml:space="preserve">Вариативдик мектепке чейинки билим берүү мекемелерин  кеңейтүү </t>
  </si>
  <si>
    <t xml:space="preserve">Мектепке чейинки билим берүүнүн сапаттуу кызмат көрсөтүүлөргө жеткиликтүүлүгүн камсыз кылуу </t>
  </si>
  <si>
    <t xml:space="preserve">Эскертүү: Кыргыз Республикасынын Өкмөтүнө караштуу Жазаларды аткаруу мамлекеттик кызматы  боюнча программалык форматтагы бюджетке  Жазаларды аткаруу мамлекеттик кызматынын түзөтүү мекемелерин коргоо жана соттолгондорду жана камакка алынган адамдарды коштоп жүрүү боюнча департаментине 194 296,8 миң сом чыгашалар кирбейт. </t>
  </si>
  <si>
    <t>Кыргыз Республикасынын Өкмөтүнө караштуу Жазаларды аткаруу мамлекеттик кызматынын Түзөтүү мекемелерин коргоо жана соттолгондорду жана камакка алынган адамдарды коштоп жүрүү боюнча департаменти</t>
  </si>
  <si>
    <t>Түзөтүү мекемелеринде кайтаруу,  коргоо жана соттолгондорду конвой менен коштоп жүрүү</t>
  </si>
  <si>
    <t>● качуулар саны                                                       ● соттолгондорду качуусун алдын алуулардын саны                                                                          ●   ички зонага кирүүлөрдүн саны                                          ● часовойлорго кол салуулар саны                          ● тышкы  тыюу салынган зонага кирүүлөрдүн саны</t>
  </si>
  <si>
    <t xml:space="preserve">0                           2                        7                              0                          1   </t>
  </si>
  <si>
    <t>1                           2                        5                             1                          2</t>
  </si>
  <si>
    <t>1                           2                        5                             1                         5</t>
  </si>
  <si>
    <t xml:space="preserve">1                          2                        5                             1                         5    </t>
  </si>
  <si>
    <t>1                           2                            5                              1                         5</t>
  </si>
  <si>
    <t xml:space="preserve">Сот мекемесинде конвой менен коштоп жүрүүнү камсыз кылуу </t>
  </si>
  <si>
    <t xml:space="preserve">Коштолуп жүргөн  айыпталгандардын жана соттолгондордун саны </t>
  </si>
  <si>
    <t>Түзөтүү мекемелеринин администрациялары, соттор,  ички иштер жана улуттук коопсуздук органдары, Коргоо министрлигинин мекемелери менен өз ара аракеттенүүлөр</t>
  </si>
  <si>
    <t>●  процесстерди камсыз кылуу саны</t>
  </si>
  <si>
    <t xml:space="preserve">34. Кыргыз Республикасынын Билим берүү жана илим министрлиги </t>
  </si>
  <si>
    <r>
      <t xml:space="preserve">Пландаштыруу, башкаруу жана администрациялоо </t>
    </r>
    <r>
      <rPr>
        <b/>
        <i/>
        <sz val="11"/>
        <rFont val="Times New Roman"/>
        <family val="1"/>
        <charset val="204"/>
      </rPr>
      <t xml:space="preserve">
</t>
    </r>
    <r>
      <rPr>
        <i/>
        <sz val="11"/>
        <rFont val="Times New Roman"/>
        <family val="1"/>
        <charset val="204"/>
      </rPr>
      <t xml:space="preserve">Программанын максаты: башка программаларды ишке ашырууга координациялоочу жана уюштуруучу таасирлер </t>
    </r>
  </si>
  <si>
    <t xml:space="preserve">Башка ЭА программалары боюнча    чыгашадардын 001 суммасына карата ЭА программасы боюнча чыгашадардын катышы </t>
  </si>
  <si>
    <t>факт боюнча</t>
  </si>
  <si>
    <t xml:space="preserve">Бузууларсыз бюджетти аткаруу проценти </t>
  </si>
  <si>
    <t>Эмгектик талаштар боюнча сот процесстерин утуу үлүшү</t>
  </si>
  <si>
    <t>Алардын жалпы санына утуп алынган сот иштеринин катышы</t>
  </si>
  <si>
    <t>бирд./бирд.</t>
  </si>
  <si>
    <t>14/19</t>
  </si>
  <si>
    <t xml:space="preserve">Министрликтердин/ведомстволордун ЖМКдагы оң эскерүүлөрүнүн саны </t>
  </si>
  <si>
    <t xml:space="preserve">Борбордук аппараттын кызматкерлеринин жалпы санынан камсыз кылуу кызматтарынын кызматкерлеринин үлүшү </t>
  </si>
  <si>
    <t xml:space="preserve">Региондук деңгээлде (бюджет жана атайын каражаттар) жалпы координациялоо </t>
  </si>
  <si>
    <t>Жалпы билим берүүчү  уюмдарды окуу китептери, компьютерлер жана эмеректер менен камсыз кылуу</t>
  </si>
  <si>
    <t xml:space="preserve">Итого </t>
  </si>
  <si>
    <r>
      <t xml:space="preserve">Мектепке чейинки, мектеп жана мектептен тышкары билим берүүнү колдоо жана өнүктүрүү жана  мектепке балдарды даярдоо   </t>
    </r>
    <r>
      <rPr>
        <b/>
        <i/>
        <sz val="11"/>
        <rFont val="Times New Roman"/>
        <family val="1"/>
        <charset val="204"/>
      </rPr>
      <t xml:space="preserve">                                                                                               </t>
    </r>
    <r>
      <rPr>
        <i/>
        <sz val="11"/>
        <rFont val="Times New Roman"/>
        <family val="1"/>
        <charset val="204"/>
      </rPr>
      <t xml:space="preserve">Программанын максаты: калктын бардык тобу үчүн мектепке чейинки, мектеп жана мектептен тышкары билим берүүнүн сапаттуу  кызмат көрсөтүүлөргө жеткиликтүүлүгүн камсыз кылуу </t>
    </r>
  </si>
  <si>
    <t>Мектепке чейинки даярдоо программасы менен (5,5-7 жаш) курактагы балдарды камтуу (каалоосуна жараша)</t>
  </si>
  <si>
    <t xml:space="preserve">Мектепке чейинки мамлекеттик билим берүү уюмдарын (ММБУ) колдоо жана кеңейтүү, 5-6 жаштагы  балдарды  (мүмкүнчүлүгү чектелген балдарды кошкондо) мектепке чейинки даярдоо программасы менен камтууну жогорулатуу (бюджеттик каражаттар) </t>
  </si>
  <si>
    <t xml:space="preserve">Мектепке чейинки  даярдоо программалары менен камтылган тиешелүү курактагы балдардын саны </t>
  </si>
  <si>
    <t>100 миңден кем эмес</t>
  </si>
  <si>
    <t>Мектеп алдындагы даярдык боюнча жабдылган  класс-комплекттердин  саны (парта, стул, стол  5 - 6 -жаштагы курактагы балдардын өзгөчөлүгүн эсепке алуу менен)</t>
  </si>
  <si>
    <t>Мектеп алдындагы даярдык боюнча  жабдылган класс-комплекттердин үлүшү</t>
  </si>
  <si>
    <t xml:space="preserve">Мамлекеттик стандарттар киргизилген МББ саны       </t>
  </si>
  <si>
    <t>Мамлекеттик стандарт киргизилген МББУ үлүшү</t>
  </si>
  <si>
    <t>Квалификациясын  жогорулатуудан өткөн педагогдордун саны;</t>
  </si>
  <si>
    <t>Мектепке чейинки билим берүүчү мамлекеттик жана муниципалдык уюмдардын тармагын кеңейтүү (атайын каражаттар)</t>
  </si>
  <si>
    <t>Жаңы МББУ саны</t>
  </si>
  <si>
    <t>бирдик</t>
  </si>
  <si>
    <t>по факту</t>
  </si>
  <si>
    <t>Муктаждыктан  жаңы МББУ үлүшү</t>
  </si>
  <si>
    <t xml:space="preserve"> Натыйжалуу билим берүүгө жеткиликтүүлүктү камсыз кылуу жолу менен балдарды толук кандуу өнүктүрүү үчүн шарттарды түзүү </t>
  </si>
  <si>
    <t>Базалык билим берүүгө (1-9 класс) балдарды камтуу</t>
  </si>
  <si>
    <t xml:space="preserve"> 96% кем эмес</t>
  </si>
  <si>
    <t>Стандарттарга ылайык  (бюжеттик каражаттар) мектеп мекемелеринин тармагынын ишин колдоо</t>
  </si>
  <si>
    <t>Педагогикалык кадрлар менен  толук (100%) комплекттелген  мектептердин үлүшү</t>
  </si>
  <si>
    <t xml:space="preserve">Интернат тибиндеги балдар мекемелерин башкарууну жана каржылоону оптималдаштыруу </t>
  </si>
  <si>
    <t>Оптималдаштыруу/трансформациялоо пландары даярдалган интернат тибиндеги мекемелердин саны</t>
  </si>
  <si>
    <t>Компетенттүү ыкманы эске алуу менен  (МИП АБР тышкы каржылоо) билим берүүнү күтүүнү модернизациялоо</t>
  </si>
  <si>
    <t xml:space="preserve">Математика, физика, химия, биология жана география боюнча жаңы билим берүү стандарттары боюнча окуган 7-11-класстардын мугалимдеринин саны </t>
  </si>
  <si>
    <t>_</t>
  </si>
  <si>
    <t>Жалпы билим берүүчү жана атайын мектептер базасында  өзгөчө муктаждыктагы балдарга инклюзивдүү билим берүү шарттарын камсыз кылуу</t>
  </si>
  <si>
    <t>капкурулуштун жана жергиликтүү бюджеттин эсебинен</t>
  </si>
  <si>
    <t xml:space="preserve">Өзгөчө муктаждыгы болгон балдарды окутуу үчүн шарттар түзүлгөн жалпы билим берүү жана атайын мектептердин саны  </t>
  </si>
  <si>
    <t>Билим берүүчү кызмат көрсөтүүлөрдү  алуучулар алдында жоопкерчиликке негизделген финансылык-административдик өз алдынчалык принциптерине жалпы билим берүүчү уюмдарды которуу</t>
  </si>
  <si>
    <r>
      <rPr>
        <b/>
        <sz val="11"/>
        <rFont val="Times New Roman"/>
        <family val="1"/>
        <charset val="204"/>
      </rPr>
      <t>Баштапкы жана орто кесиптик билим берүүнү өнүктүрүү</t>
    </r>
    <r>
      <rPr>
        <i/>
        <sz val="11"/>
        <rFont val="Times New Roman"/>
        <family val="1"/>
        <charset val="204"/>
      </rPr>
      <t xml:space="preserve">
Программанын максаты: Башкаруунун натыйжалуу системасын жана каржылоо механизмдерин түзүү  </t>
    </r>
  </si>
  <si>
    <t xml:space="preserve">Сарамжалдуу жана оптималдуу кесиптик-техникалык билим берүү системасы түзүлдү </t>
  </si>
  <si>
    <t xml:space="preserve">Окуусун аяктагандан кийин биринчи жылы ишке орношкон жана иштеген орто кесиптик окуу жайлардын бүтүрүүчүлөрүнүн үлүшү  (окуусун уланткандыгын эсепке алуу менен) </t>
  </si>
  <si>
    <t>Башталгыч кесиптик билим берүүнүн окутууга карата жеткиликтүүлүгүн жакшыртуу (бюджет жана атайын каражаттар)</t>
  </si>
  <si>
    <t xml:space="preserve"> Суммалык үлүш 60%:                                                        - оңдолгон БКБОЖ 20% (анын ичинен ДМЧА үчүн шарт);                                                                             - БКБОЖ заманбап өндүрүштүк окуу жабдуулары менен жабдылышы 20%;                                              - БКБОЖ жалпы санына карата жалпы билим берүү процессине  мультимедиялык жана инновациялык технологиялар киргизилген БКБОЖ 20% </t>
  </si>
  <si>
    <t>% (суммалык үлүш)</t>
  </si>
  <si>
    <t xml:space="preserve">Калктын социалдык аялуу категорияларын жана ДМЧА  окутуу үчүн компетенттүү негизде иштелип чыккан модулдук окуу программаларынын саны </t>
  </si>
  <si>
    <t>ӨЭУ системасы  жана эмгек рыногунун муктаждыктарынын ортосундагы өз ара байланышты камсыз кылуу</t>
  </si>
  <si>
    <t xml:space="preserve">Экономика секторунда талап кылынган кесиптер боюнча окутулган жарандардын саны (республикалык бюджеттин эсебинен жана контракттык-кыска мөөнөттүү негизде ) </t>
  </si>
  <si>
    <t>адам (жыл сайын)</t>
  </si>
  <si>
    <t>Педагогикалык персоналдын жана өндүрүштүк окутуу устаттарынын квалификациясын жогорулатуу</t>
  </si>
  <si>
    <t xml:space="preserve"> Квалификациясын жогорулатуудан өткөн ӨСИ саны, анын ичинен  окуу жайлардын өндүрүштүк базасында окутулган устаттар жана жумуш берүүчүлөр </t>
  </si>
  <si>
    <t>бирдик (жыл сайын)</t>
  </si>
  <si>
    <t>Өлкө артыкчылыктарын жана региондордун экономикалык стратегияларын талдоонун негизинде орто кесиптик билимдүү кадрларды даярдоо түзүмүн өзгөртүү  (бюджеттик каражаттар)</t>
  </si>
  <si>
    <t xml:space="preserve">Өлкө артыкчылыктарына жана экономикалык стратегияларга шайкеш келген адистиктерге бөлүнгөн бюджеттик орундардын үлүшү </t>
  </si>
  <si>
    <t>Орто кесиптик билим берүү имиджин жогорулатууга багытталган республиканын орто кесиптик билим берүү системасы жөнүндө калкка маалымдоо, квалификациялык мүнөздөмөнү түзүүгө жана бүтүрүүчүлөрдүн квалификациясын баалоо процессине жана орто кесиптик билим берүү системасын оптимизациялоого жумуш берүүчүлөрдү тартуу (атайын каражаттар)</t>
  </si>
  <si>
    <t xml:space="preserve">Мамлекеттик аттестациялык комиссиянын курамына кирген жумуш берүүчүлөрдүн үлүшү </t>
  </si>
  <si>
    <t xml:space="preserve">Эмгек рыногунун талаптарына шайкеш келген (бюджеттик топтом ишке ашырылып жаткан)  ОКБ адистиктеринин үлүшү </t>
  </si>
  <si>
    <t xml:space="preserve">Жумуш берүүчүлөрдөн адистерди даярдоого заказ алган билим берүү уюмдарынын үлүшү </t>
  </si>
  <si>
    <r>
      <t xml:space="preserve">Жогорку кесиптик билим берүү                                                                                                                                                                                             </t>
    </r>
    <r>
      <rPr>
        <sz val="11"/>
        <rFont val="Times New Roman"/>
        <family val="1"/>
        <charset val="204"/>
      </rPr>
      <t xml:space="preserve">Программанын максаты: Жогорку окуу жайларында эмгек рыногунун талаптарына ылайык кадрларды даярдоо </t>
    </r>
  </si>
  <si>
    <t xml:space="preserve">ЖОЖдун  ишке орношкон бюджеттик  негиздеги бүтүрүүчүлөрүнүн үлүшү (окуусун уланткандыгын жана өздөрү ишке орношкондугун эске алуу менен) </t>
  </si>
  <si>
    <t xml:space="preserve">ЖОЖ педагогикалык адистиктерин (бюджеттик негизде) бүтүрүүчүлөрүнүн адистиги боюнча ишке орношкондордун үлүшү </t>
  </si>
  <si>
    <t>Өлкө артыкчылыктарын жана региондордун экономикалык стратегияларын талдоонун негизинде  жогорку кесиптик билимдүү кадрларды даярдоо түзүмдөрүн өзгөртүү (атайын каражаттар)</t>
  </si>
  <si>
    <t xml:space="preserve">Өлкө артыкчылыктарына жана экономикалык стратегияларга ылайык келген  жогорку кесиптик билим берүү (бюджеттик кабыл алуу ишке ашырылуучу) багыттарынын жана адистиктеринин үлүшү </t>
  </si>
  <si>
    <t xml:space="preserve">Жумуш берүүчүлөр менен түзүлгөн максаттуу даярдоо жөнүндө келишимдердин негизинде кабыл алуу планын түзгөн жождордун (жалпы сандан %) үлүшү </t>
  </si>
  <si>
    <t xml:space="preserve">Квалификацияны жогорулатуу программаларына катышкан педагогдордун үлүшү          </t>
  </si>
  <si>
    <r>
      <t xml:space="preserve">Чоңдор үчүн билим берүү      </t>
    </r>
    <r>
      <rPr>
        <b/>
        <i/>
        <sz val="11"/>
        <rFont val="Times New Roman"/>
        <family val="1"/>
        <charset val="204"/>
      </rPr>
      <t xml:space="preserve">                                                                                                                                 </t>
    </r>
    <r>
      <rPr>
        <i/>
        <sz val="11"/>
        <rFont val="Times New Roman"/>
        <family val="1"/>
        <charset val="204"/>
      </rPr>
      <t xml:space="preserve">Программанын максаты: бүткүл жашоосу боюнча үзгүлтүксүз билим берүү  жана экономикалык активдүү калктын эмгек рыногунун тез өзгөргөн талаптарына адаптациялануусу үчүн шарттарды түзүү аркылуу билим берүүнүн деңгээлин жогорулатууда калктын муктаждыктарын канааттандыруу </t>
    </r>
  </si>
  <si>
    <t xml:space="preserve">Кайрылгандардын ичинен лицензиялык билим берүү программалары менен камтылган калктын үлүшү  (формалдуу: кечки/нөөмөттүк/сырттан, формалдуу эмес -  квалификацияны жогорулатуу, кайра даярдоо)  </t>
  </si>
  <si>
    <t>Билими болбогон  же мурда ченемдик белгиленген мөөнөттө мектептик билим берүү системасынан  чыккан адамдарды  негизги билим  берүү менен камтууну камсыз кылуу (бюджеттик каражаттар)</t>
  </si>
  <si>
    <t>Кечки/нөөмөттүк/ сырттан окутуу мектептеринин саны</t>
  </si>
  <si>
    <t>Кечки/нөөмөттүк/ сырттан окутуу мектептерине кабыл алынгандардын саны</t>
  </si>
  <si>
    <t>Кечки/нөөмөттүк/ сырттан окутуу класстарынын саны</t>
  </si>
  <si>
    <t>Экономикалык активдүү калкты эмгек рыногунун тез өзгөргөн талаптарына адаптациялоого көмөктөшүү  (атайын  каражаттар)</t>
  </si>
  <si>
    <t xml:space="preserve">Кошумча кесиптик билим берүү кызмат көрсөтүүлөрүн берген  орто кесиптик билим берүүчү окуу жайлардын саны               </t>
  </si>
  <si>
    <t xml:space="preserve">Кошумча кесиптик билим берүү кызмат көрсөтүүлөрүн берген  жогорку кесиптик билим берүүчү окуу жайлардын саны      </t>
  </si>
  <si>
    <t>Бардыгы</t>
  </si>
  <si>
    <r>
      <t xml:space="preserve">Илимдин артыкчылыктуу тармактарын өнүктүрүүнү  мамлекеттик колдоо   </t>
    </r>
    <r>
      <rPr>
        <b/>
        <i/>
        <sz val="11"/>
        <rFont val="Times New Roman"/>
        <family val="1"/>
        <charset val="204"/>
      </rPr>
      <t xml:space="preserve">
</t>
    </r>
    <r>
      <rPr>
        <i/>
        <sz val="11"/>
        <rFont val="Times New Roman"/>
        <family val="1"/>
        <charset val="204"/>
      </rPr>
      <t xml:space="preserve">Программанын максаты:Прикладдык илимди өнүктүрүү (ЖОЖ)  жана  ЖОЖдук илимдин сапатын жогорулатуу, ЖОЖдордо практикалык колдонууну алууга багытталган илимий-изилдөө иштеринин санын  көбөйтүү        </t>
    </r>
    <r>
      <rPr>
        <b/>
        <i/>
        <sz val="11"/>
        <rFont val="Times New Roman"/>
        <family val="1"/>
        <charset val="204"/>
      </rPr>
      <t xml:space="preserve">              </t>
    </r>
    <r>
      <rPr>
        <b/>
        <sz val="11"/>
        <rFont val="Times New Roman"/>
        <family val="1"/>
        <charset val="204"/>
      </rPr>
      <t xml:space="preserve">                                                                                                                                                                                                                                                                                                                                                 </t>
    </r>
  </si>
  <si>
    <t>Илимий-изилдөө иштерин өнүктүрүүгө ЖОЖдор тарабынан бөлүнгөн каражаттардын үлүшү</t>
  </si>
  <si>
    <t>Прикладдык илимди өнүктүрүү (бюджеттик каражаттар)</t>
  </si>
  <si>
    <t xml:space="preserve">Республиканын экономикасында позитивдүү түзүмдүк илгерилөөнү камсыз кылууга багыталган илимий долбоорлордун үлүшүнүн  көбөйүшү </t>
  </si>
  <si>
    <t xml:space="preserve"> бирд.</t>
  </si>
  <si>
    <t>Институттук потенциалды өнүктүрүү жана  жогорку окуу жай илиминин  сапатын жогорулатуу, жогорку окуу жайларында практикалык колдонууну алууга  (ТӨӨП) багытталган ИИИ санын көбөйтүү</t>
  </si>
  <si>
    <t>Изилдөөлөргө жана иштеп чыгууларга тартылган жаш адистердин үлүшү</t>
  </si>
  <si>
    <t>5-20</t>
  </si>
  <si>
    <t>35. Кыргыз Республикасынын Өкмөтүнө караштуу Интеллектуалдык менчик жана инновациялар мамлекеттик кызматы</t>
  </si>
  <si>
    <r>
      <t xml:space="preserve">Пландаштыруу, башкаруу жана администрациялоо </t>
    </r>
    <r>
      <rPr>
        <b/>
        <i/>
        <sz val="11"/>
        <rFont val="Times New Roman"/>
        <family val="1"/>
        <charset val="204"/>
      </rPr>
      <t xml:space="preserve">                                 </t>
    </r>
    <r>
      <rPr>
        <i/>
        <sz val="11"/>
        <rFont val="Times New Roman"/>
        <family val="1"/>
        <charset val="204"/>
      </rPr>
      <t>Программанын максаттары: башка программаларды ишке ашырууга координациялоочу жана уюштуруучу таасирлер</t>
    </r>
  </si>
  <si>
    <t>Бюджетти бузуусуз аткаруунун пайызы</t>
  </si>
  <si>
    <t>Жүргүзүлгөн сатып алуулардын саны</t>
  </si>
  <si>
    <t>Ведомствонун окуу курстарынан жана стажировкадан өткөн кызматкерлеринин саны</t>
  </si>
  <si>
    <t>Интеллектуалдык менчик объекттерин коргоо боюнча соттук иштердин саны</t>
  </si>
  <si>
    <t xml:space="preserve">Интеллектуалдык менчикти жана инновацияларды өнүктүрүү чөйрөсүндө иштелип чыккан ЧУА долбоорлорунун саны </t>
  </si>
  <si>
    <t xml:space="preserve">Тышкы байланыштарды жана коомчулук менен болгон байланыштарды колдоо  </t>
  </si>
  <si>
    <t xml:space="preserve">Чет өлкөлүк патенттик ведомстволор менен кол коюлган келишимдердин, меморандумдардын, макулдашуулардын жана иш-чаралар пландарынын саны </t>
  </si>
  <si>
    <t xml:space="preserve">Ведомствонун ЖМКда оң эскертүүлөрүнүн саны же ведомствонун web-ресурсунда жарыяланган материалдарынын саны  </t>
  </si>
  <si>
    <t xml:space="preserve">Кыргызпатенттин иши жөнүндө медиапродуктулардын  саны (видео, баннерлер ж.б.) </t>
  </si>
  <si>
    <t xml:space="preserve">БА кызматкерлеринин жалпы санынан камсыз кылуу кызматынын кызматкерлеринин үлүшү </t>
  </si>
  <si>
    <t>Мониторингди, талдоону жана стратегиялык пландоону камсыз кылуу (коррупцияга каршы аракеттенүү, стратегиялык пландоо жана талдоо боюнча)</t>
  </si>
  <si>
    <t xml:space="preserve"> Кыргызпатенттин жана анын жетекчисинин ишин баалоо</t>
  </si>
  <si>
    <r>
      <t xml:space="preserve">2022-жылга чейинки мезгилге КРны илимий-инновациялык өнүктүрүүнүн концепциясын ишке ашыруу               </t>
    </r>
    <r>
      <rPr>
        <b/>
        <i/>
        <sz val="11"/>
        <color theme="1"/>
        <rFont val="Times New Roman"/>
        <family val="1"/>
        <charset val="204"/>
      </rPr>
      <t xml:space="preserve">                                                                                                                                                                            </t>
    </r>
    <r>
      <rPr>
        <i/>
        <sz val="11"/>
        <color indexed="8"/>
        <rFont val="Times New Roman"/>
        <family val="1"/>
        <charset val="204"/>
      </rPr>
      <t xml:space="preserve">Программанын максаты: Мамлекеттик инновациялык саясаттын максаттарынын, артыкчылыктарынын жана инструменттеринин  системасын түзүү   </t>
    </r>
  </si>
  <si>
    <t>Инновациялык ишти өнүктүрүүнү финансылык колдоо үчүн шарттарды түзүү</t>
  </si>
  <si>
    <t xml:space="preserve">Мамлекеттик инновациялык фонд </t>
  </si>
  <si>
    <t xml:space="preserve">Инновацияларды өнүктүрүү чөйрөсүндө окутулган адистердин саны </t>
  </si>
  <si>
    <t xml:space="preserve">Инновациялык адистиктер боюнча кадрларды кесиптик даярдоо жана кадрлардын квалификациясын  жогорулатуу процессин уюштуруу  </t>
  </si>
  <si>
    <t xml:space="preserve"> 
Интеллектуалдык менчикти түзүү үчүн инфраструктураны өнүктүрүү жана интеллектуалдык менчикти пайдалануу боюнча ишти колдоо, интеллектуалдык менчиктин авторлорунун жана бизнес-түзүмдүн өз ара аракеттенүүсү үчүн демонстрациялык-тажрыйбалуу аянттарды түзүү </t>
  </si>
  <si>
    <t xml:space="preserve">Технологияларды жана инновацияларды колдоо борборунун филиалдарынын саны </t>
  </si>
  <si>
    <t xml:space="preserve">Технологияларды жана инновацияларды колдоо борборунун патенттик издөө боюнча окутулган координаторлорунун саны </t>
  </si>
  <si>
    <t xml:space="preserve">Технологияларды жана инновацияларды колдоо борборунун кызмат көрсөтүүлөрүн пайдалануучуларынын саны, бир жылда 500 адамдан кем эмес санда </t>
  </si>
  <si>
    <t xml:space="preserve">Мамлекеттик патенттик-техникалык китепкананын электрондук ресурстарынын үлүшү  </t>
  </si>
  <si>
    <t>Балдардын жана жаштардын илимий-техникалык чыгармачылык жаатындагы сыйлыктардын саны</t>
  </si>
  <si>
    <t>Илимий-техникалык жана чыгармачылык багыттагы республикалык жана облустук конкурстардын, олимпиадалардын, көргөзмөлөрдүн саны</t>
  </si>
  <si>
    <t xml:space="preserve">Балдардын илимий-техникалык кружокторунун саны </t>
  </si>
  <si>
    <t xml:space="preserve">Балдарды илимий-техникалык чыгармачылык менен камтуу  </t>
  </si>
  <si>
    <t>0,4</t>
  </si>
  <si>
    <t xml:space="preserve">Ишканалар жана бюджеттик уюмдар үчүн окутулган патент таануу адистеринин саны </t>
  </si>
  <si>
    <t>Башка өлкөлөрдүн патенттик жана патенттик эмес маалыматтарынын маалымат базаларынын саны</t>
  </si>
  <si>
    <t>Түзүлгөн коммуникациялык аянттардын  (электрондук форумдар, технопарктар, бизнес-инкубаторлор, стартаптар)</t>
  </si>
  <si>
    <t xml:space="preserve">Табыштамаларды  берүүдө жана карап чыгууда IT-технологияларды пайдаланууну кеңейтүү </t>
  </si>
  <si>
    <t xml:space="preserve">Интеллектуалдык менчик объектилерине электрондук форматта берилген табыштамалардын  үлүшү </t>
  </si>
  <si>
    <t>16 Кыргыз Республикасынын Жогорку соту</t>
  </si>
  <si>
    <r>
      <t xml:space="preserve">Конституциялык сот  адилеттигин  камсыз кылуу жана конституциялык палатанын потенциалын жогорулатуу
</t>
    </r>
    <r>
      <rPr>
        <i/>
        <sz val="11"/>
        <rFont val="Times New Roman"/>
        <family val="1"/>
        <charset val="204"/>
      </rPr>
      <t xml:space="preserve">Программанын максаты: конституциялык сот адилеттүүлүгүн камсыз кылуунун натыйжалуулугун жогорулатуу, конституциялык сот адилеттүүлүгүн эл аралык стандарттарын колдонуу </t>
    </r>
  </si>
  <si>
    <t>Сот практикасын жакшыртуу жана жалпылоо</t>
  </si>
  <si>
    <t>Мамлекеттик аудитти жүргүзүү</t>
  </si>
  <si>
    <t>Программанын максаты:  Жогорку сот системасынын ишин камсыздоо, ведомствонун башка прогаммаларын  координациялоо</t>
  </si>
  <si>
    <t xml:space="preserve">Пландоо, башкаруу жана   администрациялоо </t>
  </si>
  <si>
    <r>
      <t xml:space="preserve">Пландоо, башкаруу администрациялоо                                                                                                                              
</t>
    </r>
    <r>
      <rPr>
        <i/>
        <sz val="11"/>
        <rFont val="Times New Roman"/>
        <family val="1"/>
        <charset val="204"/>
      </rPr>
      <t xml:space="preserve">Программанын максаты:Башка прогр ишке ашырууга  координациялоочу жана уюштуруучу таасир </t>
    </r>
  </si>
  <si>
    <r>
      <t xml:space="preserve">Пландоо, башкаруу жана администрациялоо                                                                                                                              
</t>
    </r>
    <r>
      <rPr>
        <i/>
        <sz val="11"/>
        <rFont val="Times New Roman"/>
        <family val="1"/>
        <charset val="204"/>
      </rPr>
      <t>Программанын максаты: Башка программаларды ишке ашырууга координациялоочу жана уюштуруучу таасир этүүлөр</t>
    </r>
  </si>
  <si>
    <r>
      <t xml:space="preserve">Мамлекеттик органдардын   мыйзам ченемдик ишин координациялоо, экспертизалоо, ченемдик актыларды  системалаштыруу жана кодификациялоо. 
</t>
    </r>
    <r>
      <rPr>
        <i/>
        <sz val="11"/>
        <color theme="1"/>
        <rFont val="Times New Roman"/>
        <family val="1"/>
        <charset val="204"/>
      </rPr>
      <t xml:space="preserve">Максаты: ченемдик укуктук колдоо, мыйзам долбоорлорду координациялоо ,эксперттин сапатын жогорулатуу </t>
    </r>
  </si>
  <si>
    <r>
      <t xml:space="preserve">Бюджеттер аралык мамилелер                                                                                                                                                               </t>
    </r>
    <r>
      <rPr>
        <i/>
        <sz val="11"/>
        <rFont val="Times New Roman"/>
        <family val="1"/>
        <charset val="204"/>
      </rPr>
      <t>Программанын максаты: Бюджет аралык мамилелер системасын өркүндөтүү.</t>
    </r>
  </si>
  <si>
    <t xml:space="preserve">Мамлекеттик  кызматтарды көрсөтүү системасын мындан ары оптималдаштырууну камсыздоо жана мамлекеттик  органдардын функциясыны бирдиктүү реестрин түзүү </t>
  </si>
  <si>
    <t xml:space="preserve">«Кыргыз Республикасынын
2020-жылга республикалык бюджети жана
2021-2022-жылдарга болжолу жөнүндө»
Кыргыз Республикасынын Мыйзамына </t>
  </si>
  <si>
    <r>
      <t xml:space="preserve">Сот адилеттигине калктын жеткиликтүүлүгүн камсыз кылуу                                      </t>
    </r>
    <r>
      <rPr>
        <i/>
        <sz val="11"/>
        <rFont val="Times New Roman"/>
        <family val="1"/>
        <charset val="204"/>
      </rPr>
      <t>Программанын максаты: , сот чечимдеринин адилеттүүлүгүн,  сөзсүз аткарылышын   камсыз кылуу</t>
    </r>
  </si>
  <si>
    <r>
      <t xml:space="preserve">Пландоо, башкаруу жана   администрациялоо </t>
    </r>
    <r>
      <rPr>
        <i/>
        <sz val="11"/>
        <rFont val="Times New Roman"/>
        <family val="1"/>
        <charset val="204"/>
      </rPr>
      <t>Программанын максаты:  Жогорку сот системасынын ишин камсыздоо, ведомствонун башка прогаммаларын  координациялоо</t>
    </r>
  </si>
  <si>
    <r>
      <t xml:space="preserve">КР ЖС судьяларынын  көз карандысыздыгын камсыз кылуу                                             </t>
    </r>
    <r>
      <rPr>
        <i/>
        <sz val="11"/>
        <rFont val="Times New Roman"/>
        <family val="1"/>
        <charset val="204"/>
      </rPr>
      <t xml:space="preserve">Программанын максаты:  Кыргыз Республикасында сот өндүрүшүнүн жетектөөчү  принциптерине ылайык сот адилеттигин камсыз кылуу </t>
    </r>
  </si>
  <si>
    <r>
      <t xml:space="preserve">Жогорку соттун ишинин ачыктыгын камсыздоо                 </t>
    </r>
    <r>
      <rPr>
        <i/>
        <sz val="11"/>
        <rFont val="Times New Roman"/>
        <family val="1"/>
        <charset val="204"/>
      </rPr>
      <t xml:space="preserve">                                    Программанын максаты:  Коррупциялык көрүнүштөр менен күрөшүү </t>
    </r>
  </si>
  <si>
    <t>Өлкөнүн интернет порталдарында жаңылыктар КР ЖС шилтемесин/сайт банерин  уюштуруу   (aki-press, k-news, 24.kg…).</t>
  </si>
  <si>
    <r>
      <t xml:space="preserve">Кыргыз Республикасынын Жогорку Кеңешинин мыйзам чыгаруу функциясы аркылуу мамлекеттин укуктук системасын калыптандыруу                                                                          </t>
    </r>
    <r>
      <rPr>
        <i/>
        <sz val="11"/>
        <rFont val="Times New Roman"/>
        <family val="1"/>
        <charset val="204"/>
      </rPr>
      <t>Программанын максаты: кабыл алынуучу мыйзамдардын жана чечимдердин жогорку сапаты жана таасирдүүлүгү</t>
    </r>
  </si>
  <si>
    <t>Түзүлгөн депутаттык комиссиялардын саны</t>
  </si>
  <si>
    <t>Иштери аяктаган  депутаттык комиссиялардын саны</t>
  </si>
  <si>
    <t>Токтомдордун аткарылышы</t>
  </si>
  <si>
    <t>Протоколдук тапшырмалардын аткарылышы</t>
  </si>
  <si>
    <t xml:space="preserve">Документтердин маалыматтык издөө системасын издөөнүн автоматташтырылган системасын түзүү жана  өркүндөтүү (  КР Президентинин  Архив фондунун электрондук архиви) </t>
  </si>
  <si>
    <t>Цифралык форматка өткөрүлгөн архивдик документтердин саны</t>
  </si>
  <si>
    <t>Абалын жакшыртууну жана  илимий-техникалык  иштеп чыгууну талап кылуучу архивдик документтердин саны</t>
  </si>
  <si>
    <t>КР  Президентинин  10.06.2001. УП №194 Жарлыгына ылайык КР Президентинин Архив ишин камсыздоону уюштуруу</t>
  </si>
  <si>
    <t>"КР улуттук архив фонду жөнүндө" КР Мыйзамына ылайык  КР  Президентинин Архивдик фондунун туруктуу мамлекеттик сактоодо турган документтеринин сакталышыне камсыз кылуу жана мамлекеттик эсепке алуу камсыздоону уюштуруу</t>
  </si>
  <si>
    <t>Республикада өткөрүлгөн социалдык- маданий жана башка иш чараларга байланыштуу алдын -алынбаган чыгашалардын пайда болуусунда  мамлекеттик колдоону көрсөтүү</t>
  </si>
  <si>
    <t>Финансылык  жардам көрсөтүүгө чыккан буйруктардын саны</t>
  </si>
  <si>
    <t>Мамлекеттик чек араларды делимитациялоо жана демаркациялоо маселелери боюнча өткөрүлгөн жолугушуулардын саны</t>
  </si>
  <si>
    <r>
      <t xml:space="preserve">Мамлекеттик сектордо транспорттук кызмат көрсөтүүлөрдү  көрсөтүү
</t>
    </r>
    <r>
      <rPr>
        <i/>
        <sz val="11"/>
        <rFont val="Times New Roman"/>
        <family val="1"/>
        <charset val="204"/>
      </rPr>
      <t>Программанын максаты: Гумандык, илимий жана кадрлар  жаатында потенциалды өнүктүрүү  демилгелерди колдоо</t>
    </r>
  </si>
  <si>
    <r>
      <t xml:space="preserve">Жогорку Кеңештин Контролдук функциясы аркылуу  мыйзамдарды аткарууну камсыз кылуу.                                               </t>
    </r>
    <r>
      <rPr>
        <i/>
        <sz val="11"/>
        <rFont val="Times New Roman"/>
        <family val="1"/>
        <charset val="204"/>
      </rPr>
      <t>Программанын максаты: Кыргыз Республикасынын конституциясын жана мыйзамдарын натыйжалуу аткаруу, Өкмөттүн жана башка мамлекеттик органдардын ишинин отчеттуулугун жана айкындуулугунун жогорку де</t>
    </r>
    <r>
      <rPr>
        <sz val="11"/>
        <rFont val="Times New Roman"/>
        <family val="1"/>
        <charset val="204"/>
      </rPr>
      <t>ӊ</t>
    </r>
    <r>
      <rPr>
        <i/>
        <sz val="11"/>
        <rFont val="Times New Roman"/>
        <family val="1"/>
        <charset val="204"/>
      </rPr>
      <t xml:space="preserve">гээли </t>
    </r>
    <r>
      <rPr>
        <b/>
        <sz val="11"/>
        <rFont val="Times New Roman"/>
        <family val="1"/>
        <charset val="204"/>
      </rPr>
      <t xml:space="preserve"> </t>
    </r>
  </si>
  <si>
    <t xml:space="preserve">Конституциялык  адилеттик  боюнча эл аралык жана региондук  уюмдардын жана бирикмелердин линиясы боюнча  уюштурулган иш чараларга  катышуулардын саны (конституциялык  адилеттик  боюнча дүйнөлүк конференция, Европа кеңешинин венециандык комиссиясы, конст. соттордунжана эквиваленттүү институтардын азия ассоциациясы, жаңы демократия өлкөлөрүнүн конституциялык контролдоо органдар-н конференциясы)  </t>
  </si>
  <si>
    <r>
      <t xml:space="preserve">Конституциялык палатанын ишинин ачыктыгын жана айкындуулугун камсыздоо  </t>
    </r>
    <r>
      <rPr>
        <i/>
        <sz val="11"/>
        <color theme="1"/>
        <rFont val="Times New Roman"/>
        <family val="1"/>
        <charset val="204"/>
      </rPr>
      <t>Максаты: коомдун ишенимин арттыруу</t>
    </r>
  </si>
  <si>
    <r>
      <t xml:space="preserve">Конституциялык сот адилеттигинин программасынын жеткиликтүүлүгүн камсыздоо.                                                             </t>
    </r>
    <r>
      <rPr>
        <i/>
        <sz val="11"/>
        <color theme="1"/>
        <rFont val="Times New Roman"/>
        <family val="1"/>
        <charset val="204"/>
      </rPr>
      <t>КП аппаратынын ишинин натыйжалуулугун жогорулатуу</t>
    </r>
  </si>
  <si>
    <r>
      <t xml:space="preserve">Пландоо, башкаруу жана администрлөө </t>
    </r>
    <r>
      <rPr>
        <i/>
        <sz val="11"/>
        <rFont val="Times New Roman"/>
        <family val="1"/>
        <charset val="204"/>
      </rPr>
      <t>Программанын максаты: Конституциялык палатанын иш системасын камсыздоо, ведомствонун башка программаларын ишке ашырууну координациялоо</t>
    </r>
  </si>
  <si>
    <r>
      <t xml:space="preserve">Кыргыз Республикасынын сот системасынын натыйжалуулугун, ачыктыгын жана  көз карандысыздыгын жогорулатуу                                                                      </t>
    </r>
    <r>
      <rPr>
        <i/>
        <sz val="11"/>
        <rFont val="Times New Roman"/>
        <family val="1"/>
        <charset val="204"/>
      </rPr>
      <t>Программанын максаты:  Кыргыз Республикасынын  сот адилеттүүлүгүн  сапаттуу  камсыз кылуу</t>
    </r>
  </si>
  <si>
    <t>Кыргыз Республикасында сот системасынын кадрдык потенциалын чыңдоо</t>
  </si>
  <si>
    <t>Судьяларды, прокурорлорду жана  адвокаттарды биргелешип окутуу практикасын киргизүү</t>
  </si>
  <si>
    <t>Жергиликтүү соотордун судьялары кызматына талапкерлерди окутуу</t>
  </si>
  <si>
    <r>
      <t xml:space="preserve">Жергиликтүү соттордун судьяларын кызматына талапкерлерди окутуу                                           </t>
    </r>
    <r>
      <rPr>
        <i/>
        <sz val="11"/>
        <rFont val="Times New Roman"/>
        <family val="1"/>
        <charset val="204"/>
      </rPr>
      <t>Программанын максаты:  Кыргыз Республикасынын сапаттуу акыйкаттыкты камсыз кылуу</t>
    </r>
  </si>
  <si>
    <r>
      <t xml:space="preserve">Окуу процессин камсыздоо - айкындык жана натыйжалуулук                                       </t>
    </r>
    <r>
      <rPr>
        <i/>
        <sz val="11"/>
        <rFont val="Times New Roman"/>
        <family val="1"/>
        <charset val="204"/>
      </rPr>
      <t>Программанын максаты: Кыргыз Республикасынын сот адилеттүүлүгүн  сапатын камсыз кылуу</t>
    </r>
  </si>
  <si>
    <r>
      <t xml:space="preserve">Кыргыз Республикасынын ЖСВШП кызматкерлеринин квалификациясын жогорулатуу                                         </t>
    </r>
    <r>
      <rPr>
        <i/>
        <sz val="11"/>
        <rFont val="Times New Roman"/>
        <family val="1"/>
        <charset val="204"/>
      </rPr>
      <t>Программанын максаты: Кыргыз Республикасынын ЖС ВШП кызматкерлеринин ишин жогорку сапатын камсыз кылуу</t>
    </r>
  </si>
  <si>
    <r>
      <t xml:space="preserve">Пландоо, башкаруу жана  администрациялоо </t>
    </r>
    <r>
      <rPr>
        <i/>
        <sz val="11"/>
        <color theme="1"/>
        <rFont val="Times New Roman"/>
        <family val="1"/>
        <charset val="204"/>
      </rPr>
      <t>Программанын максаты: Сот департаменти системасынын ишин камсыздоо ведомствонун башка программаларын, координациялоону ишке ашыруу</t>
    </r>
  </si>
  <si>
    <t>Адам  ресурстарын башкаруу</t>
  </si>
  <si>
    <t>Мониторинг, анализ жана  стратегиялык пландоону камсыз кылуу</t>
  </si>
  <si>
    <t>Автоматташтырылган маалыматтык системаны киргизүү  (АИС)</t>
  </si>
  <si>
    <t>КР судьяларды тандоо боюнча Кеңеш тарабынан судьяларды көз карандысыз тандоо</t>
  </si>
  <si>
    <t>Сот актыларынын мамлекеттик реестрин түзүү</t>
  </si>
  <si>
    <t>Электронндук архивди түзүү</t>
  </si>
  <si>
    <t>Сот корпусунун ачыктуулугун жана кесипкөйлүгүн күчөтүү</t>
  </si>
  <si>
    <t>Cот процесстерин аудио видеофиксация системасын киргизүү</t>
  </si>
  <si>
    <t xml:space="preserve">Аудио, видео фиксация жана сот жыйындарын протоколдоо менен жабдылган соттордун системасынын саны </t>
  </si>
  <si>
    <t xml:space="preserve">Cот адилеттүүлүгүн  ишке ашыруу үчүн зарыл болгон эмгек шарттарын түзүү </t>
  </si>
  <si>
    <t>Сот өндүрүшүнүн оперативдүүлүгүн камсыздоо</t>
  </si>
  <si>
    <t>Алыскы режимде сот актыларын алуу үчүн системаны иштеп чыгуу жана киргизүү (электрондук акыйкаттык системасы )</t>
  </si>
  <si>
    <r>
      <t xml:space="preserve">Жергиликтүү соттордун реалдуу көз карандысыздыгын камсыз кылуу            </t>
    </r>
    <r>
      <rPr>
        <i/>
        <sz val="11"/>
        <color theme="1"/>
        <rFont val="Times New Roman"/>
        <family val="1"/>
        <charset val="204"/>
      </rPr>
      <t>Программанын максаты:  Кыргыз Республикасында   сот өндүрүшүнүн принциптерин жетекчиликке ылайык КР сот акыйкаттыгын камсыздоо</t>
    </r>
  </si>
  <si>
    <t>Контролдук-өтмөк режимди киргизүү</t>
  </si>
  <si>
    <t>Сот процесстерин аудио-видеофиксациясын киргизүү</t>
  </si>
  <si>
    <t>Бюджеттик системаны каржылоонун ачыктыгын камсыздоо механизмин киргизүү</t>
  </si>
  <si>
    <t>Зыян келтирилген соттордун саны (сот отурумдарынын катышуучуларынын,  соттордун имаратынын короосундагы митингге чыккандар)</t>
  </si>
  <si>
    <t>Сот процессинин жүрүшүнө таасир берүүчү сот залындагы инциденттер саны   (кийинкиге калтыруу, узак пауза)</t>
  </si>
  <si>
    <t>СД системасындагы коррупциялык көрүнүштөрдүн саны</t>
  </si>
  <si>
    <t>Каралган иштердин  жалпы санында  кабыл алынган жана  аткарылган чечимдердин саны</t>
  </si>
  <si>
    <r>
      <t xml:space="preserve">Натыйжалуу жана жеткиликтүү сот адилеттүүлүгү                              </t>
    </r>
    <r>
      <rPr>
        <i/>
        <sz val="11"/>
        <color theme="1"/>
        <rFont val="Times New Roman"/>
        <family val="1"/>
        <charset val="204"/>
      </rPr>
      <t>Программанын максаты:сот чечимдеринин  сот адилеттүүлүгүн жана  боло турган адилеттүүлүктү ишке ашыруу</t>
    </r>
  </si>
  <si>
    <r>
      <t xml:space="preserve">Жергиликтүү соттордун  ачыктуулугун жана отчеттуулугун камсыз кылуу        </t>
    </r>
    <r>
      <rPr>
        <sz val="11"/>
        <color theme="1"/>
        <rFont val="Times New Roman"/>
        <family val="1"/>
        <charset val="204"/>
      </rPr>
      <t>Программанын макса</t>
    </r>
    <r>
      <rPr>
        <i/>
        <sz val="11"/>
        <color theme="1"/>
        <rFont val="Times New Roman"/>
        <family val="1"/>
        <charset val="204"/>
      </rPr>
      <t xml:space="preserve">ты: сот системасында коррупциялык  көрүнүштөр менен күрөшүү </t>
    </r>
  </si>
  <si>
    <t>Аткаруучу өндүрүш институтунун   ишин тиешелүү камсыз кылуу</t>
  </si>
  <si>
    <t>Аткаруучу өндүрүштүн  институтунун  ишин камсыз кылуу</t>
  </si>
  <si>
    <t>Соттордун  судьяларынын, кызматкерлеринин кесиптик деңгээлин тиешелүү камсыз кылуу</t>
  </si>
  <si>
    <t>Сот адилеттүүлүгүн ишке ашыруу үчүн   зарыл болгон эмгек шарттарын түзүү</t>
  </si>
  <si>
    <r>
      <t xml:space="preserve">Сот адилеттигин гуманизациялоо   </t>
    </r>
    <r>
      <rPr>
        <i/>
        <sz val="11"/>
        <color theme="1"/>
        <rFont val="Times New Roman"/>
        <family val="1"/>
        <charset val="204"/>
      </rPr>
      <t>Программанын максаты:   абдан катаал сот чечимдерден четтөө</t>
    </r>
  </si>
  <si>
    <t xml:space="preserve">Финансылык  менеджмент жана эсепке алууну камсыз кылуу </t>
  </si>
  <si>
    <t>Ишти жана  камсыздоо кызматын уюштуруу</t>
  </si>
  <si>
    <t>Аудит жана  аудит натыйжалуулугу: республикалык бюджетти аткаруунун натыйжалуулугун баалоо,   жергиликтүү бюджетти түзүү жана аткаруу, мамлекеттик жана муницип менчикти пайдалануу, мамлекеттик аудиттин эл аралык стандарттарын камсыздоо жана ишке ашыруу.</t>
  </si>
  <si>
    <t>Шайлоолор боюнча БШК аппаратынын ишин координациялоо жана камсыз кылуу</t>
  </si>
  <si>
    <r>
      <t xml:space="preserve">Жарандардын  конституциялык  укугун ишке ашыруу аркылуу референдумдарга жана  шайлоолорго катышуу .                           </t>
    </r>
    <r>
      <rPr>
        <i/>
        <sz val="11"/>
        <rFont val="Times New Roman"/>
        <family val="1"/>
        <charset val="204"/>
      </rPr>
      <t>Максаты :  референдумдарда жана шайлоолордо шайлоочулардын келүүсүнүн жогорку деңгээли</t>
    </r>
  </si>
  <si>
    <t>Добуш берүүнүн жыйынтыгын   чыгаруу  жана шайлоолордун натыйжаларын  аныктоо</t>
  </si>
  <si>
    <t>Аткаруу бийлигинин ЧУА чыгаруунун  жана мыйзамдарды аткаруунун мыйзамдуулугун көзөмөлдөө</t>
  </si>
  <si>
    <t>Конститиуциялык мыйзам менен аныкталган аткаруу бийлик органдары,  жергиликтүү бийлик орган,кызмат адамдарынын,о.э  башка мамлекеттик органдар тарабынан  мыйзамдарды  так жана бирдей аткарууга көзөмөл</t>
  </si>
  <si>
    <r>
      <t>Жүргүзүлгөн текшерүүлөр саны (</t>
    </r>
    <r>
      <rPr>
        <b/>
        <u/>
        <sz val="11"/>
        <color theme="1"/>
        <rFont val="Times New Roman"/>
        <family val="1"/>
        <charset val="204"/>
      </rPr>
      <t xml:space="preserve"> 2018 -ж бузууларды аныктоо</t>
    </r>
    <r>
      <rPr>
        <b/>
        <sz val="11"/>
        <color theme="1"/>
        <rFont val="Times New Roman"/>
        <family val="1"/>
        <charset val="204"/>
      </rPr>
      <t>), администрациялык жана   тартиптик  жаза менен жазаланган  адамдарды прокурордук байкоо  киргизүү актылардын саны, зыянды байкоо акт боюнча  ордун толтуруу суммасы.</t>
    </r>
  </si>
  <si>
    <t>Коррупцияга каршы аракеттенүү  коррупцияга каршы аракеттер боюнча мам органдардын ишин координациялоо.</t>
  </si>
  <si>
    <t>Жүргүзүлгөн текшерүүлөр саны ( 2018 -ж бузууларды аныктоо),админ  жана   тартиптик  жаза менен жазаланган  адамдарды прокурордук байкоо  киргизүү актыларынын саны, зыянды байкоо акт боюнча  орду толтурулган суммасы.</t>
  </si>
  <si>
    <t xml:space="preserve">Кыргызй Республикасынын укук коргоо системасы үчүн "Кылмыштардын жана жоруктардын Бирдиктүү реестри" автоматташтырылган маалыматтык системасын иштеп чыгуу жана киргизүү,  модернизациялоо </t>
  </si>
  <si>
    <t xml:space="preserve">Кылмыштуулук жөнүндө кылмыш-укуктук статистикасын, ( укук коргоо системасында статистикалык жыйымы) укук коргоо органдарындагы иликтөө жүргүзүлгөн иштер </t>
  </si>
  <si>
    <t>Кыргыз Республикасынын аскер прокуратурасынын органдарынын ишин сапаттуу контролдоо жана  натыйжалуу  башкаруу</t>
  </si>
  <si>
    <t>Утуп алынган  сот процесстеринин саны</t>
  </si>
  <si>
    <t>Сот процесстерине катышуу</t>
  </si>
  <si>
    <t>Мамлекеттик каттоону ишке ашыруу, областтардын аймагында түзүлүүчү, ошондой эле калкка  көрсөтүүчү нотариалдык кызматтарды көрсөтүүчү кайра каттоону жана юридикалык жактарды жана филиалдарды (өкүлчүлүктөрдү) каттоону токтотуу</t>
  </si>
  <si>
    <r>
      <t xml:space="preserve">Нотариалдык  мамлекеттик кызматтарды ишке ашыруу, апостилдөө чөйрөсүндө  ишти ишке ашыруу. 
</t>
    </r>
    <r>
      <rPr>
        <i/>
        <sz val="11"/>
        <rFont val="Times New Roman"/>
        <family val="1"/>
        <charset val="204"/>
      </rPr>
      <t>Максаты: нотариалдык иштин жана апостилдөөнү координациялоочу таасири</t>
    </r>
  </si>
  <si>
    <r>
      <t xml:space="preserve">Юридикалык жактарды жана күрөө бүтүмдөрдүн каттоо жаатындагы бирдиктүү мамлекеттик саясатты жүргүзүү       </t>
    </r>
    <r>
      <rPr>
        <i/>
        <sz val="11"/>
        <rFont val="Times New Roman"/>
        <family val="1"/>
        <charset val="204"/>
      </rPr>
      <t>Программанын максаты: берилген ыйгарым укуктардын чегинде юридикалык жактарды күрөөлүк бүтүмдөрдү каттоону камсыздоо</t>
    </r>
  </si>
  <si>
    <t xml:space="preserve">Мамлекеттик каттоо, кайра каттоо жана токтотуу саны                 </t>
  </si>
  <si>
    <t xml:space="preserve">Программалык камсыздоону иштеп чыгуу жана киргизүү </t>
  </si>
  <si>
    <t>Юридикалык жактарды филиалдарынын(өкүлчүлүк) каттоо процессине тартылган ЮМ, юстициянын аймактык органдарынын кызматкерлери үчүн окутуучу семинарларды өткөрүү</t>
  </si>
  <si>
    <t>ЮМ юридикалык жактардын филиал (өкүлчүлүк) жана аймактык органдардын архив каттоо документтерин инвентаризациялоо үчүн келишим менен адистерди тартуу</t>
  </si>
  <si>
    <t xml:space="preserve">Юридикалык жактардын филиалдарынын ЮМнын өкүлчүлүктөрүнүн жана юстиция  аймактык органдарынын катталган архивдик документтерди  сканерлөө үчүн  келишим менен адистерди тартуу </t>
  </si>
  <si>
    <t>Сигнализацияны, эшиктерди брондоо, стеллажды сатып алуу жана орнотуу</t>
  </si>
  <si>
    <t>Кыймылсыз мүлк менен күрөө бүтүмдөрүн мамлекеттик каттону жүрүзүү</t>
  </si>
  <si>
    <t>Юридикалык жактардын филиадарынын, ЮМ өкүлчүлүгүн каттоонун архивдик иштеринин сакталышын камсыз кылуу</t>
  </si>
  <si>
    <r>
      <t xml:space="preserve">Мамлекеттик кепилденген  юридикалык жардам                                                   </t>
    </r>
    <r>
      <rPr>
        <i/>
        <sz val="11"/>
        <rFont val="Times New Roman"/>
        <family val="1"/>
        <charset val="204"/>
      </rPr>
      <t xml:space="preserve">Программа максты: Мамлекеттик кепилденген  юридикалык жардам </t>
    </r>
  </si>
  <si>
    <t>Мамлекеттик кепилденген   сапаттуу  юридикалык жардамды көрсөтүү</t>
  </si>
  <si>
    <r>
      <rPr>
        <b/>
        <sz val="11"/>
        <rFont val="Times New Roman"/>
        <family val="1"/>
        <charset val="204"/>
      </rPr>
      <t xml:space="preserve">Тейлөө  функцияларын ишке ашыруу </t>
    </r>
    <r>
      <rPr>
        <sz val="11"/>
        <rFont val="Times New Roman"/>
        <family val="1"/>
        <charset val="204"/>
      </rPr>
      <t xml:space="preserve">
</t>
    </r>
    <r>
      <rPr>
        <i/>
        <sz val="11"/>
        <rFont val="Times New Roman"/>
        <family val="1"/>
        <charset val="204"/>
      </rPr>
      <t>Программанын максаты:мамл кызмат функциялары менен байланышпаган тейлөөчү жана техникалык иштерди ишке ашыруу</t>
    </r>
  </si>
  <si>
    <t>Тышкы иштер чөйрөсүндө башкарууну ишке ашыруу</t>
  </si>
  <si>
    <t>Кыргыз Республикасынын улуттук коопсуздугун дипломатиялык каражаттар менен камсыз кылуу жана анын экономикалык жана социалдык саясатын ишке ашырууга катышуу</t>
  </si>
  <si>
    <t>Бюджеттик ачыктыкты камсыз кылуу</t>
  </si>
  <si>
    <t>Бюджетти орто мөөнөттүү болжолдоо</t>
  </si>
  <si>
    <t>Мамлекеттик инвестицияларды пландоо жана тартуу</t>
  </si>
  <si>
    <r>
      <t xml:space="preserve">Кирешелер жана чыгашалар боюнча  бюджетти аткарууда кассалык  тейлөө.                                                                                              </t>
    </r>
    <r>
      <rPr>
        <i/>
        <sz val="11"/>
        <color indexed="8"/>
        <rFont val="Times New Roman"/>
        <family val="1"/>
        <charset val="204"/>
      </rPr>
      <t>Программанын  максаты:  Бюджетти аткаруу  жана отчеттуулук  процессин жакшыртуу</t>
    </r>
  </si>
  <si>
    <t>Казыналыктын органдары тарабынан бюджет алуучулардын жеке  эсеп-кысабын  киргизүү  жана бюджетти аткарууда кассалык тейлөө менен байланышкан,  башка кызматтарды  көрсөтүүнү ишке ашырылуучу, БКБТ (БКТ, БКА)  жана жергиликтүү өз алдынча башкаруу органдарынын үлүшү</t>
  </si>
  <si>
    <t>Белгиленген мөөнөттө  даярдалган  эксперттик корутундулардын үлүшү</t>
  </si>
  <si>
    <t>Белгиленген тартипте  баалуу металлдарды жана асыл таштарды  экспорттоо, импорттоо боюнча  лицензия алууга  эксперттик корутундуну даярдоо</t>
  </si>
  <si>
    <t>Белгиленген мөөнөттө  даярдалган,  эксперттик корутундулардын үлүшү</t>
  </si>
  <si>
    <r>
      <t xml:space="preserve">Бюджеттик саясатты ишке ашыруу жана методологияны өркүндөтүү                                                                                                                                                                      </t>
    </r>
    <r>
      <rPr>
        <i/>
        <sz val="11"/>
        <color indexed="8"/>
        <rFont val="Times New Roman"/>
        <family val="1"/>
        <charset val="204"/>
      </rPr>
      <t>Программанын  максаты: Кыргыз Республикасында  мамлекеттик финансыны  башкаруу системасындагы  реформаларды ишке ашыруу</t>
    </r>
  </si>
  <si>
    <t>Бейтаптын электрондук картасын киргизген саламаттык сактоо уюмдарынын үлүшү</t>
  </si>
  <si>
    <r>
      <t xml:space="preserve">Баштапкы медициналык-санитардык жардам кызматын көрсөтүү                                                                                                                                     </t>
    </r>
    <r>
      <rPr>
        <i/>
        <sz val="11"/>
        <rFont val="Times New Roman"/>
        <family val="1"/>
        <charset val="204"/>
      </rPr>
      <t>Программанын максаты: Баштапкы медициналык-санитардык жардамдын деңгээлинде ооруну эрте аныктоо, медициналык жана профилактикалык жардам көрсөтүүнүн сапатын жана натыйжалуулугун жогорулатуу</t>
    </r>
  </si>
  <si>
    <t>Бейтаптардын кызматтын сапатына канааттануу деңгээли (баалоо картасы боюнча)</t>
  </si>
  <si>
    <t>12 жумага чейинки мөөнөттө кош бойлуулугу боюнча каттоого турган аялдардын саны, %</t>
  </si>
  <si>
    <t>Кош бойлуу аялдардын стоматологко алдын ала көсөтүүнүн камтуу</t>
  </si>
  <si>
    <t>Стационардык топтоштурулган бюджетинин жалпы чыгашаларында түздөн түз бейтапка кеткен чыгымдарынын үлүшү:</t>
  </si>
  <si>
    <t>Бардык программалар боюнча эмгек акыга чыгымдардын суммасына 004 Программасы боюнча эмгек акыга чыгымдардын катышы</t>
  </si>
  <si>
    <r>
      <t xml:space="preserve">Кыргыз Республиасынын БИМдин LE 150001548 лицензиясына ылайык МКТ жаатында квалификациясын жогорулатуунун кыска мөөнөттүү курстарын уюштуруу                                                                                                                           </t>
    </r>
    <r>
      <rPr>
        <i/>
        <sz val="11"/>
        <color indexed="8"/>
        <rFont val="Times New Roman"/>
        <family val="1"/>
        <charset val="204"/>
      </rPr>
      <t>Программанын максаты:МКТ жана санариптик трансформация жаатында эмгек рыногунда талап кылынган квалификацияны жогорулатуу курстарын уюштуруу аркылуу мамлекеттик ведомстволордун, уюмдардын, компаниялардын калктын адам потенциалын күчөтүү</t>
    </r>
  </si>
  <si>
    <r>
      <t xml:space="preserve">МКТ жаатында сертификациялоо боюнча кызмат көрсөтүү жана эл аралык тесттик борборлордо авторизацияланган экзамендерди уюштуруу              </t>
    </r>
    <r>
      <rPr>
        <i/>
        <sz val="11"/>
        <color indexed="8"/>
        <rFont val="Times New Roman"/>
        <family val="1"/>
        <charset val="204"/>
      </rPr>
      <t xml:space="preserve">Программанын максаты: өлкөнүн аймагынан чыгуу зарылдыгысыз кесиптик сертификациялоону уюштуруу аркылуу мамлекеттик ведомстволордун, уюмдардын, компаниялардын жана калктын адам потенциалын күчөтүү </t>
    </r>
  </si>
  <si>
    <t>Экзамендерди өткөрүү администраторлорун ар жылдык   сертификациялоо</t>
  </si>
  <si>
    <t>Экзамендерди өткөрүүнүн сертификатталган администраторлорунун саны</t>
  </si>
  <si>
    <r>
      <t xml:space="preserve">2017-жылдын 23-майындагы ГАС КР № 17-0157-КР лицензиясына ылайык, интернет-кызмат көрсөтүүлөрдү жана Борбор Азиялык илимий билим берүү тарамы  (CAREN) - ЕБ долбоору үчүн тарамдык операциялык борборго кызмат көрсөтүүлөр 
</t>
    </r>
    <r>
      <rPr>
        <i/>
        <sz val="11"/>
        <color indexed="8"/>
        <rFont val="Times New Roman"/>
        <family val="1"/>
        <charset val="204"/>
      </rPr>
      <t xml:space="preserve">Программанын максаты: билим берүү жана илим-изилдөө коомчулугунун муктаждыктарын канаттандыруу үчүн багытталган маалыматтарды берүүнүн жогорку ылдамдыктагы тарамдарын өнүктүрүүгө көмөк көрсөтүү, бул болсо изилдөөчүлөр, окутуучулар жана студенттердин биргелешкен ишинин натыйжалуулугу үчүн электрондук ишенимдүү жана ылдам маалымат алмашуу мүмкүнчүлүгүн камсыздайт.   </t>
    </r>
  </si>
  <si>
    <t>Билимдерди түзүү эсебинен министрликтин потенциалын жогорулатуу жана арттыкчылыктуу багыттарда экономикалык саясатты өркүндөтүү боюнча рекомендацияларды иштеп чыгуу, иштеп чыгууларга катышуу</t>
  </si>
  <si>
    <t xml:space="preserve">Кыргыз Республикасынын жана башка мамлекетинин ортосунда кош салыкты болтурбоону камсыз кылуу. </t>
  </si>
  <si>
    <t>Казакстан  Республикасы менен мүлктүк маселелерге байланыштуу сүйлөшүүлөрдү жүргүзүү боюнча иш чараларды камсыздоо</t>
  </si>
  <si>
    <t>ЧУА саны (Концепциялар, токтомдор, мыйзамдар)</t>
  </si>
  <si>
    <t>Фактынын  макроэкономикалык болжолдун маанисинен четтөөсү</t>
  </si>
  <si>
    <t>Ишкердүүлүк иш жаатындагы тиешелүү ЧУАларды кабыл алуу жолу менен жагымдуу ишкердүүлүк чөйрөсүн түзүү (Ишкердүүлүк ишин өнүктүрүү жана колдоо, Лицензиялоочу-уруксат берүүчү жана контолдук-көзөмөлдөочү чөйрөлөрдө регулятивдик таасир этүү анализинин (РТА) системасына жаңы ыкмаларды киргизүү)</t>
  </si>
  <si>
    <t xml:space="preserve">Кыргыз Республикасынын Өкмөтүнүн министрликтерин жана административдик ведомстволорун,  облустардагы ыйгарым укуктуу өкүлчүлүктөрүн, Бишкек жана Ош шаардык мэрияларын  макроэкономикалык талдоо жана болжолдоо маселелери  боюнча координациялоону жакшыртууда бирдиктүү макулдашылган макроэкономикалык саясат жүргүзүү  </t>
  </si>
  <si>
    <t>Бекитилген ички   стратегиялык документтер жана   пландар саны</t>
  </si>
  <si>
    <t>Бекитилген программалык стратегиялык документтер  жана пландар, ЧУА саны</t>
  </si>
  <si>
    <t xml:space="preserve">Программанын максаты: Экспортун өсүшү жана ички сооданы өнүктүрүү үчүн түшүү өсүшү үчүн жагымдуу шарттарды түзүү </t>
  </si>
  <si>
    <t>Өткөрүлгөн чаралардын саны</t>
  </si>
  <si>
    <t>Секретариат жана  КР актуалдуу маселелери боюнча делегациялар менен жолугушуулар саны</t>
  </si>
  <si>
    <t>ТР ТС үчүн стандарттарды камсыз кылуу деңгээли</t>
  </si>
  <si>
    <t xml:space="preserve">ТР ТС  талаптарын сактоо үчүн өлчөө жана иликтөөлөрдү бирдиктүүлүгүн камсыздоо рекалибровкалооаркылуу улуттук институттарда башка өлкөлөрдө  метрология боюнча региондук органдардын алкагында өлчөө эталондору түрлөрүн  салыштырууларга катышуу </t>
  </si>
  <si>
    <t xml:space="preserve">КР стандарттарды колдонулуу гармонизациясынын денгээли </t>
  </si>
  <si>
    <t>Мамлекеттик аралык  стандарттарды иштеп чыгуу менен байланыштууазык түлүк продукциясыб-ча (МТК)стандартизациясы боюнча өкмөт аралык техникалык комитеттердин ишине катышуу</t>
  </si>
  <si>
    <t>ИСО/ МЭК 1702 лабор талаптарын сынак,калибрдик компетенттүүлүгүн ырастоо5;  ИСО 15189 медициналык лабораторияларга ылайык келүү</t>
  </si>
  <si>
    <t>КЦАна ылайык келүүнү ырастоо  ИСО/МЭК 17011</t>
  </si>
  <si>
    <t>ИСО/ МЭК17065талаптарына продук/кызмат сертификациялоо органкомпетенттүүлүгүн ырастоо,  ИСО/МЭК 17021, персоналын  сертификациялоо ИСО/МЭК 17024,  контролдоо органдары  ИСО/МЭК 17020</t>
  </si>
  <si>
    <t>2014-жылдын 29-майындагы Евразия экономикалык союзу жөнүндө келишим боюнча шарттарды жана милдеттемелерди аткарууга  байланышкан министрликтердин жана ведомстволордун ишин координациялоо</t>
  </si>
  <si>
    <t>Кыргыз Республикасынын мамлекеттик чек арасын делимитациялоо жана демаркациялоо</t>
  </si>
  <si>
    <r>
      <t xml:space="preserve">Соттолгондорду жана тергөөдөгүлөрдү багуу  </t>
    </r>
    <r>
      <rPr>
        <i/>
        <sz val="11"/>
        <color indexed="8"/>
        <rFont val="Times New Roman"/>
        <family val="1"/>
        <charset val="204"/>
      </rPr>
      <t>Максаты: Жазаны өтөөнү, жазанын максаттарына жетишүүнү  камсыз кылуучу жана   соттолгондордун жазадан бошотулгандан кийин  ресоциалдаштырууга көмөктөшүүчү шарттарды түзүү жана колдоо</t>
    </r>
    <r>
      <rPr>
        <b/>
        <i/>
        <sz val="11"/>
        <color indexed="8"/>
        <rFont val="Times New Roman"/>
        <family val="1"/>
        <charset val="204"/>
      </rPr>
      <t xml:space="preserve">    </t>
    </r>
  </si>
  <si>
    <r>
      <rPr>
        <sz val="11"/>
        <color indexed="8"/>
        <rFont val="Times New Roman"/>
        <family val="1"/>
        <charset val="204"/>
      </rPr>
      <t>Дарылоо мекемелеринде жалпы ооруларды азайтуу</t>
    </r>
    <r>
      <rPr>
        <b/>
        <sz val="11"/>
        <color indexed="8"/>
        <rFont val="Times New Roman"/>
        <family val="1"/>
        <charset val="204"/>
      </rPr>
      <t xml:space="preserve"> </t>
    </r>
  </si>
  <si>
    <r>
      <t xml:space="preserve">Мектепке чейинки билим берүү                                                             </t>
    </r>
    <r>
      <rPr>
        <i/>
        <sz val="11"/>
        <color indexed="8"/>
        <rFont val="Times New Roman"/>
        <family val="1"/>
        <charset val="204"/>
      </rPr>
      <t>Программанын максаты: балдарды мектепке даярдоо</t>
    </r>
  </si>
  <si>
    <t xml:space="preserve">Мектепке чейинки курактагы балдардын акыл-эсин жогорулатуу жана дене тарбиясын өнүктүрүү </t>
  </si>
  <si>
    <t>Бардык программалар боюнча  эмгек акыга чыгашалардын суммасына карата 001 программасы боюнча эмгек акыга чыгашалардын катышы</t>
  </si>
  <si>
    <r>
      <rPr>
        <b/>
        <sz val="11"/>
        <rFont val="Times New Roman"/>
        <family val="1"/>
        <charset val="204"/>
      </rPr>
      <t xml:space="preserve">Түзөтүү мекемелеринде кайтаруу, соттолгондорду конвой менен коштоп жүрүү     </t>
    </r>
    <r>
      <rPr>
        <sz val="11"/>
        <rFont val="Times New Roman"/>
        <family val="1"/>
        <charset val="204"/>
      </rPr>
      <t xml:space="preserve">                                                                                          </t>
    </r>
    <r>
      <rPr>
        <i/>
        <sz val="11"/>
        <rFont val="Times New Roman"/>
        <family val="1"/>
        <charset val="204"/>
      </rPr>
      <t>Программанын максаты: Түзөтүү мекемелеринде соттолгондордун жана камакка алынган адамдардын  режимди сактоосун камсыз кылуу</t>
    </r>
  </si>
  <si>
    <t>Республикалык деңгээлде жалпы координациялоо (бюджет жана атайын каражаттар)</t>
  </si>
  <si>
    <r>
      <t>Ченемдик бюджеттик каржылоого өткө</t>
    </r>
    <r>
      <rPr>
        <sz val="11"/>
        <color theme="1"/>
        <rFont val="Times New Roman"/>
        <family val="1"/>
        <charset val="204"/>
      </rPr>
      <t>н мектептердин салыштырмалуу салмагы</t>
    </r>
  </si>
  <si>
    <t>Жогорку окуу жайларынын окутуучуларынын квалификациясын жогорулатуу системасын  өнүктүрүү үчүн шарттарды түзүү</t>
  </si>
  <si>
    <t>Күндүзгү жалпы билим берүү мектептеринин алдындагы кечки/нөөмөттүк/ сырттан окуу класстарына кабыл алынгандардын саны</t>
  </si>
  <si>
    <t>Электрондук документ жүгүртүү системасы</t>
  </si>
  <si>
    <t>Интеллектуалдык менчик укуктарын ишке ашыруу процессине жарандык коомду тартуу, талаш-тартыштарды сотко чейин жөнгө салуу үчүн медиация институтун түзүү</t>
  </si>
  <si>
    <t>Интеллектуалдык менчикке байланышкан  талаштарды чечүү боюнча окутулган медиаторлордун саны</t>
  </si>
  <si>
    <t>38 Кыргыз Республикасынын Эмгек жана социалдык өнүктүрүү министрлиги</t>
  </si>
  <si>
    <r>
      <t xml:space="preserve">Пландаштыруу, башкаруу жана администрациялоо.                                     </t>
    </r>
    <r>
      <rPr>
        <i/>
        <sz val="11"/>
        <rFont val="Times New Roman"/>
        <family val="1"/>
        <charset val="204"/>
      </rPr>
      <t>Программанын максаты: Ушул стратегияга кирген бюджеттик программаларды натыйжалуу ишке ашырууну камсыз кылуу үчүн координация жана уюштуруу.</t>
    </r>
  </si>
  <si>
    <t>31</t>
  </si>
  <si>
    <t>Мамлекеттик жөлөкпулдарды, жеңилдиктердин ордуна акчалай компенсацияларды жана башка социалдык төлөмдөрдү, ден соолугунун мүмкүнчүлүгү чектелген адамдарды жана улгайган жарандарды социалдык тейлөөнү өз убагында жана сапаттуу берүүнү камсыз кылуу</t>
  </si>
  <si>
    <t>32</t>
  </si>
  <si>
    <t>Өз убагында жана сапаттуу социалдык кызматтарды көрсөтүү, турмуштук оор кырдаалдагы жарандардын, балдардын жана үй бүлөлөрдүн  социалдык  корголбогон категорияларын  натыйжалуу социалдык коргоону камсыз кылуу</t>
  </si>
  <si>
    <r>
      <t xml:space="preserve">Турмуштук оор кырдаалдагы үй-бүлөлөр жана балдар.                                                                </t>
    </r>
    <r>
      <rPr>
        <i/>
        <sz val="11"/>
        <rFont val="Times New Roman"/>
        <family val="1"/>
        <charset val="204"/>
      </rPr>
      <t xml:space="preserve">Максаты: 1.Ден соолугунун мүмкүнчүлүгү чектелген адамдарды жана улгайган жарандарды кошкондо  турмуштук оор кырдаалдагы (ТОК) адамдардын байгерчилигин жогорулатуу, ошондой эле балдарды мамлекеттик жөлөкпулдар менен камсыз кылуу; 2. ТОК турган багып алуучу үй-бүлөлөр институтун өнүктүрүү; 3. Чет  мамлекеттин аймагында ата-энесинин камкордугусуз калган КР жарандарынын балдарын КРга кайтаруу; </t>
    </r>
  </si>
  <si>
    <t>Бала төрөлгөндө жана 16 жашка чейинки балдары бар муктаж үй-бүлөлөрдү  жөлөкпулдар менен камсыз кылуу</t>
  </si>
  <si>
    <t>Базалык жылга карата учурдагы жылдын "балага сүйүнчү" - бала төрөлгөндө бир жолку жөлөкпулдун өлчөмүнүн катышы</t>
  </si>
  <si>
    <t>1( 2700 сом)</t>
  </si>
  <si>
    <t xml:space="preserve">Базалык жылга карата учурдагы жылдын кепилденген минималдуу кирешесинин өлчөмүнүн катышы  </t>
  </si>
  <si>
    <t>900 сом</t>
  </si>
  <si>
    <t>10дон кем эмес</t>
  </si>
  <si>
    <t xml:space="preserve">Базалык жылга карата учурдагы жылдын "үй-бүлөгө көмөк" - 16 жашка чейинки жаштагы балдары бар муктаж жарандарга (үй-бүлөлөргө) ар айлык жөлөкпулдун өлчөмүнүн деңгээли </t>
  </si>
  <si>
    <t>810 сом</t>
  </si>
  <si>
    <t xml:space="preserve">Пенсиялык камсыз кылууга, ай сайын социалдык жөлөкпулга  укугу болбогон адамдарды камсыз кылуу </t>
  </si>
  <si>
    <t xml:space="preserve">Пенсиянын базалык бөлүгүнө ДМЧ балдар үчүн жөлөкпулдардын өлчөмүнүн катышы </t>
  </si>
  <si>
    <t>Пенсиянын базалык бөлүгүнө ДМЧА үчүн жөлөкпулдардын өлчөмдөрүнүн катышы</t>
  </si>
  <si>
    <t>112,3-168,5</t>
  </si>
  <si>
    <t>151,7-224,7</t>
  </si>
  <si>
    <t>Пенсиянын базалык бөлүгүнө улгайган жарандардын АСЖ өлчөмдөрүнүн катышы</t>
  </si>
  <si>
    <t>Базалык жылдын деңгээлинде 2010-жылдын апрель-июнунда болгон окуялардын натыйжасында каза болгондордун үй-булө мүчөлөрүнө жана жабыркаган адамдарга кошумча ай сайын социалдык жөлөкпулду төлөө</t>
  </si>
  <si>
    <t xml:space="preserve">Кошумча ай сайын берилүүчү социалдык жөлөкпулдун өлчөмү </t>
  </si>
  <si>
    <t>эсептөө көрсөткүчтөрүнүн саны</t>
  </si>
  <si>
    <t>Жалал-Абад облусунун Аксы районунда 2002-жылы болгон окуялардын натыйжасында каза болгондордун үй-булө мүчөлөрүнө жана жабыркаган адамдарга  кошумча социалдык жөлөкпулду төлөө</t>
  </si>
  <si>
    <t xml:space="preserve">Кошумча социалдык жөлөкпулдун өлчөмү </t>
  </si>
  <si>
    <t>эсептөө көрсөткүчү</t>
  </si>
  <si>
    <t>Мамлекеттик социалдык заказдын алкагында турмуштук оор кырдаалдагы балдар үчүн социалдык кызматтарды өнүктүрүү (КР Балдар жөнүндө кодексинин 5-беренеси менен ТОК балдардын категориясы аныкталган)</t>
  </si>
  <si>
    <t>Борбордун болушу</t>
  </si>
  <si>
    <t>борборлордун саны</t>
  </si>
  <si>
    <t>Мурда түзүлгөн борборлорду колдоо</t>
  </si>
  <si>
    <t xml:space="preserve">КР ЭСӨМ аймактык жана ведомстволук бөлүмдөрүнүн кызматкерлеринин потенциалын жогорулатуу </t>
  </si>
  <si>
    <t>Окутууга РШСӨБ үй бүлөнү жана балдарды коргоо бөлүмдөрүнүн 100дөн  кем эмес кызматкерлери камтылган</t>
  </si>
  <si>
    <t xml:space="preserve">Окутууга РШСӨБ жана УСЗ ишке орноштурууга көмөктөшүү бөлүмдөрүнүн 35тен кем эмес кызматкери  камтылган </t>
  </si>
  <si>
    <t>Багып алуучу (фостердик) үй-бүлөлөрдүн санын көбөйтүү</t>
  </si>
  <si>
    <t>Даярдалган багып алуучу үй-бүлөлөрдүн саны</t>
  </si>
  <si>
    <t>Багып алуучу үй-бүлөгө жайгаштырылган балдардын саны</t>
  </si>
  <si>
    <t>Чет  мамлекеттин аймагында КР жараны болгон ата-энесинин кароосуз калган балдарды кайтаруу (репатриация)</t>
  </si>
  <si>
    <t>Кайтарылган балдардын саны</t>
  </si>
  <si>
    <t>Телефон аркылуу абоненттерге, анын ичинде балдарга консультативдик-психологиялык жардам көрсөтүү</t>
  </si>
  <si>
    <t>Абоненттерден, анын ичинде балдардан түшкөн чалуулардын саны</t>
  </si>
  <si>
    <t>абонент</t>
  </si>
  <si>
    <r>
      <rPr>
        <b/>
        <sz val="11"/>
        <rFont val="Times New Roman"/>
        <family val="1"/>
        <charset val="204"/>
      </rPr>
      <t xml:space="preserve">Ден соолугунун мүмкүнчүлүгү чектелген адамдарды (ДМЧА) жана улгайган жарандарды социалдык коргоо. </t>
    </r>
    <r>
      <rPr>
        <sz val="11"/>
        <rFont val="Times New Roman"/>
        <family val="1"/>
        <charset val="204"/>
      </rPr>
      <t xml:space="preserve">                     </t>
    </r>
    <r>
      <rPr>
        <i/>
        <sz val="11"/>
        <rFont val="Times New Roman"/>
        <family val="1"/>
        <charset val="204"/>
      </rPr>
      <t xml:space="preserve">Максаты: Базалык кызматтарга бирдей жетүүнү камсыз кылуу жана ден соолугунун мүмкүнчүлүгү чектелген адамдарды коомго натыйжалуу интеграциялоо максатында алар үчүн жашоо жөндөмдүүлүктүн жеткиликтүү чөйрөсүн түзүү.   </t>
    </r>
    <r>
      <rPr>
        <sz val="11"/>
        <rFont val="Times New Roman"/>
        <family val="1"/>
        <charset val="204"/>
      </rPr>
      <t xml:space="preserve">                                      </t>
    </r>
  </si>
  <si>
    <t>Медициналык-социалдык экспертизанын (МСЭ) административдик, функционалдык түзүмүн жана инфраструктурасын оптималдаштыруу</t>
  </si>
  <si>
    <t>1.МКФ жаңыртылган методикасы иштелип чыккан</t>
  </si>
  <si>
    <t>документ</t>
  </si>
  <si>
    <t>2.МКФ боюнча окутулган дарыгер-эксперттердин саны</t>
  </si>
  <si>
    <t>Ден соолугунун мүмкүнчүлүгү чектелген (ДМЧА) адамдарды реабилитациялоо</t>
  </si>
  <si>
    <t>Реабилитацияга камтылган ДМЧА саны</t>
  </si>
  <si>
    <t xml:space="preserve">Социалдык стационардык мекемелерде кызмат көрсөтүүлөрдү берүү
</t>
  </si>
  <si>
    <t>1. Тейленгендердин саны</t>
  </si>
  <si>
    <t xml:space="preserve">2. чыгашадардын жалпы суммасы (респ.бюджет)
</t>
  </si>
  <si>
    <t xml:space="preserve">3. Айда бир кызмат алуучуну тейлөөгө сумма 
</t>
  </si>
  <si>
    <t>Мамлекеттик социалдык заказдын алкагында улгайган жарандарга жана ден соолугунун мүмкүнчүлүгү чектелген адамдарга (ДМЧА)  социалдык кызматтарды көрсөтүү</t>
  </si>
  <si>
    <t>1.Жаңы редакциядагы мамлекеттик социалдык заказды киргизүү боюнча мыйзамдык актыларды иштеп чыгуу</t>
  </si>
  <si>
    <t>1. КРда улгайган жарандардын жашоосунун 
сапатын жогорулатуу боюнча улуттук 
комплексттик программаны иштеп чыгуу</t>
  </si>
  <si>
    <t>2. ДМЧА жалпы санына мамлекеттик социалдык заказ аркылуу камтылган ДМЧА саны</t>
  </si>
  <si>
    <t>3. ЭСӨМ системасында улгайган жарандардын жалпы санына мамлекеттик социалдык заказ аркылуу камтылган улгайган жарандардын саны</t>
  </si>
  <si>
    <t>ДМЧАны реабилитациялоо үчүн техникалык каражаттар менен камсыз кылуу (протездик-ортопедиялык буюмдар, техникалык көмөкчү каражаттар жана башка адистештирилген каражаттар)</t>
  </si>
  <si>
    <t>1.Техникалык каражаттар менен камсыздалган ДМЧА саны (адам) жана  муктаждык бирдик менен</t>
  </si>
  <si>
    <t>2. Окутулган адистердин саны</t>
  </si>
  <si>
    <t>3.Даярдалган протездик-ортопедиялык буюмдардын саны (бирдик) жана муктаждык бирдик менен</t>
  </si>
  <si>
    <t>Санаториялык-курорттук дарыланууга жолдомолор менен ДМЧАны камсыз кылуу</t>
  </si>
  <si>
    <t>1. Кайрылуулардын санына санаториялык-курорттук дарыланууга жолдомолор менен камсыздалган ДМЧА саны</t>
  </si>
  <si>
    <t>Дайыма багууга жана көзөмөлгө муктаж болгон ДМЧ балдарды баккан энелерге социалдык колдоо</t>
  </si>
  <si>
    <t>КР Өкмөтүнүн токтом долбоору иштелип чыккан</t>
  </si>
  <si>
    <t xml:space="preserve">Альтернативдүү кызмат көрсөтүү түрлөрү менен камтылган ДМЧ балдардын саны </t>
  </si>
  <si>
    <r>
      <rPr>
        <b/>
        <sz val="11"/>
        <color theme="1"/>
        <rFont val="Times New Roman"/>
        <family val="1"/>
        <charset val="204"/>
      </rPr>
      <t>Жарандардын айрым категорияларына акчалай компенсацияларды берүү жана социалдык кепилдиктер</t>
    </r>
    <r>
      <rPr>
        <sz val="11"/>
        <color theme="1"/>
        <rFont val="Times New Roman"/>
        <family val="1"/>
        <charset val="204"/>
      </rPr>
      <t xml:space="preserve">.                            </t>
    </r>
    <r>
      <rPr>
        <i/>
        <sz val="11"/>
        <color theme="1"/>
        <rFont val="Times New Roman"/>
        <family val="1"/>
        <charset val="204"/>
      </rPr>
      <t>Программанын максаты: Базалык жылдын деңгээлинде жарандардын 25 категориясына акчалай компенсациялардын өлчөмүн сактоо. 9-майга бир жолку жыл сайын берилүүчү акчалай жөлөкпулду жана УАМС ардагерлерине ай сайын өмүр бою берилүүчү стипендияны, ошондой эле расымдык жөлөкпулду төлөөнү камсыз кылуу.</t>
    </r>
  </si>
  <si>
    <t>Жарандардын 25 категориясына акчалай компенсациялардын төлөөнү камсыз кылуу</t>
  </si>
  <si>
    <t>Базалык жылдын деңгээлинде жарандардын 25 категориясына акчалай компенсациялардын өлчөмдөрүн сактоо</t>
  </si>
  <si>
    <t>1000-7000</t>
  </si>
  <si>
    <t>Улуу Ата мекендик согуштун ардагерлерине 9-майга жыл сайын бир жолку акчалай жөлөкпулду төлөөнү камсыз кылуу</t>
  </si>
  <si>
    <t>Акчалай жөлөкпулдун өлчөмү</t>
  </si>
  <si>
    <t>100-600</t>
  </si>
  <si>
    <t>Улуу Ата мекендик согуштун ардагерлерине 9-майга жыл сайын кошумча бир жолку акчалай жөлөкпулду төлөөнү камсыз кылуу</t>
  </si>
  <si>
    <t>Кошумча акчалай жөлөкпулдун өлчөмдөрү</t>
  </si>
  <si>
    <t>10000-15000</t>
  </si>
  <si>
    <t>Улуу Ата мекендик согуштун ардагерлерине ай сайын өмүр бою стипендия төлөөнү камсыз кылуу</t>
  </si>
  <si>
    <t>Өмүр бою берилүүчү стипендиянын өлчөмү</t>
  </si>
  <si>
    <t>Расымдык жөлөкпул (сөөк коюуга) төлөөлөрдү камсыз кылуу</t>
  </si>
  <si>
    <t>КРӨнүн токтому менен белгиленген орточо эмгек акыга карата расымдык жөлөкпулдун орто өлчөмүнүн катышы (%)</t>
  </si>
  <si>
    <r>
      <rPr>
        <b/>
        <sz val="11"/>
        <rFont val="Times New Roman"/>
        <family val="1"/>
        <charset val="204"/>
      </rPr>
      <t>Эмгек жана иш менен камсыз кылуу</t>
    </r>
    <r>
      <rPr>
        <sz val="11"/>
        <rFont val="Times New Roman"/>
        <family val="1"/>
        <charset val="204"/>
      </rPr>
      <t xml:space="preserve">. </t>
    </r>
    <r>
      <rPr>
        <i/>
        <sz val="11"/>
        <rFont val="Times New Roman"/>
        <family val="1"/>
        <charset val="204"/>
      </rPr>
      <t>Программанын максаты: 1. Калкты иш менен камсыз кылууга натыйжалуу көмөк көрсөтүү (иш менен камсыз кылуунун активдүү саясатын ишке ашыруу), ыңгайлуу ишти издөө боюнча кызматтарды көрсөтүү жана ишсиз жарандарды жана мамлекеттик иш менен камсыз кылуу органы аркылуу иш издеген адамдарды социалдык жактан колдоо; 2. Кызматтардын иерархиясы жана кызматкерлердин ишинин жыйынтыгы менен эмгек акысын төлөөнүн натыйжалуу системасын түзүү; 3. Кош бойлуулук жана төрөт боюнча жөлөкпул төлөөнү камсыз кылуу.</t>
    </r>
  </si>
  <si>
    <r>
      <t xml:space="preserve">Иш менен камсыз кылуу саясатынын пассивдүү чаралары </t>
    </r>
    <r>
      <rPr>
        <i/>
        <sz val="11"/>
        <color indexed="8"/>
        <rFont val="Times New Roman"/>
        <family val="1"/>
        <charset val="204"/>
      </rPr>
      <t>(жумушсуздук боюнча жөлөкпул төлөө)</t>
    </r>
  </si>
  <si>
    <t>Жөлөкпул алуучулардын саны</t>
  </si>
  <si>
    <t>Эмгек рыногунда талап кылынган кесиптерге ишсиз жарандарды окутуу</t>
  </si>
  <si>
    <t xml:space="preserve">Окутуудан,  кайра окутуудан, квалификациясын жогорулатуудан кийин ишке орношкон жумушсуз жарандардын үлүшү,    </t>
  </si>
  <si>
    <t>Убактылуу иш менен камсыз кылууну кеңейтүү</t>
  </si>
  <si>
    <t xml:space="preserve">Акы төлөнгөн коомдук иштердин (АКИ) линиясы боюнча камтылган жумушсуздардын саны </t>
  </si>
  <si>
    <t>миң адам</t>
  </si>
  <si>
    <t>Самостоятельная занятость</t>
  </si>
  <si>
    <t>Жумушсуздардын, бош орундар жарманкесине баруунун натыйжасында  ишке орношкондордун саны</t>
  </si>
  <si>
    <t>Жумушсуздарды иш менен камсыз болгон калктын санына интеграциялоо</t>
  </si>
  <si>
    <t>Ишке орноштуруу</t>
  </si>
  <si>
    <t>Он биринчи иш күндөн тартып кош бойлуулук жана төрөт боюнча жөлөкпул төлөөнү камсыз кылуу</t>
  </si>
  <si>
    <t>Орто айлык акыга % менен кош бойлуулук жана төрөт боюнча жөлөкпулдун орто айлык өлчөмүнүн катышы</t>
  </si>
  <si>
    <t>006</t>
  </si>
  <si>
    <r>
      <rPr>
        <b/>
        <sz val="11"/>
        <rFont val="Times New Roman"/>
        <family val="1"/>
        <charset val="204"/>
      </rPr>
      <t xml:space="preserve">2020-жылга чейин гендердик теңчиликке жетүү боюнча улуттук стратегияны ишке ашыруу.                                                              </t>
    </r>
    <r>
      <rPr>
        <i/>
        <sz val="11"/>
        <rFont val="Times New Roman"/>
        <family val="1"/>
        <charset val="204"/>
      </rPr>
      <t>Максаты: Кыргыз Республикасынын калкынын адамдык потенциалын толук кандуу ишке ашыруу үчүн жынысына, жаш курагына, социалдык статусуна, ден соолук мүмкүнчүлүктөрүнө, гендердик бирдейлигине жана басмырлоонун башка негиздерине карабастан өлкөнүн жарандарынын бирдей укуктарын жана мүмкүнчүлүктөрүн  камсыз кылуу үчүн институционалдык базаны түзүү</t>
    </r>
  </si>
  <si>
    <t>Экономикалык жактан активдүү эмес аялдардын санын азайтуу максатында жергиликтүү деңгээлде эмгекке жарамдуу курактагы экономикалык жактан активдүү эмес  калк үчүн кесиптик багыт берүү боюнча иш-чараларды уюштуруу</t>
  </si>
  <si>
    <t>Эмгекке жарамдуу курактагы аялдардын экономикалык активдүүлүгүн жогорулатуу</t>
  </si>
  <si>
    <t>Социалдык кызматтардын/кризистик борборлордун  гендердик жана үй-бүлөлүк зомбулуктан жапа чеккендерге жардам берүү жана үй бүлөлүк зомбулуктун күнөөкөрлөрү менен иштөө боюнча түзөтүү иштерин ишке киргизүү боюнча кызматтарын өнүктүрүү</t>
  </si>
  <si>
    <t>Жабыркагандарга кызмат көрсөтүүчү  кризистик  борборлордун саны</t>
  </si>
  <si>
    <t>БАРДЫГЫ (контролдук цифралар)</t>
  </si>
  <si>
    <t>39.  Кыргыз Республикасынын Президентине караштуу Мамлекеттик башкаруу академиясы</t>
  </si>
  <si>
    <r>
      <t xml:space="preserve">Пландаштыруу, башкаруу жана администрациялоо 
</t>
    </r>
    <r>
      <rPr>
        <i/>
        <sz val="11"/>
        <rFont val="Times New Roman"/>
        <family val="1"/>
        <charset val="204"/>
      </rPr>
      <t>Программанын максаты: Башка программаларды ишке ашырууга координациялоочу жана уюштуруучу таасир этүүлөр</t>
    </r>
  </si>
  <si>
    <t xml:space="preserve">Эмгектик талаш-тартыштар боюнча утуп алган сот процессинин үлүшү </t>
  </si>
  <si>
    <t xml:space="preserve">Утуп  алган сот иштеринин алардын санына карата катышы </t>
  </si>
  <si>
    <t>Иштерди  жана камсыз кылуу кызматын уюштуруу</t>
  </si>
  <si>
    <t xml:space="preserve">Борбордук аппараттын кызматкерлеринин жалпы санынан камсыз кылуу кызмат көрсөтүү кызматкерлеринин үлүшү </t>
  </si>
  <si>
    <t>Мониторингди, талдоону жана стратегиялык пландоону камсыз кылуу</t>
  </si>
  <si>
    <t>Талдоодон жана  экспертизадан өткөн финансылык жана илимий иштердин көлөмү</t>
  </si>
  <si>
    <r>
      <t xml:space="preserve">Кыргыз Республикасынын Президентине караштуу Мамлекеттик башкаруу академиясы тарабынан жогорку кесиптик билим берүү 
</t>
    </r>
    <r>
      <rPr>
        <i/>
        <sz val="11"/>
        <rFont val="Times New Roman"/>
        <family val="1"/>
        <charset val="204"/>
      </rPr>
      <t xml:space="preserve">Программанын максаты: эмгек рыногунун талаптарына ылайык  жогорку кесиптик билим берүү  менен кадрларды даярдоо </t>
    </r>
  </si>
  <si>
    <t xml:space="preserve">Академияны ийгиликтүү аяктаган жогорку кесиптик билимдин бүтүрүүчүлөрүнүн үлүшү </t>
  </si>
  <si>
    <t>Окуу программаларын ишке ашыруу</t>
  </si>
  <si>
    <t>Окуп жаткан  студенттердин жылдык көлөмү</t>
  </si>
  <si>
    <t>Жогорку кесиптик билим берүүнүн квалифициялуу кадрдык персоналын даярдоо</t>
  </si>
  <si>
    <t xml:space="preserve">Республикалык жана эл аралык деңгээлдеги мелдештерде, конкурстарда байгелүү орундарды ээлеген студенттердин үлүшү  </t>
  </si>
  <si>
    <r>
      <t xml:space="preserve">Мамлекеттик жана  муниципалдык кызматкерлердин квалификациясын жогорулатуу
</t>
    </r>
    <r>
      <rPr>
        <i/>
        <sz val="11"/>
        <rFont val="Times New Roman"/>
        <family val="1"/>
        <charset val="204"/>
      </rPr>
      <t xml:space="preserve">Программанын максаты: мамлекеттик жана  муниципалдык кызматкерлерди даярдоо, кайра даярдоо жана квалификациясын жогорулатуу </t>
    </r>
  </si>
  <si>
    <t xml:space="preserve">Сертификаттарды алган мамлекеттик жана муниципалдык кызматкерлердин саны </t>
  </si>
  <si>
    <t>Тренингдерди өткөрүү</t>
  </si>
  <si>
    <t>Квалификациясын жогорулатууга тартылган мамлекеттик кызматкерлердин саны</t>
  </si>
  <si>
    <r>
      <t xml:space="preserve">Кыргыз Республикасынын Президентине караштуу Мамлекеттик башкаруу академиясы тарабынан орто кесиптик билим берүү 
</t>
    </r>
    <r>
      <rPr>
        <i/>
        <sz val="11"/>
        <rFont val="Times New Roman"/>
        <family val="1"/>
        <charset val="204"/>
      </rPr>
      <t xml:space="preserve">Программанын максаты: эмгек рыногунун талаптарына ылайык  орто кесиптик билим берүү  менен кадрларды даярдоо </t>
    </r>
  </si>
  <si>
    <t xml:space="preserve"> Техникумду ийгиликтүү аяктаган кесиптик орто билим берүүнүн бүтүрүүчүлөрүнүн үлүшү</t>
  </si>
  <si>
    <t>Орто кесиптик билим берүүнүн квалификациялуу кадрдык персоналын даярдоо</t>
  </si>
  <si>
    <t xml:space="preserve">Республикалык жана эл аралык деңгээлдеги мелдештерде, конкурстарда байгелүү орундарды ээлеген, окуп жаткандардын үлүшү  </t>
  </si>
  <si>
    <t xml:space="preserve">БАРДЫГЫ (контролдук цифралар) </t>
  </si>
  <si>
    <t xml:space="preserve">40. "Согуштун, эмгектин, Куралдуу күчтөрдүн, Кыргыз Республикасынын укук коргоо органдарынын ардагерлер (пенсионерлер) уюму" коомдук бирикмеси </t>
  </si>
  <si>
    <t xml:space="preserve">Ардагерлердин жана ардагерлер уюмдарынын материалдык жана социалдык укуктарын коргоо боюнча сунуштарды киргизүү </t>
  </si>
  <si>
    <t xml:space="preserve">Ардагерлердин жашоо деңгээлин жогорулатуу боюнча мамлекеттик органдарга сунуштарды киргизүү, ошондой эле ардагерлерди жана ардагерлер уюмдарын социалдык коргоо жаатындагы  мыйзамдарды өркүндөтүү  
</t>
  </si>
  <si>
    <t>41. Кыргыз Республикасынын Айыл чарба, тамак-аш өнөр жайы жана мелиорация министрлиги</t>
  </si>
  <si>
    <r>
      <t xml:space="preserve">Пландоо, башкаруу жана администрациялоо
</t>
    </r>
    <r>
      <rPr>
        <i/>
        <sz val="11"/>
        <color theme="1"/>
        <rFont val="Times New Roman"/>
        <family val="1"/>
        <charset val="204"/>
      </rPr>
      <t>Программанын максаты: Башка программаларды ишке ашырууга координациялоочу жана уюштуруучу таасирлер</t>
    </r>
    <r>
      <rPr>
        <b/>
        <sz val="11"/>
        <color theme="1"/>
        <rFont val="Times New Roman"/>
        <family val="1"/>
        <charset val="204"/>
      </rPr>
      <t xml:space="preserve">
</t>
    </r>
  </si>
  <si>
    <t>66</t>
  </si>
  <si>
    <t xml:space="preserve"> Айыл чарба тармагын өнүктүрүүнү башкаруу жана жалпы координациялоо</t>
  </si>
  <si>
    <t xml:space="preserve">Айыл чарбада эмгектин өндүрүмдүүлүгү индекси </t>
  </si>
  <si>
    <t>Айыл чарбасынын ИДП</t>
  </si>
  <si>
    <t>млрд.сом</t>
  </si>
  <si>
    <t xml:space="preserve">Мурдагы жылга карата физикалык көлөм индекси % </t>
  </si>
  <si>
    <t>Тамак аш өнөр жайы ИДП</t>
  </si>
  <si>
    <t>Өсүмдүк өстүрүү продукциясы ИДП</t>
  </si>
  <si>
    <t>Мал чарбасы продукциясы ИДП</t>
  </si>
  <si>
    <t>Азык-түлүк товарлары продукциясынын экспортунун өсүшү</t>
  </si>
  <si>
    <t>Азык-түлүк товарлары продукциясынын импортунун өсүшү</t>
  </si>
  <si>
    <t>67</t>
  </si>
  <si>
    <t xml:space="preserve">Экономикалык, социалдык болжолдоо жана айыл чарбасын өнүктүрүү чөйрөсүндөгү тышкы байланыш инвестициялары боюнча пландаштыруу, камсыз кылуу, ошондой эле финансылык ресурстарды, бухгалтердик эсептерди, отчеттуулукту жана контролдоону түзүү жана мониторинг жүргүзүү
	</t>
  </si>
  <si>
    <t xml:space="preserve">Бардык программалар боюнча эмгек акыга чыгашалардын суммасына карата 02 программа боюнча эмгек акыга чыгашалардын катышы </t>
  </si>
  <si>
    <t xml:space="preserve">Айыл чарба экономикасын өнүктүрүү чөйрөсүндө мамлекеттик жана ведомстволук максаттуу программалар стратегияларынын концепцияларынын долбоорлорун аткаруу деңгээли </t>
  </si>
  <si>
    <t xml:space="preserve">Айыл чарба экономикасында кызматташуу жана  өнүктүрүү үчүн кол коюлган эл аралык макулдашуулардын саны </t>
  </si>
  <si>
    <t>АӨК чөйрөсүндө Евразия экономикалык союзунун техникалык  регламенттерин иштеп чыгуу</t>
  </si>
  <si>
    <t xml:space="preserve">Айыл чарба экономикасын өнүктүрүү чөйрөсүнө катышкан бюджеттик каражаттарды башкы бөлүштүрүүчүлөрдүн  финансылык менеджментинин саны 
</t>
  </si>
  <si>
    <t>бал</t>
  </si>
  <si>
    <t xml:space="preserve">Жылдык сапаттуу бюджеттик отчеттуулукту белгиленген мөөнөттө  берүү </t>
  </si>
  <si>
    <t xml:space="preserve">Ички аудит боюнча өткөрүлгөн иш-чаралардын саны </t>
  </si>
  <si>
    <t>68</t>
  </si>
  <si>
    <t xml:space="preserve">Укуктук, кадрдык, коррупцияга каршы уюштурулган ишти жана иш кагаздарын жүргүзүүнү камсыз кылуу </t>
  </si>
  <si>
    <t xml:space="preserve">Бардык программалар боюнча эмгек акыга чыгашалардын суммасына карата 03 программа боюнча эмгек акыга чыгашалардын катышы </t>
  </si>
  <si>
    <t>5/56</t>
  </si>
  <si>
    <t xml:space="preserve">АЧТММнын квалификациясын жогорулатуудан өткөн мамлекеттик кызматкерлеринин үлүшү </t>
  </si>
  <si>
    <t xml:space="preserve">Министрликтин ЖМКдагы оң эскерүүлөрүнүн саны </t>
  </si>
  <si>
    <t>33</t>
  </si>
  <si>
    <t>Агрардык  секторду өнүктүрүүнүн жалпы координациясы</t>
  </si>
  <si>
    <t xml:space="preserve">Бардык программалар боюнча эмгек акыга чыгашалардын суммасына карата 04 программа боюнча эмгек акыга чыгашалардын катышы </t>
  </si>
  <si>
    <t>Айыл чарбаны мамлекеттик колдоо</t>
  </si>
  <si>
    <t xml:space="preserve">Пестициддер жана агрохимикаттар менен коопсуз пайдаланууну камсыз кылуу, карантиндик эмес зыяндуу организмдердин айыл чарба продукциясына тийгизген зыянын кыскартуу, ошондой эле өсүмдүк өстүрүү өндүрүмдүүлүгүн жана өсүмдүк продукциясынын сапатын жогорулатуу  </t>
  </si>
  <si>
    <t xml:space="preserve">Чегиртке зыянкечтерине каршы айыл чарба жерлерин химиялык иштетүү аянты </t>
  </si>
  <si>
    <t>миң га</t>
  </si>
  <si>
    <t>ААК карантиндик зыянкечтерине каршы айыл чарба жерлерин химиялык иштетүү аянттары</t>
  </si>
  <si>
    <t>1,8/145,5</t>
  </si>
  <si>
    <t>3,0/180,3</t>
  </si>
  <si>
    <t>3,0/189,3</t>
  </si>
  <si>
    <t>3,0/198,2</t>
  </si>
  <si>
    <t xml:space="preserve">Чегиртке зыянкечтерин табууга айыл чарба жерлерин изилдөө аянттары </t>
  </si>
  <si>
    <t>АКК карантиндик зыянкечтерин  табууга айыл чарба жерлерин изилдөө аянттары</t>
  </si>
  <si>
    <t>Пестициддерге муктаждык менен камсыздуулук</t>
  </si>
  <si>
    <t>миң тонна</t>
  </si>
  <si>
    <t xml:space="preserve">Фитосанитардык жана  агрохимиялык коопсуздукту камсыз кылуу </t>
  </si>
  <si>
    <t>14835,9</t>
  </si>
  <si>
    <t>Лабаратордук изилдөөлөрдүн саны</t>
  </si>
  <si>
    <t>309/ 7392</t>
  </si>
  <si>
    <t>300/ 3000</t>
  </si>
  <si>
    <t>АКК карантиндик зыянкечтерин  табууга  изилдөө аянттары</t>
  </si>
  <si>
    <t xml:space="preserve">Айыл чарба өсүмдүктөрүнүн зыянкечтери менен биологиялык күрөш </t>
  </si>
  <si>
    <t>18788,9</t>
  </si>
  <si>
    <t>19792,3</t>
  </si>
  <si>
    <t xml:space="preserve">Кыргыз Республикасы боюнча айыл чарба багытындагы жерлерди биологиялык каражаттар менен тазалоо </t>
  </si>
  <si>
    <t xml:space="preserve"> Биологиялык каражаттар өндүрүшүнүн көлөмү</t>
  </si>
  <si>
    <t>Биолигнин</t>
  </si>
  <si>
    <t>тонн</t>
  </si>
  <si>
    <t>Триходермин</t>
  </si>
  <si>
    <t>кг/литр</t>
  </si>
  <si>
    <t>Амблисейус</t>
  </si>
  <si>
    <t>миң</t>
  </si>
  <si>
    <t>Трихограмма</t>
  </si>
  <si>
    <t>грамм</t>
  </si>
  <si>
    <t xml:space="preserve">Айыл чарбасында  механизацияны өнүктүрүү </t>
  </si>
  <si>
    <t xml:space="preserve">Лизинг кредиттик долбоорлор боюнча айыл чарба субъекттерине берилген айыл чарба техникасынын саны </t>
  </si>
  <si>
    <t xml:space="preserve">Жаңыланган машина-трактордук парктын жалпы саны </t>
  </si>
  <si>
    <t>Талаа инспекциясы,  апробация жана сорт тандоо, үрөндүн сынамыктарын тестирлөө</t>
  </si>
  <si>
    <t xml:space="preserve">Айыл чарба өсүмдүктөрүнүн жалпы айдоо аянты </t>
  </si>
  <si>
    <t xml:space="preserve">Үрөндүк айдоолордун талаа инспециясынын аянты </t>
  </si>
  <si>
    <t>Себилүүчү элита үрөндөрүн айдоо аянтынын салыштырма салмагы</t>
  </si>
  <si>
    <t xml:space="preserve">Сертификатталган  үрөндөрдүн болуусу </t>
  </si>
  <si>
    <t>Сертификатталган үрөндөрдүн көлөмү</t>
  </si>
  <si>
    <t>Данды жана нан продуктарын кайра иштетүүгө экспертизалоону жүргүзүү</t>
  </si>
  <si>
    <t>Фермердик жана дыйкан чарбаларында нан комбинатындагы продуктулардын  буудайынын үлгүлөрүнө изилдөө жүргүзүү аянты</t>
  </si>
  <si>
    <t>Мамрезерв нан комбинатындагы продуктулардын буудайынын үлгүлөрүнө анализ жүргүзүү көлөмү</t>
  </si>
  <si>
    <t>тонна</t>
  </si>
  <si>
    <t xml:space="preserve">Сортсыноо, расмий сыноону жүргүзүү, өсүмдүктөрдүн  генетикалык ресурстарын сактоо </t>
  </si>
  <si>
    <t xml:space="preserve">А/ч өсүмдүктөрүнүн    гибриддерин  жаңы сортторун расмий сыноодон  өткөрүү </t>
  </si>
  <si>
    <t>сорт-опыт</t>
  </si>
  <si>
    <t xml:space="preserve">Айыл чарба өсүмдүктөрүнүн сыналган сортторун жана гибриддерин сапаттуу баалоо жүргүзүү </t>
  </si>
  <si>
    <t>анализ</t>
  </si>
  <si>
    <t>Өсүмдүктөрдүн генетикалык ресурстарын сактоо</t>
  </si>
  <si>
    <t>үлгү</t>
  </si>
  <si>
    <t xml:space="preserve"> Жерге жайгаштыруу боюнча долбоор-иликтөө жана изилдөө иштерин аткаруу</t>
  </si>
  <si>
    <t>Райондун/ айыл аймактар боюнча жер фонддорун жана чек араларын белгилөөнү инвентаризациялоо</t>
  </si>
  <si>
    <t xml:space="preserve">район/айыл аймактары боюнча </t>
  </si>
  <si>
    <t>10 район,116-айыл аймак.</t>
  </si>
  <si>
    <t>11 район,116 айыл аймак.</t>
  </si>
  <si>
    <t xml:space="preserve">2 район,23 а.аймак, 7 шаар, мамрезер жерлери, кендер </t>
  </si>
  <si>
    <t xml:space="preserve">2район,90 калктуу пункт, мамрезерв жерлери, кендер </t>
  </si>
  <si>
    <t xml:space="preserve">2район,85 калктуу пункт, мамрезерв жерлери, кендер </t>
  </si>
  <si>
    <t>Жер катмарын изилдөөнү корректировкалоо, айдоо жерлерди мониторингдөө</t>
  </si>
  <si>
    <t>Топурак жана геобатаникалык иликтөөнүн материалдарын кооректировкалоо</t>
  </si>
  <si>
    <t>райондор/айыл аймактар боюнча</t>
  </si>
  <si>
    <t>2-район,24айыл аймаки</t>
  </si>
  <si>
    <t>3-район,36-айыл аймаки</t>
  </si>
  <si>
    <t xml:space="preserve">   1-район,12-айыл аймаки</t>
  </si>
  <si>
    <t xml:space="preserve"> 1-район,12-айыл аймаки</t>
  </si>
  <si>
    <t xml:space="preserve">Топурак  изилдөө менен камтылган жерлердин аянты </t>
  </si>
  <si>
    <t>Жерди паспорттоштуруу үчүн топурак изилдөө менен камтылган жердин аянты</t>
  </si>
  <si>
    <t xml:space="preserve">Геобатаникалык изилдөө менен камтылган жер аянты </t>
  </si>
  <si>
    <t xml:space="preserve">Топурак бонитетин аныктоо үчүн айыл чарба багытындагы жерлердин аянты </t>
  </si>
  <si>
    <t xml:space="preserve"> "КР Айыл чарба техникасын берүүнү каржылоо" долбоорун ишке ашыруу (АКФ ЕврАзЭС)</t>
  </si>
  <si>
    <t xml:space="preserve">Лизинг кредиттик долбоорлор боюнча айыл чарба субьекттерине берилген техниканын саны </t>
  </si>
  <si>
    <t>Айыл чарба техникасынын өсүү темпи</t>
  </si>
  <si>
    <t xml:space="preserve">Асылдандыруу ишин өнүктүрүүнү колдоо </t>
  </si>
  <si>
    <t>Мурунку жылга %да  ИММ реалдуу өсүү темпи</t>
  </si>
  <si>
    <t>Ири мүйүздүү малдарды тукумдаштыруу</t>
  </si>
  <si>
    <t>баш</t>
  </si>
  <si>
    <t>Майда  мүйүздүү малдарды  тукумдаштыруу</t>
  </si>
  <si>
    <t>ИММ  жасалма  тукумдаштырууну ачуу (Түркия кредити)</t>
  </si>
  <si>
    <t>Асыл тукум чарбаларын түзүү</t>
  </si>
  <si>
    <t>ЮСАИД линиясы боюнча ИММ cатылып алынган  асыл тукумду алуу</t>
  </si>
  <si>
    <t>Ветеринардык дары  каражаттарын сапатын жана коопсуздугун  эсепке алуу жана  контролдоо</t>
  </si>
  <si>
    <t xml:space="preserve">Мамлекеттик каттоо жана  ветеринардык дары каражаттарын сертификаттоо </t>
  </si>
  <si>
    <t xml:space="preserve">Ветеринардык дары каражаттарын сапатын экспертизалоо </t>
  </si>
  <si>
    <t>Балык  запастарын күтүү жана көбөйтүү</t>
  </si>
  <si>
    <t>Берилген балык уулоо карточкаларынын саны</t>
  </si>
  <si>
    <t>Мыйзам бузуу фактысы боюнча аныкталган   иш чаралар саны</t>
  </si>
  <si>
    <t xml:space="preserve">Кыргыз Республикасында сууларында уруктарды чыгаруу (балык уулоо) </t>
  </si>
  <si>
    <t>млн. даана</t>
  </si>
  <si>
    <t>Товардык балыкты өндүрүүнүн өсүү темпи</t>
  </si>
  <si>
    <t>Жайыттар жана жайыт чарбасын пайдалануу абалын мониторингдөө</t>
  </si>
  <si>
    <t>Республика боюнча жайыттар аянты</t>
  </si>
  <si>
    <t>Айыл чарба багытындагы жайыттардын аянты</t>
  </si>
  <si>
    <t>мин.га</t>
  </si>
  <si>
    <t>Экологиялык туруктуу жайыт комитеттеринин саны</t>
  </si>
  <si>
    <t>Жайыттарды башкарууну, пайдаланууну жана жакшыртууну жөнгө салуучу ченемдик укуктук базанын саны</t>
  </si>
  <si>
    <t xml:space="preserve"> Мал чарбасын жана  рынокту өнүктүрүү - 1,2" долбоорун ишке ашыруу, донор МФСР</t>
  </si>
  <si>
    <t xml:space="preserve">Мал чарбасы өндүрүмдүүлүгүнүн көлөмү </t>
  </si>
  <si>
    <t>Бруцеллез жана эхинококкоз менен ооруган мал</t>
  </si>
  <si>
    <t xml:space="preserve">Мал чарбасы боюнча майда малдын ээлеринин потенциалын жогорулатуу боюнча берилген кызматтардын саны </t>
  </si>
  <si>
    <t xml:space="preserve">Малдын породасын жана селекциялоону жакшыртуу үчүн малды контролдоо жана мүмүкүнчүлүктөр боюнча пландын саны </t>
  </si>
  <si>
    <t xml:space="preserve"> "Рынокко карата жеткиликтүүлүктү камсыз кылуу" долбоору</t>
  </si>
  <si>
    <t xml:space="preserve"> Долбоорду  ишке ашыруу зонасында  максаттуу фермерлер тарабынан  сатылган мал чарба продукциясынын наркы</t>
  </si>
  <si>
    <t>Фермердик чарбада иштөө эсебинен (40% аял) туруктуу жумуш ордун түзүү</t>
  </si>
  <si>
    <t xml:space="preserve">Кайра иштетүү пункттарынын жана  жаңы а/ч чарба ишканаларынын санын көбөйтүү
</t>
  </si>
  <si>
    <t xml:space="preserve"> "Жайыттарды башкарууну жакшыртуу" долбоорун ишке ашыруу- донор ДБ  </t>
  </si>
  <si>
    <t>Долбоор тарабынан белгиленген, ОПП ишинин натыйжалуулук критерийин эсепке алуу менен тийиштүү түрдө даярдалган жана ишке ашырылган, жайыттарды башкаруу боюнча (ПСУП) коомдоштуктардын  пландарынын саны</t>
  </si>
  <si>
    <t>Долбоор аяктаган</t>
  </si>
  <si>
    <t>Пайдаланылган жайыттардын аянтын  көбөйтүү</t>
  </si>
  <si>
    <t>Базалык   көрсөткүчкө карата ОПП тарабынан берилүүчү жайыттарды башкаруу боюнча   кызматтарга канааттанган жайыт пайдалануучулардын пайызы</t>
  </si>
  <si>
    <t>Сүт секторунун өндүрүмдүүлүгүн комплекстүү өнүктүрүү  (ДБ) долбоорун ишке ашыруу</t>
  </si>
  <si>
    <t>Айыл чарба секторун каржылоо менен колдоо көрсөтүү</t>
  </si>
  <si>
    <t xml:space="preserve">Этиль спирти, алкогол продукциясы жана спирт камтуучу продукция өндүрүшү жана жүгүртүү үчүн контролдук </t>
  </si>
  <si>
    <t>Мыйзамсыз жүгүртүүлөрдү  токтотуу  (алкоголь продукцияларын алып коюу)</t>
  </si>
  <si>
    <t>даана (0,5 бут)</t>
  </si>
  <si>
    <t xml:space="preserve">Алкоголь продукциясын өндүрүү көлөмү                                                                     </t>
  </si>
  <si>
    <t>Ишкердик   субьекттерин лицензиялоо</t>
  </si>
  <si>
    <t xml:space="preserve">Малчылык жаатындагы илимий-изилдөө иштери </t>
  </si>
  <si>
    <t xml:space="preserve">Жер иштетүү, жер кыртышын изилдөө, агрохимия жана өсүмдүк өстүрүү жаатындагы илимий-изилдөө иштери </t>
  </si>
  <si>
    <t>Мамлекеттик  ирригациялык фондду жана  мелиорацияны колдоо жана өнүктүрүү</t>
  </si>
  <si>
    <t>Аппаратты камсыз кылуу</t>
  </si>
  <si>
    <t>16119,6</t>
  </si>
  <si>
    <t>20091,1</t>
  </si>
  <si>
    <t xml:space="preserve">Сугат жерлердин көлөмү </t>
  </si>
  <si>
    <t>Агын суу агызылган ченемдик  тазаланган суулардын агуусунун үлүшү</t>
  </si>
  <si>
    <t>Транспортировкалоодо сууну жоготуу пайыздары</t>
  </si>
  <si>
    <t>Өндүрүштүк, чарбалык, ичүүчү, муктаждыктарга , сугатка,сугаруу жана а/ч суу менен жабдууга алуу уу пайызы</t>
  </si>
  <si>
    <t>Мамлекеттик ирригациялык жана мелиоративдик курулмаларды күтүү жана капиталдык оңдоо,    курулмалар жана насостук   станциялар жана  скважиналардан башкасы</t>
  </si>
  <si>
    <t>Жерлерди суу менен камсыз кылууну жогорулатуу</t>
  </si>
  <si>
    <t xml:space="preserve">Жерлердин  мелиоративдик абалын жакшыртуу </t>
  </si>
  <si>
    <t xml:space="preserve"> га</t>
  </si>
  <si>
    <t>Ири каналдарды капиталдык жана учурдагы ремонттоо</t>
  </si>
  <si>
    <t>км</t>
  </si>
  <si>
    <t xml:space="preserve">ГВС, ГТС ремонттоо, суу берүү көлөмүн жөнгө салууну жакшыртуу </t>
  </si>
  <si>
    <t xml:space="preserve">Суу көлөмүн эсепке алууну жакшыртуу МИ ремонттоо </t>
  </si>
  <si>
    <t>Каналдарды тазалоо</t>
  </si>
  <si>
    <t>Ирригациялык каналдарды калыбына келтирүү</t>
  </si>
  <si>
    <t>Сугатка сугат суусун берүү</t>
  </si>
  <si>
    <t>млн.куб.м</t>
  </si>
  <si>
    <t xml:space="preserve">Сугат суусун берүүдөн айдоо жерлеринин аянты </t>
  </si>
  <si>
    <t>Суу көлөмүн эсепке алууну жакшыртуу МИ ремонттоо</t>
  </si>
  <si>
    <t>Насостук агрегаттарды капиталдык ремонттоо жана алмаштыруу</t>
  </si>
  <si>
    <t>Айдоого сугат суусун берүү</t>
  </si>
  <si>
    <t>м.куб.</t>
  </si>
  <si>
    <t xml:space="preserve"> «А/ч өндүрүмдүүлүгүн жана азыктанууну жакшыртуу долбоорун ишке ашыруу (а/ч жана азык түлүк коопсуздугу глобалдык фонду)
</t>
  </si>
  <si>
    <t xml:space="preserve">Суу пайдалануучулар  ассоциациясы (АВП) санынын көбөйүшү жана алар тарабынан  жерлерди тейлөө 
</t>
  </si>
  <si>
    <t>саны бирд./миң га</t>
  </si>
  <si>
    <t xml:space="preserve"> « Улуттук  суу ресурстарын башкаруу, фаза 1»  долбоорун ишке ашыруу ( Өнүктүрүү жана кызматташтык Швейцария бюросу)</t>
  </si>
  <si>
    <t>Суу ресурстары</t>
  </si>
  <si>
    <t xml:space="preserve"> КРда  Сарымсак  ирригациялык  тармагын өнүктүрүү (ИӨБ)</t>
  </si>
  <si>
    <t>Жаңы сугат жерлеринин аянты</t>
  </si>
  <si>
    <t>га</t>
  </si>
  <si>
    <t xml:space="preserve">Талас облусунун Кара-Буура районундагы жерлердин суу менен камсыз кылууну жогорулатуу </t>
  </si>
  <si>
    <t>42.Кыргыз Республикасынын Өкмөтүнө караштуу Суу ресурстары мамлекеттик агенттиги</t>
  </si>
  <si>
    <t>Пландаштыруу, башкаруу жана администрациялоо</t>
  </si>
  <si>
    <t xml:space="preserve">Сугат жерлердин аянты </t>
  </si>
  <si>
    <t>Айймактар боюнча сугат жерлердин аянты</t>
  </si>
  <si>
    <t>Баткен обл.-57,6, Ош обл.-127,3, Жалал-Абад обл.-125,0, Нарын обл.-120,5, Ысык-Көл обл.-156,5, Талас обл.-112,8, Чүй обл.-312,4, Бишкек ш.-9,2, Ош ш.-2,5</t>
  </si>
  <si>
    <t>Баткен обл.-57,6, Ош обл.-127,3, Жалал-Абад обл.-125,0, Нарын обл.-120,5, Ысык-Көл обл.-156,5, Талас обл.-112,8, Чүй обл.-312,4, Бишкек ш-9,2, Ош ш.-2,6</t>
  </si>
  <si>
    <t>Баткен обл.-57,6, Ош обл.-127,3, Жалал-Абад обл.-125,0, Нарын обл.-120,5, Ысык-Көл обл.-156,5, Талас обл.-112,8, Чүй обл.-312,4, Бишкек ш-9,2, Ош ш.-2,7</t>
  </si>
  <si>
    <t>Баткен обл.-57,6, Ош обл.-127,3, Жалал-Абад обл.-125,0, Нарын обл.-120,5, Ысык-Көл обл.-156,5, Талас обл.-112,8, Чүй обл.-312,4, Бишкек ш-9,2, Ош ш.-2,8</t>
  </si>
  <si>
    <t>Баткен обл.-57,6, Ош обл.-127,3, Жалал-Абад обл.-125,0, Нарын обл.-120,5, Ысык-Көл обл.-156,5, Талас обл.-112,8, Чүй обл.-312,4, Бишкек ш-9,2, Ош ш.-2,9</t>
  </si>
  <si>
    <t>Сугат суусун транспортировкалоодо жоготуу пайыздары</t>
  </si>
  <si>
    <t>Өндүрүштүк, чарбалык, ичүү, муктаждык, айдоо пайызы жана айыл чарбасын суу менен камсыз кылуу</t>
  </si>
  <si>
    <t>өнд.-0,9%, а.ч.ичүү.-2%, айдоо-62%, а/ч. суу менен жабдуу-0,7%</t>
  </si>
  <si>
    <t>69</t>
  </si>
  <si>
    <t>Аппаратты күтүү</t>
  </si>
  <si>
    <t>70</t>
  </si>
  <si>
    <r>
      <t xml:space="preserve">Мамлекеттик суу чарба объекттерин күтүү жана капиталдык ремонттоо
</t>
    </r>
    <r>
      <rPr>
        <b/>
        <sz val="11"/>
        <color theme="1"/>
        <rFont val="Calibri"/>
        <family val="2"/>
        <charset val="204"/>
        <scheme val="minor"/>
      </rPr>
      <t/>
    </r>
  </si>
  <si>
    <t>млн.куб.</t>
  </si>
  <si>
    <t>Суу менен жабдууну жана саркынды суу чыгарууну туруктуу өнүктүрүү</t>
  </si>
  <si>
    <t>Ичүүчү суу менен камсыз кылууну жана калктуу конуштарда саркынды суу чыгарууну туруктуу өнүктүрүү үчүн шарттарды түзүү</t>
  </si>
  <si>
    <t>Мамлекеттик инвестиция долбоорлорун ишке ашыруу</t>
  </si>
  <si>
    <t>Мамлекеттик инвестициялар</t>
  </si>
  <si>
    <t xml:space="preserve">«Улуттук  суу ресурстарын башкаруу, фаза 1»  долбоорун ишке ашыруу </t>
  </si>
  <si>
    <t xml:space="preserve">Суу пайдалануучулар  ассоциациясы (АВП) саныны көбөйүшү жана алар тарабынан  жерлерди тейлөө 
</t>
  </si>
  <si>
    <t xml:space="preserve"> «Айыл чарба өндүрүмдүүлүгүн жана азыктанууну жакшыртуу" долбоорун ишке ашыруу</t>
  </si>
  <si>
    <t>"Сарымсак  ирригациялык  тармагын өнүктүрүү" долбоорун ишке ашыруу</t>
  </si>
  <si>
    <t xml:space="preserve">Негизги өсүмдүктүн түшүмдүүлүгүн, фермелердин кирешесин жогорулатуу, ирригациялык каналдардын натыйжалуулугун жогорулатуу </t>
  </si>
  <si>
    <t>"Климаттын өзгөрүүсүнө жана табигый кырсыктарга суу ресурстарынын туруктуулугун жогорулатуу" долбоорун ишке ашыруу</t>
  </si>
  <si>
    <t>44. Кыргыз Республикасынын Маданият, маалымат жана туризм министрлиги</t>
  </si>
  <si>
    <r>
      <t xml:space="preserve">Пландаштыруу, башкаруу жана администрациялоо                                                                                                                              
</t>
    </r>
    <r>
      <rPr>
        <i/>
        <sz val="11"/>
        <rFont val="Times New Roman"/>
        <family val="1"/>
        <charset val="204"/>
      </rPr>
      <t>Программанын максаты: Башка программаларды ишке ашырууга координациялоочу жана  уюштуруучу таасирлер</t>
    </r>
  </si>
  <si>
    <t xml:space="preserve">Бардык программалар боюнча эмгек акыга чыгашалар суммасына 001 программасы боюнча эмгек акыга чыгашалардын катышы </t>
  </si>
  <si>
    <t xml:space="preserve">Калктын ишеним көрсөтүү индекси  </t>
  </si>
  <si>
    <t>Финансылык менеджментти жана эсепти камсыз кылуу</t>
  </si>
  <si>
    <t>Эреже бузуусуз бюджетти аткаруу пайызы</t>
  </si>
  <si>
    <t xml:space="preserve">Адам  ресурстарын башкаруу </t>
  </si>
  <si>
    <t>Эмгек талаш-тартыштары боюнча жеңген  сот процесстеринин үлүшү</t>
  </si>
  <si>
    <t xml:space="preserve">Тышкы байланышты  колдоо </t>
  </si>
  <si>
    <t>Министрликтерге, ведомстволорго карата ЖМКларда айтылган оң пикирлердин саны</t>
  </si>
  <si>
    <t xml:space="preserve">Коомчулук менен байланыш жана документ жүгүртүү контролун камсыз кылуу  </t>
  </si>
  <si>
    <t xml:space="preserve">Жарандардын жалпы санга карата өз убагында каралган кайрылууларынын үлүшү </t>
  </si>
  <si>
    <t xml:space="preserve">Жалпы санга карата өз убагында аткарылган тапшырмалардын үлүшү </t>
  </si>
  <si>
    <t>Искусствону өнүктүрүүнү башкаруу</t>
  </si>
  <si>
    <t xml:space="preserve">Иштелип чыккан ЧУА долбоору саны </t>
  </si>
  <si>
    <t xml:space="preserve">Өлкө деңгээлиндеги улуттук жана мамлекеттик программаларды аткаруу деңгээли </t>
  </si>
  <si>
    <t>Тарыхый-маданий мурастарды (ТММ) пайдалануу, коргоо, сактоо боюнча ЧУА  долбоорлорун иштеп чыгуу</t>
  </si>
  <si>
    <t xml:space="preserve">Тарыхый-маданий мурас объекттеринин аймагында корголгон зонанын бекитилген долбоорлорунун саны </t>
  </si>
  <si>
    <r>
      <t xml:space="preserve">Тарыхый-маданий мурастарды сактоо
</t>
    </r>
    <r>
      <rPr>
        <i/>
        <sz val="11"/>
        <rFont val="Times New Roman"/>
        <family val="1"/>
        <charset val="204"/>
      </rPr>
      <t xml:space="preserve">Программанын максаты: Маданий мурастарды эл аралык деңгээлге жылдыруу, коомчулукка  популяризациялоо, рационалдуу пайдалануу, кепилденген коргоо жана сактоонун ишенимдүү  системасын түзүү. </t>
    </r>
    <r>
      <rPr>
        <b/>
        <sz val="11"/>
        <rFont val="Times New Roman"/>
        <family val="1"/>
        <charset val="204"/>
      </rPr>
      <t xml:space="preserve">
</t>
    </r>
  </si>
  <si>
    <t>Натыйжалуулук индикатору (Программа боюнча максаттуу  индикатор)</t>
  </si>
  <si>
    <t xml:space="preserve">Китепканалардын сапатын жана жеткиликтүүлүгүн жогорулатуу </t>
  </si>
  <si>
    <t xml:space="preserve">Китепканаларга келүүчүлөрдүн саны </t>
  </si>
  <si>
    <t>Калктын китепканалардын кызмат көрсөтүүлөрүнө камтылышы  (тейленүүчү аймактын жашоочуларынын жалпы санынан китепканага келүүчүлөрдүн % )</t>
  </si>
  <si>
    <t xml:space="preserve">Санариптик алып жүрүүчүгө өткөн чыгармалардын саны </t>
  </si>
  <si>
    <t xml:space="preserve">Музейлердин кызмат көрсөтүүлөрүнүн жеткиликтүүлүк сапатын жогорулатуу </t>
  </si>
  <si>
    <t>Музей экспонаттарынын саны</t>
  </si>
  <si>
    <t>Музейге келүүчүлөрдүн саны</t>
  </si>
  <si>
    <t xml:space="preserve">Сүрөт искусствосу боюнча көргөзмөлөрдүн саны </t>
  </si>
  <si>
    <t>Маданий баалуулуктарга жеткиликтүүлүк мүмкүнчүлүктөрүн кеңейтүү</t>
  </si>
  <si>
    <t xml:space="preserve">Республикалык жана регионалдык мааниде өткөрүлгөн иш-чаралардын саны  </t>
  </si>
  <si>
    <t>жолу</t>
  </si>
  <si>
    <t>Тарыхый-маданий мурас объекттерин сактоону жана коргоону камсыз кылуу  боюнча шарттарды түзүү.</t>
  </si>
  <si>
    <t xml:space="preserve">Тарыхый-маданий мурас эстеликтеринин реставрациялангандарынын саны </t>
  </si>
  <si>
    <t>Тарыхый-маданий мурастын изилденген жана документтештирилген  объекттеринин саны</t>
  </si>
  <si>
    <t xml:space="preserve">Эл аралык жана республикалык маанидеги өткөрүлгөн иш-чаралардын саны  </t>
  </si>
  <si>
    <r>
      <t xml:space="preserve">Профессионалдык искусство
</t>
    </r>
    <r>
      <rPr>
        <i/>
        <sz val="11"/>
        <rFont val="Times New Roman"/>
        <family val="1"/>
        <charset val="204"/>
      </rPr>
      <t xml:space="preserve">Программанын максаты: Ата-мекендик профессионалдык искусствону активдүү өнүктүрүү жана өлкөнүн калкынын чыгармаларга кызыгуусу үчүн ыңгайлуу шарттарды түзүү. </t>
    </r>
  </si>
  <si>
    <t xml:space="preserve">Театралдык-оюн-зоок мекемелеринин кызмат көрсөтүүлөрүнүн сапатын жогорулатуу жана калкты профессионалдык искусствого тартуу. </t>
  </si>
  <si>
    <t xml:space="preserve">Өткөрүлгөн  гастролдордун саны </t>
  </si>
  <si>
    <t xml:space="preserve">Жаңы коюлган оюн-зооктордун саны </t>
  </si>
  <si>
    <t xml:space="preserve">Театралдык оюн-зоокторду көрүүчүлөрдүн саны </t>
  </si>
  <si>
    <t xml:space="preserve">Театралдык оюн-зооктордун кызматкерлери үчүн мастер класстардын  саны </t>
  </si>
  <si>
    <t xml:space="preserve">Чыгармачылык активдүүлүктү маданияттын чыгармачылык ишинин потенциалын жогорулатуу </t>
  </si>
  <si>
    <r>
      <t xml:space="preserve">Маданият жана искусство чөйрөсүндөгү билим берүү.                                               </t>
    </r>
    <r>
      <rPr>
        <i/>
        <sz val="11"/>
        <rFont val="Times New Roman"/>
        <family val="1"/>
        <charset val="204"/>
      </rPr>
      <t xml:space="preserve">Программанын максаты:  Искусство мекемелеринин реалдуу керектөөлөрүнө карата маданият тармагындагы кадрларынын билим жана жумуштуулук саясатын багыттоо. </t>
    </r>
  </si>
  <si>
    <t>Маданият чөйрөсүндөгү билим берүү сапатын жогорулатуу үчүн шарттарды камсыз кылуу</t>
  </si>
  <si>
    <t>Бүтүрүүчүлөрдүн саны</t>
  </si>
  <si>
    <t>Тармакты кесипкөй кадрлар менен камсыз кылуу</t>
  </si>
  <si>
    <t>Маданият чөйрөсүндө эмгек ишмердигин улантып жаткан жалпы сандагы бүтүрүүчүлөр үлүшү</t>
  </si>
  <si>
    <t xml:space="preserve">Билим берүү мекемелеринде окуп жаткандардын саны  </t>
  </si>
  <si>
    <t xml:space="preserve">Балдардын мектепке педагогикалык даярдыгынын деңгээлин жогорулатуу. </t>
  </si>
  <si>
    <t xml:space="preserve">Квалификациясын жогорулатууга программаларына катышкан педагогдордун саны </t>
  </si>
  <si>
    <r>
      <t xml:space="preserve">Улуттук киноматографияны сактоо, өнүктүрүү жана  популяризациялоо. 
</t>
    </r>
    <r>
      <rPr>
        <i/>
        <sz val="11"/>
        <rFont val="Times New Roman"/>
        <family val="1"/>
        <charset val="204"/>
      </rPr>
      <t>Программанын максаты:  Кыргыз киноматоргафиясынын көрүүчүлөргө популярдуулугунун жана  мүмкүнчүлүктөрүнүн жана потенциалынын прогрессивдүү өсүү динамикасын камсыз кылуу.</t>
    </r>
  </si>
  <si>
    <t xml:space="preserve">Киноматография чөйрөсүндө мамлекеттик саясатты ишке ашыруу. </t>
  </si>
  <si>
    <t xml:space="preserve">Кабыл алынган ЧУА саны  </t>
  </si>
  <si>
    <t xml:space="preserve">Чыгарылган улуттук фильмдердин саны </t>
  </si>
  <si>
    <t xml:space="preserve">Республикалык жана эл аралык мааниде ишке ашырылган кино иш-чараларынын саны  </t>
  </si>
  <si>
    <t xml:space="preserve">Улуттук фильмдерди жаратуу үчүн шарттарды камсыз кылуу.  </t>
  </si>
  <si>
    <t xml:space="preserve">Дүйнөлүк жана ата мекендик киноискусство чыгармаларына жарандардын жеткиликтүүлүгү үчүн шарттарды түзүү. </t>
  </si>
  <si>
    <t xml:space="preserve">Өлкөнүн жалпы  калкынан көрүүчүлөрдүн келүү деңгээли </t>
  </si>
  <si>
    <t xml:space="preserve">Калктын социалдык жактан  аялуу катмары үчүн акысыз  сеанстардын саны  </t>
  </si>
  <si>
    <t xml:space="preserve">Дүң жыйым </t>
  </si>
  <si>
    <r>
      <t xml:space="preserve">Туристтик тармактын өнүгүшү
</t>
    </r>
    <r>
      <rPr>
        <i/>
        <sz val="11"/>
        <rFont val="Times New Roman"/>
        <family val="1"/>
        <charset val="204"/>
      </rPr>
      <t xml:space="preserve">Программанын максаты: Кыргызстан Борбордук Азиядагы туризмдин аймактык борборлорунун бири болушу керек.  </t>
    </r>
  </si>
  <si>
    <t xml:space="preserve">Туризмди үгүттөөгө көмөк көрсөтүүчү билим берүү жана маркетинг иш-чараларын иштеп чыгуу жана ишке ашыруу. </t>
  </si>
  <si>
    <t xml:space="preserve">Бүткүл дүйнөлүк  туристтик уюм классификациясына туура келүүчү алыскы жана жакынкы чет өлкөдөн келген жарандардын саны </t>
  </si>
  <si>
    <t xml:space="preserve">Кыргызстандын туристтик мүмкүнчүлүктөрүн үгүттөө. </t>
  </si>
  <si>
    <t>ИДПда туристтик иштин үлүшү</t>
  </si>
  <si>
    <t xml:space="preserve"> туристтик кызмат көрсөтүүлөр экспорту  (чет өлкөлүк жарандарды кабыл алуудан кирешелер) </t>
  </si>
  <si>
    <t>млн.долл.</t>
  </si>
  <si>
    <t>Туризм чөйрөсүндөгү негизги капиталга инвестициялар</t>
  </si>
  <si>
    <t>007</t>
  </si>
  <si>
    <r>
      <t xml:space="preserve">Маалыматтык чөйрөнү өнүктүрүү.
</t>
    </r>
    <r>
      <rPr>
        <i/>
        <sz val="11"/>
        <rFont val="Times New Roman"/>
        <family val="1"/>
        <charset val="204"/>
      </rPr>
      <t>Программанын максаты: Мамлекеттик маалыматтык саясатты түзүү.</t>
    </r>
  </si>
  <si>
    <t xml:space="preserve">Маалымат чөйрөсүндө мамлекеттик саясатты ишке ашыруу.  </t>
  </si>
  <si>
    <t xml:space="preserve">Мамлекеттик аймактык ЖМКны өнүктүрүү үчүн шарттарды түзүү.  </t>
  </si>
  <si>
    <t>Медиа-борборлорду техникалык жабдуу жана ЖМК мамлекеттик регионалдык кадрларды даярдоо жана кайра даярдоо</t>
  </si>
  <si>
    <t xml:space="preserve">Телеканалдардын социалдык пакетин түзүү жана анын үзгүлтүксүз эфирдик санарип жана спутникалык берүүсү </t>
  </si>
  <si>
    <t>Телеканалдардын социалдык пакетин  телерадиоуюмдарынын саны</t>
  </si>
  <si>
    <t xml:space="preserve">Эскертүү: программалык форматта Маданият , маалымат жана туризм  министрлиги боюнча чыгашалар Токтогул атындагы мамсыйлыктар боюнча комитеттин  - 1194,7 миң сом;  "Кабар" КУМА - 21 946,5 миң сом жана  "Манас-Ордо" Кыргыз улуттук комплекси  - 17 157,6 мин сом суммасында чыгашаларды камтыбайт, алар өз алдынча бюджеттик мекемелер катары каржыланат </t>
  </si>
  <si>
    <t>Кыргыз Республикасынын Токтогул атындагы мамлекеттик сыйлыктары боюнча комитети</t>
  </si>
  <si>
    <t>Бюджетти бузууларсыз аткаруу</t>
  </si>
  <si>
    <t>001 программасы боюнча эмгек акыга чыгашалардын бүткүл Комитет боюнча эмгек акыга кеткен чыгашалардын суммасына карата катышы</t>
  </si>
  <si>
    <t xml:space="preserve">Адабият, искусство жана архитектура жаатында  мамлекеттик сыйлыгын тапшыруу                                </t>
  </si>
  <si>
    <t>Адабият, искусство жана архитектура жаатында Токтогул атындагы Кыргыз Республикасынын мамлекеттик сыйлыгын тапшыруу</t>
  </si>
  <si>
    <t>Мамлекеттик сыйлык алган катышуучулардын саны</t>
  </si>
  <si>
    <t>“Кабар“ Кыргыз улуттук маалымат агенттиги</t>
  </si>
  <si>
    <r>
      <t>Пландоо, башкаруу жана администрациялоо</t>
    </r>
    <r>
      <rPr>
        <sz val="11"/>
        <color indexed="8"/>
        <rFont val="Times New Roman"/>
        <family val="1"/>
        <charset val="204"/>
      </rPr>
      <t xml:space="preserve">
</t>
    </r>
    <r>
      <rPr>
        <i/>
        <sz val="11"/>
        <color indexed="8"/>
        <rFont val="Times New Roman"/>
        <family val="1"/>
        <charset val="204"/>
      </rPr>
      <t>Программанын максаты: Башка программаларды ишке ашырууда жөнгө салуу жана уюштуруучулук  таасирлер</t>
    </r>
    <r>
      <rPr>
        <b/>
        <sz val="11"/>
        <color indexed="8"/>
        <rFont val="Times New Roman"/>
        <family val="1"/>
        <charset val="204"/>
      </rPr>
      <t xml:space="preserve">
</t>
    </r>
  </si>
  <si>
    <t xml:space="preserve">Калктын ишеним индекси  </t>
  </si>
  <si>
    <t>Каржылык менеджмент жана эсепке алууну камсыз кылуу</t>
  </si>
  <si>
    <t>Бузууларсыз бюджетти аткаруу пайызы</t>
  </si>
  <si>
    <t xml:space="preserve">Утуп алган сот иштеринин алардын жалпы санына карата катышы </t>
  </si>
  <si>
    <t>Тышкы байланыштар жана коомчулук менен байланышты колдоо</t>
  </si>
  <si>
    <t xml:space="preserve">Министрликтин/ведомствонун ЖМКдагы оң эскерүүлөрүнүн саны </t>
  </si>
  <si>
    <t>Мониторинг, талдоо жана стратегиялык пландоону камсыз кылуу</t>
  </si>
  <si>
    <t>009</t>
  </si>
  <si>
    <r>
      <t xml:space="preserve">Программанын аталышы-Маалыматтык кызмат көрсөтүү 
</t>
    </r>
    <r>
      <rPr>
        <i/>
        <sz val="11"/>
        <rFont val="Times New Roman"/>
        <family val="1"/>
        <charset val="204"/>
      </rPr>
      <t xml:space="preserve">Программанын максаты: КР калкына жана мамлекеттик бийлик расмий булактарынан  чет өлкөлүк аудиторияга маалыматтык кызмат көрсөтүүлөр </t>
    </r>
  </si>
  <si>
    <r>
      <rPr>
        <b/>
        <sz val="11"/>
        <rFont val="Times New Roman"/>
        <family val="1"/>
        <charset val="204"/>
      </rPr>
      <t xml:space="preserve">Натыйжалуулук индикаторлору </t>
    </r>
    <r>
      <rPr>
        <sz val="11"/>
        <rFont val="Times New Roman"/>
        <family val="1"/>
        <charset val="204"/>
      </rPr>
      <t>(Программа боюнча максаттуу индикатор) Маалыматтык агенттик чыгаруучу маалыматтардын жалпы саны</t>
    </r>
  </si>
  <si>
    <t>Кыргызстан турмушу жана Кыргыз Республикасынын Президентинин иши жөнүндө маалыматтарды үзгүлтүксүз даярдоо</t>
  </si>
  <si>
    <t xml:space="preserve"> Ар бир журналист  кыргыз жана орус тилдеринде  9-12 маалымат чыгарган  жумалык маалыматтардын хронометражы</t>
  </si>
  <si>
    <t>маалымат</t>
  </si>
  <si>
    <t>Чет өлкөлүк окурманга биздин өлкө жөнүндө маалыматты билдирүү</t>
  </si>
  <si>
    <t xml:space="preserve"> Маалыматтарды  жана  аналитикалык материалдарды   англис жана  түрк тилдерине которуу</t>
  </si>
  <si>
    <t>Талдоо жүргүзүү</t>
  </si>
  <si>
    <t>Жылына орточо сайтка киргендердин хронометражы</t>
  </si>
  <si>
    <t xml:space="preserve"> "Манас Ордо" кыргыз улуттук комплекси</t>
  </si>
  <si>
    <t xml:space="preserve">Улуттук аң-сезимди бекемдөө, Кыргыз Республикасында элдердин улуттар аралык ынтымагын, рухий, маданий баалуулуктарды жана салттарды өнүктүрүүгө жана өз ара байытууга активдүү көмөк көрсөтүү, "Манас" эпосунун рухий жана адеп-ахлактык мурасын үгүттөөнү активизациялоо </t>
  </si>
  <si>
    <t xml:space="preserve"> Комплекске келгендердин саны</t>
  </si>
  <si>
    <t>Комплекстин аймагында экскурсиялык, туристтик, мейманканалык ишти, илимий- агартуучулук жана маданий-жалпы иштерди уюштуруу</t>
  </si>
  <si>
    <t>Экспонаттардын саны</t>
  </si>
  <si>
    <t>Экскурсиялардын саны</t>
  </si>
  <si>
    <t xml:space="preserve"> Жарыяланган маалыматтардын түрлөрүнүн саны  (иштиктүү папкалар, дубал календарлары, блокнот, буклет, брошюралар (орус жана  кыргыз тилдеринде), китептер</t>
  </si>
  <si>
    <t xml:space="preserve"> Публикациялардын саны</t>
  </si>
  <si>
    <t>нуска</t>
  </si>
  <si>
    <t>45. Кыргыз Республикасынын  Өзгөчө кырдаалдар министрлиги</t>
  </si>
  <si>
    <r>
      <t xml:space="preserve">Пландаштыруу, башкаруу жана администрациялоо;                                                                                                                             
</t>
    </r>
    <r>
      <rPr>
        <i/>
        <sz val="11"/>
        <color indexed="8"/>
        <rFont val="Times New Roman"/>
        <family val="1"/>
        <charset val="204"/>
      </rPr>
      <t>Программанын максаты: Башка программаларды ишке ашырууга координациялоочу жана уюштуруучу таасирлер</t>
    </r>
  </si>
  <si>
    <t xml:space="preserve">"Пландоо, башкаруу жана администрациялоо" программасы боюнча эмгек акы фондунун министрликтин эмгек акы фондуна катышы </t>
  </si>
  <si>
    <t xml:space="preserve">Калктын ишенимин индекси </t>
  </si>
  <si>
    <t xml:space="preserve">Бюджетти эреже бузууларсыз аткаруу пайызы </t>
  </si>
  <si>
    <t xml:space="preserve">Эмгек талаш-тартыштары боюнча утуп алган сот процесстеринин үлүшү  </t>
  </si>
  <si>
    <t>Тышкы байланыштарды жана коомчулук менен байланышты колдоо</t>
  </si>
  <si>
    <t xml:space="preserve">Министрликтердин/ведомств.-дун жалпыга маалымдоо каражаттарында жакшы мааниде чагылдыруулардын саны </t>
  </si>
  <si>
    <t xml:space="preserve">Камсыз кылуу кызматы </t>
  </si>
  <si>
    <t xml:space="preserve">Борбордук аппараттын кызматкерлеринин жалпы санынан камсыз кылуу кызматынын кызматкерлеринин үлүшү </t>
  </si>
  <si>
    <t>Ички мониторингди  жана  контролдоону камсыз кылуу (ички  аудит кызматы)</t>
  </si>
  <si>
    <t xml:space="preserve">Бирдиктүү мамлекеттик саясатты ишке ашыруу боюнча министрликтин ишин камсыз кылуу жана координациялоо </t>
  </si>
  <si>
    <t xml:space="preserve">Программалардын аткаруу жана ишке ашыруу пайызы </t>
  </si>
  <si>
    <r>
      <t xml:space="preserve">Кооптуу табигый процесстерди жана кубулуштарды болжолдоо.                                                                                                                              </t>
    </r>
    <r>
      <rPr>
        <i/>
        <sz val="11"/>
        <rFont val="Times New Roman"/>
        <family val="1"/>
        <charset val="204"/>
      </rPr>
      <t>Программанын максаты: Кыргыз Республикасында өзгөчө кырдаалдардын алдын-алуу жана тобокелдикти баалоону жакшыртуу.</t>
    </r>
  </si>
  <si>
    <t xml:space="preserve"> Болжолдоонун акталышы</t>
  </si>
  <si>
    <t>Кооптуу табигый, техногендик процесстерди жана көрүнүштөргө талдоо жана мониторинг жүргүзүүнү ишке ашыруу  жана кээ бир кооптуу аймактарга илимий издөөлөрдү жүргүзүү</t>
  </si>
  <si>
    <t xml:space="preserve">Биринчи кезектеги алдын алуучу иштердин мониторингин жүргүзүү боюнча болжолдоонун акталышы </t>
  </si>
  <si>
    <t xml:space="preserve">Адистештирилген метеорологиялык, агрометеорологиялык жана гидрометеорологиялык маалыматтардын болжолунун бардык түрлөрүн чыгаруу жана берүү </t>
  </si>
  <si>
    <t xml:space="preserve">Кооптуу жаратылыш кырсыктарын жана процесстерин болжолдоонун акталышы </t>
  </si>
  <si>
    <t xml:space="preserve">Табигый кырсыктардын тобокелдигин кыскартуу боюнча мамлекеттик инвестициялар  </t>
  </si>
  <si>
    <t>Өздөштүрүү</t>
  </si>
  <si>
    <r>
      <t xml:space="preserve">Өзгөчө кырдаалдардын алдын-алуу,  сактоо жана алдын-ала коргоочу иш-чараларды жүргүзүү 
</t>
    </r>
    <r>
      <rPr>
        <i/>
        <sz val="11"/>
        <rFont val="Times New Roman"/>
        <family val="1"/>
        <charset val="204"/>
      </rPr>
      <t>Программанын максаты: Алдын-ала коргоочу жана сактоочу иш чараларды пландуу жүргүзүү жардамы менен өзгөчө кырдаалдардын терс кесепеттерин жана тобокелдиктерди минималдаштыруу</t>
    </r>
  </si>
  <si>
    <t xml:space="preserve">ӨК алдын алуу боюнча аткарылган иштердин көлөмү  </t>
  </si>
  <si>
    <t xml:space="preserve">Бүткөрүлгөн объекттердин саны </t>
  </si>
  <si>
    <t xml:space="preserve">Корголгон короо-жайлардын саны </t>
  </si>
  <si>
    <t>Корголгон айыл чарба жерлеринин саны</t>
  </si>
  <si>
    <t>га.</t>
  </si>
  <si>
    <t>Биринчи кезектеги превентивдик, авариялык-калыбына келтирүүчү, коргоочу иш-чараларды өткөрүү; селден коргоочу инженердик курулмаларды куруу жана эксплуатациялоо</t>
  </si>
  <si>
    <t>Аткарылган иштердин  көлөмү</t>
  </si>
  <si>
    <t xml:space="preserve">Уран өндүрүү боюнча мурунку тоолуу катмарларда жана калдык сактоо жайларын инженердик-радиациялык комплекстик изилдөө жана калдык сактоо жайларында биринчи кезектеги авариялык-калыбына келтирүү иштерин жүргүзүү        </t>
  </si>
  <si>
    <r>
      <t xml:space="preserve">Өрт өчүрүү, иликтөө-куткаруу, авариялык-калыбына келтирүү жана башка кечиктирилгис иштерди уюштуруу, өзгөчө кырдаалдардын кесепетин жоюу.    </t>
    </r>
    <r>
      <rPr>
        <i/>
        <sz val="11"/>
        <rFont val="Times New Roman"/>
        <family val="1"/>
        <charset val="204"/>
      </rPr>
      <t xml:space="preserve">Программанын максаты:
Өзгөчө кырдаалдарда издөө, куткаруу жана  кырсыктардан өз убагында жана алдын алуу иш-чараларды өткөрүү                          </t>
    </r>
    <r>
      <rPr>
        <b/>
        <sz val="11"/>
        <rFont val="Times New Roman"/>
        <family val="1"/>
        <charset val="204"/>
      </rPr>
      <t xml:space="preserve">                                                 </t>
    </r>
  </si>
  <si>
    <t>Өзгөчө кырдаалдарда сакталган адамдардын саны</t>
  </si>
  <si>
    <t xml:space="preserve">Өлүмгө учуроолордун деңгээлин азайтуу </t>
  </si>
  <si>
    <t xml:space="preserve">Өрттүн кесепетинен келтирилген материалдык зыяндын деңгээлин төмөндөтүү </t>
  </si>
  <si>
    <t xml:space="preserve">ӨК кесепеттерин жоюу, издөө-куткаруу, авариялык калыбына келтирүү жана башка кечиктирилгис иштерди жүргүзүү,  өрттү өчүрүүнү жана ага байланышкан куткаруу иштерин уюштуруу </t>
  </si>
  <si>
    <t>Өзгөчө кырдаалдарда  сакталган адамдардын саны</t>
  </si>
  <si>
    <t xml:space="preserve">Өрттөн өлүмгө учуроолордун деңгээлин азайтуу </t>
  </si>
  <si>
    <t>Өрттүн кесепетинен келтирилген материалдык зыяндын деңгээлин төмөндөтүү</t>
  </si>
  <si>
    <r>
      <t xml:space="preserve">Өз алдынча башкаруу органдарын, Жарандык коргоо күчтөрүн жана калкты өзгөчө кырдаалдарда иш-аракетке даярдоо                                                                                                                      </t>
    </r>
    <r>
      <rPr>
        <i/>
        <sz val="11"/>
        <rFont val="Times New Roman"/>
        <family val="1"/>
        <charset val="204"/>
      </rPr>
      <t xml:space="preserve">Программанын максаты: Калктын жана Жарандык коргоо күчтөрүнүн, өз алдынча башкаруу органдарынын даярдыкта жана кабардар болуусунун деңгээлин жогорулатуунун эсебинен өзгөчө кырдаалдардын терс кесепеттерин жана тобокелдиктерин минимималдаштыруу </t>
    </r>
    <r>
      <rPr>
        <b/>
        <i/>
        <sz val="11"/>
        <rFont val="Times New Roman"/>
        <family val="1"/>
        <charset val="204"/>
      </rPr>
      <t xml:space="preserve">    </t>
    </r>
    <r>
      <rPr>
        <b/>
        <sz val="11"/>
        <rFont val="Times New Roman"/>
        <family val="1"/>
        <charset val="204"/>
      </rPr>
      <t xml:space="preserve">                                </t>
    </r>
  </si>
  <si>
    <t xml:space="preserve">Даярдалган адистердин саны </t>
  </si>
  <si>
    <t>Калкты, өз алдынча башкаруу органдарын, жарандык коргоо адистерин өзгөчө кырдаалдарда иш-аракетке даярдоо жана кайра даярдоо</t>
  </si>
  <si>
    <t xml:space="preserve">Жараандык коргонуу боюнча даярдалган адистердин саны </t>
  </si>
  <si>
    <t xml:space="preserve">Суучулдук иш боюнча адистерди даярдоо жана кайра даярдоо,  бардык суу объектилеринде суу астындагы-техникалык, издөө-куткаруу, илимий-изилдөөчүлүк жана  эксперттик иштерди жүргүзүү  </t>
  </si>
  <si>
    <t xml:space="preserve">Суучулдардын иши боюнча даярдалган адистердин саны </t>
  </si>
  <si>
    <t>46. Жерди прикладдык изилдөө Борбор Азия институту</t>
  </si>
  <si>
    <r>
      <t xml:space="preserve">Пландаштыруу,  башкаруу жана администрациялоо.                                       </t>
    </r>
    <r>
      <rPr>
        <i/>
        <sz val="11"/>
        <color indexed="8"/>
        <rFont val="Times New Roman"/>
        <family val="1"/>
        <charset val="204"/>
      </rPr>
      <t>Программанын максаты: башка программаларды ишке ашыруудагы  жөнгө салуучу  жана уюштуруучу  таасирлер</t>
    </r>
  </si>
  <si>
    <t>Жалпы жетекчиликти  камсыз кылуу</t>
  </si>
  <si>
    <t>Чечилген эмгек талаш-тартыштарынын саны</t>
  </si>
  <si>
    <t>Эмгек талаш-тартыштары боюнча утуп алынган сот процесстеринин үлүшү</t>
  </si>
  <si>
    <t xml:space="preserve">БА кызматкерлеринин жалпы санынан камсыз кылуу кызматтарынын кызматкерлеринин үлүшү </t>
  </si>
  <si>
    <t>Лабораториялык корпусту капиталдык ондоо</t>
  </si>
  <si>
    <t xml:space="preserve">Кооптуу жаратылыш ресурстарын, климатты жана суу ресурстарын жана геоэкологияны изилдөө жана мониторинг системасын түзүү 
</t>
  </si>
  <si>
    <t xml:space="preserve">Кыргызстандагы жана Борбордук Азия өлкөлөрү менен чектешкен региондордогу геодинамикалык процесстерди жана геотобокелчиликтерди изилдөө  </t>
  </si>
  <si>
    <t>1.Басылмалар тууралуу маалымат</t>
  </si>
  <si>
    <t>Публ.</t>
  </si>
  <si>
    <t>2 Мониторингдин маалыматтары</t>
  </si>
  <si>
    <t>Сунуш</t>
  </si>
  <si>
    <t xml:space="preserve">Кыргызстандын негизги мөңгүлөрүн жана Ысык-Көлдүн    бассейнин изилдөө </t>
  </si>
  <si>
    <t>3. Тренинг жана семинарлар</t>
  </si>
  <si>
    <t>Конф.</t>
  </si>
  <si>
    <t>4.Мониторинг тармактарын кеңейтүү жана модернизациялоо (станциялар)</t>
  </si>
  <si>
    <t xml:space="preserve">Станция </t>
  </si>
  <si>
    <t xml:space="preserve">Мониторинг базасын жана кооптуу жаратылыш процесстеринин геомаалымдык базасын иштеп чыгуу </t>
  </si>
  <si>
    <t>5.Реалдуу убакытта маалымат базаларын толуктоо</t>
  </si>
  <si>
    <t>БД</t>
  </si>
  <si>
    <t xml:space="preserve">Жаратылыш кырсыктарынын тобокелдиктерин изилдөө:  айыл коомчулугундагы кооптуу жагдай жана ага адаптацияланууну баалоонун социалдык -экономикалык методологиясы </t>
  </si>
  <si>
    <t>47.Кыргыз Республикасынын Өкмөтүнө караштуу Мамлекеттик салык кызматы</t>
  </si>
  <si>
    <r>
      <t xml:space="preserve">Пландаштыруу, башкаруу жана администрациялоо                                                                                                                            
</t>
    </r>
    <r>
      <rPr>
        <i/>
        <sz val="11"/>
        <rFont val="Times New Roman"/>
        <family val="1"/>
        <charset val="204"/>
      </rPr>
      <t>Программанын максаты: Башка программаларды ишке ашырууга координациялоочу жана уюштуруучу таасирлер</t>
    </r>
    <r>
      <rPr>
        <sz val="11"/>
        <rFont val="Times New Roman"/>
        <family val="1"/>
        <charset val="204"/>
      </rPr>
      <t xml:space="preserve"> </t>
    </r>
  </si>
  <si>
    <t xml:space="preserve">001 программасы боюнча эмгек акыга  чыгашалардын бардык программалар боюнча эмгек акыга  чыгашалардын суммасына карата катышы </t>
  </si>
  <si>
    <t>10,8</t>
  </si>
  <si>
    <t>11,6</t>
  </si>
  <si>
    <t xml:space="preserve">Жалпы жетекчиликти камсыз кылуу
</t>
  </si>
  <si>
    <t>Финансылык менеджментти жана эсепке алууну камсыз кылуу</t>
  </si>
  <si>
    <t>Адам ресурстарын башкаруу *</t>
  </si>
  <si>
    <t xml:space="preserve">Алардын жалпы санына карата жеңип чыккан сот иштеринин катышы </t>
  </si>
  <si>
    <t>74/80</t>
  </si>
  <si>
    <t xml:space="preserve">Ишти уюштуруу жана камсыз кылуу кызматы
</t>
  </si>
  <si>
    <t>20дан кѳп эмес</t>
  </si>
  <si>
    <t xml:space="preserve">Салыктарды, салыктык эмес төлөмдөрдү жана камсыздандыруу төгүмдөрүн жыйноонун толуктугун камсыз кылуу </t>
  </si>
  <si>
    <t>Салык жыйымдарынын өсүү темпи</t>
  </si>
  <si>
    <t>Салыктарды чогултуу пландык көрсөткүчтөрүнүн аткаруу %</t>
  </si>
  <si>
    <t>Салык салууну жөнөкөйлөтүүгө багытталган иш-чаралар</t>
  </si>
  <si>
    <t xml:space="preserve">Отчеттуулукту электрондук түрдө берген салык төлөөчүлөрдүн саны: </t>
  </si>
  <si>
    <t>Салык калдыгын кыскартуу боюнча комплекстүү иш-чараларды өткөрүү</t>
  </si>
  <si>
    <t>Салыктык түшүүлөрдүн жалпы көлөмүнөн салык калдыгынын үлүшү</t>
  </si>
  <si>
    <t xml:space="preserve">Салыктык жол-жоболорду фискалдаштыруу системасынын электрондук системасын ишке киргизүү </t>
  </si>
  <si>
    <t>Салыктык жүк (социалдык чегерүүлөрдү кошкондо), %</t>
  </si>
  <si>
    <t xml:space="preserve">Кирешелерди жалпы декларациялоого жана кирешелерди адалдоо боюнча компанияларды жүргүзүүгө өтүү </t>
  </si>
  <si>
    <t xml:space="preserve">Декларацияланбаган мүлктү жана кирешелерди көмүскөдөн чыгаруу </t>
  </si>
  <si>
    <t>48. Кыргыз Республикасынын Өкмөтүнө караштуу Мамлекеттик бажы кызматы</t>
  </si>
  <si>
    <r>
      <rPr>
        <b/>
        <sz val="11"/>
        <rFont val="Times New Roman"/>
        <family val="1"/>
        <charset val="204"/>
      </rPr>
      <t>Пландаштыруу, башкаруу жана  администрациялоо</t>
    </r>
    <r>
      <rPr>
        <sz val="11"/>
        <rFont val="Times New Roman"/>
        <family val="1"/>
        <charset val="204"/>
      </rPr>
      <t xml:space="preserve">                                                                                                                              
</t>
    </r>
    <r>
      <rPr>
        <i/>
        <sz val="11"/>
        <rFont val="Times New Roman"/>
        <family val="1"/>
        <charset val="204"/>
      </rPr>
      <t xml:space="preserve">Программанын максаты: Ишти уюштуруу жана камсыз кылуу </t>
    </r>
  </si>
  <si>
    <t>Жалпы жетекчиликти камзыздоо</t>
  </si>
  <si>
    <t>Калктын  ишеним индекси</t>
  </si>
  <si>
    <t>Бузууларсыз бюджетин чыгашадарын аткаруу пайызы</t>
  </si>
  <si>
    <t>Утуп алынган сот процесстеринин алардын жалпы санына катышы</t>
  </si>
  <si>
    <t>бирд/бирд.</t>
  </si>
  <si>
    <t xml:space="preserve">Тышкы  жана коомчулук менен байланышты колдоо </t>
  </si>
  <si>
    <t xml:space="preserve"> ЖМКда мин-лик/вед-волордун оң эскертүүлөр саны </t>
  </si>
  <si>
    <t xml:space="preserve">Ишти уюштуруу жана камсыз кылуу кызматы </t>
  </si>
  <si>
    <t xml:space="preserve"> БА  жана ведомстволук органдардынжалпы кызматкерлеринин санынан кызмат менен камсыз болгондордун үлүшү</t>
  </si>
  <si>
    <t xml:space="preserve">Мониторинг, анализ  жана  стратегиялык пландоону камсыз кылуу </t>
  </si>
  <si>
    <t xml:space="preserve">Бажы кызматынын өнүктүрүү ишине мониторинг, талдоо   жана   стратегиялык пландоо </t>
  </si>
  <si>
    <r>
      <t xml:space="preserve">Фискалдык программа 
</t>
    </r>
    <r>
      <rPr>
        <i/>
        <sz val="11"/>
        <rFont val="Times New Roman"/>
        <family val="1"/>
        <charset val="204"/>
      </rPr>
      <t>Программанын максаты. Бажы контролдугу</t>
    </r>
    <r>
      <rPr>
        <b/>
        <sz val="11"/>
        <rFont val="Times New Roman"/>
        <family val="1"/>
        <charset val="204"/>
      </rPr>
      <t xml:space="preserve">
 </t>
    </r>
  </si>
  <si>
    <r>
      <rPr>
        <b/>
        <sz val="11"/>
        <rFont val="Times New Roman"/>
        <family val="1"/>
        <charset val="204"/>
      </rPr>
      <t>Натыйжалуулук</t>
    </r>
    <r>
      <rPr>
        <sz val="11"/>
        <rFont val="Times New Roman"/>
        <family val="1"/>
        <charset val="204"/>
      </rPr>
      <t xml:space="preserve"> и</t>
    </r>
    <r>
      <rPr>
        <b/>
        <sz val="11"/>
        <rFont val="Times New Roman"/>
        <family val="1"/>
        <charset val="204"/>
      </rPr>
      <t xml:space="preserve">ндикатору </t>
    </r>
    <r>
      <rPr>
        <sz val="11"/>
        <rFont val="Times New Roman"/>
        <family val="1"/>
        <charset val="204"/>
      </rPr>
      <t>( Программа боюнча  максаттуу индикатор )</t>
    </r>
  </si>
  <si>
    <t xml:space="preserve">Бажы төлөмдөрүн жыйноо жана бажы жол-жоболорун ишке ашыруу </t>
  </si>
  <si>
    <t xml:space="preserve">Республикалык бюджеттин киреше бөлүгүн толтуруу пайызы </t>
  </si>
  <si>
    <t>Бажы органдарынын   курулган реконструкцияланган /өткөрмө пункттарынын саны</t>
  </si>
  <si>
    <t>Өткөрмө пункттардын курулушу, жабдуулоо</t>
  </si>
  <si>
    <t xml:space="preserve">бажы органдарынын курулган/реконструкцияланган өткөрмө пункттарынын саны </t>
  </si>
  <si>
    <t>18 өткөрмө пунктунун саны, анын ичинен:</t>
  </si>
  <si>
    <r>
      <t xml:space="preserve">Бажы укук бузууларын алдын алуу жана бөгөт коюу  
</t>
    </r>
    <r>
      <rPr>
        <i/>
        <sz val="11"/>
        <rFont val="Times New Roman"/>
        <family val="1"/>
        <charset val="204"/>
      </rPr>
      <t>Программаны максаты.Бажы жол-жоболорун сактоону камсыз кылуу</t>
    </r>
  </si>
  <si>
    <t>Укук бузууларды табуу</t>
  </si>
  <si>
    <t xml:space="preserve">Бажы укук бузууларын алдын алуу жана бөгөт коюу  
 </t>
  </si>
  <si>
    <t xml:space="preserve">Комптенттүү  органдарга өткөрүлүп берилген материалдардын саны </t>
  </si>
  <si>
    <t xml:space="preserve">Административдик укук бузуу тууралуу иштердин саны  </t>
  </si>
  <si>
    <t xml:space="preserve">49. «Кыргыз азиздер жана дүлөйлөр коому» борбордук башкармалыгы </t>
  </si>
  <si>
    <r>
      <t xml:space="preserve">Көрүүсү жана угуусу боюнча майыптар үчүн коомдо тең укуктарды жана мүмкүнчүлүктөрдү камсыз кылуу.                                                                                                                
</t>
    </r>
    <r>
      <rPr>
        <i/>
        <sz val="11"/>
        <rFont val="Times New Roman"/>
        <family val="1"/>
        <charset val="204"/>
      </rPr>
      <t xml:space="preserve">Программанын максаты: Ден соолугунун мүмкүнчүлүктөрү чектелген адамдарды социалдык реабилитациялоо                         </t>
    </r>
    <r>
      <rPr>
        <b/>
        <sz val="11"/>
        <rFont val="Times New Roman"/>
        <family val="1"/>
        <charset val="204"/>
      </rPr>
      <t xml:space="preserve">                                                                                             </t>
    </r>
  </si>
  <si>
    <t>Көрүүсү жана угуусу боюнча майыптар үчүн атайын КАК (КОС) жана КДК (КОГ) китепканаларынын китеп фондун камсыз кылуу, бул алардын окуусуна жана жумушка орношуусуна  мүмкүндүк берет</t>
  </si>
  <si>
    <t xml:space="preserve">Жалпы китеп фонду, анын ичинде Брайль рельефтик-чекиттик шрифт системасы боюнча зарыл адабият менен атайын китепкананын камсыз болушу                                                                                                                                                                                   </t>
  </si>
  <si>
    <t>даана                         даана</t>
  </si>
  <si>
    <t>23098     10346</t>
  </si>
  <si>
    <t>26400          10200</t>
  </si>
  <si>
    <t>26500           10300</t>
  </si>
  <si>
    <t>27000    10400</t>
  </si>
  <si>
    <t>27500         10500</t>
  </si>
  <si>
    <t>Китепкананы күтүү</t>
  </si>
  <si>
    <t xml:space="preserve">Кыргыз азиздер жана дүлөйлөр коому боюнча көчмө атайын китепканаларды түзүү </t>
  </si>
  <si>
    <t>Санариптик залга баруу</t>
  </si>
  <si>
    <t>Саламаттыгы сак коомго реаблитациялоо жана интеграциялоо үчүн көрүүсү жана угуусу боюнча майыптарга тифлосурдокаражаттарды сатып алуу</t>
  </si>
  <si>
    <t xml:space="preserve">Кыргызча синтезатор менен  санариптелген жана үндөштүрүлгөн </t>
  </si>
  <si>
    <t>Кыргыз жана орус тилдеринде СД  дисктерине китеп фондунун аудио китептерин жаздыруу студиясы</t>
  </si>
  <si>
    <t>Көрүүсү жана угуусу боюнча майыптардын тифлосурдокаражаттар менен камсыз болуусу</t>
  </si>
  <si>
    <r>
      <t xml:space="preserve">Иштеп жаткан, көрүүсү жана угуусу боюнча майыптарды социалдык коргоо. 
</t>
    </r>
    <r>
      <rPr>
        <i/>
        <sz val="11"/>
        <rFont val="Times New Roman"/>
        <family val="1"/>
        <charset val="204"/>
      </rPr>
      <t xml:space="preserve">Программанын максаты: Эмгекке аралаштыруу, жагымдуу шарттарды түзүп берүү                                                                                         </t>
    </r>
  </si>
  <si>
    <t xml:space="preserve">Кыргыз азиздер жана дүлөйлөр коомунун окуу-өндүрүштүк ишканаларында майыптардын иш менен камсыз болуусу </t>
  </si>
  <si>
    <t xml:space="preserve">2018-жылы  Кыргыз дүлөйлөр жана азиздер коомунун иш жүзүндө  окуу-өндүрүштүк ишканалар өндүрүштөрүнүн, чыгарылган продукция өндүрүү көлөмүнүн өсүшү </t>
  </si>
  <si>
    <t>Кыргыз азиздер жана дүлөйлөр коому боюнча КНС салыктарын жана жыйымдарынын ордун толтуруу</t>
  </si>
  <si>
    <t xml:space="preserve">2018-жылы көрүү жана угуу боюнча майыптардын эмгегине акы төлөөнүн  орточо айлыктын өсүшү </t>
  </si>
  <si>
    <t>Кыргыз азиздер жана дүлөйлөр коомунда, окуу-өндүрүштүк ишканаларда өндүрүүлөрдөн түшкөн пайданы алуу</t>
  </si>
  <si>
    <t>Кыргыз азиздер жана дүлөйлөр коому боюнча иш берүүчүлөрдөн социалдык фондго чегерүүлөрдүн (17,25%) ордун толтуруу</t>
  </si>
  <si>
    <t>50. Кыргыз Республикасынын Президентине караштуу Улуттук тил комиссиясы</t>
  </si>
  <si>
    <r>
      <rPr>
        <b/>
        <sz val="11"/>
        <rFont val="Times New Roman"/>
        <family val="1"/>
        <charset val="204"/>
      </rPr>
      <t xml:space="preserve">Пландаштыруу, башкаруу жана администрациялоо                                                                                                                              
</t>
    </r>
    <r>
      <rPr>
        <i/>
        <sz val="11"/>
        <rFont val="Times New Roman"/>
        <family val="1"/>
        <charset val="204"/>
      </rPr>
      <t>Программанын максаты: Башка программаларды ишке ашырууга координациялоочу жана уюштуруучу таасирлер</t>
    </r>
  </si>
  <si>
    <t xml:space="preserve">Финансылык менеджмент жана эсепке алууну камсыз кылуу </t>
  </si>
  <si>
    <t>54</t>
  </si>
  <si>
    <t>Кыргыз тилинин улуттук корпусун түзүү жана 
өнүктүрүү</t>
  </si>
  <si>
    <t>Кыргыз тилинин улуттук корпусун түзүү жана өнүктүрүү,  кыргыз тилинин илимий  стилин түзүү жана өнүктүрүү.</t>
  </si>
  <si>
    <t xml:space="preserve"> Программанын максаты: тилди үйрөтүү технологияларын стандартташтыруу жана өркүндөтүү  </t>
  </si>
  <si>
    <t>Общая координация на региональном уровне</t>
  </si>
  <si>
    <t>Тилди үйрөнүү  боюнча окуу-методикалык адабиятты чыгаруу:  Орус тилдүү топторго кыргыз тили ,  конкурстук негизде 5-6 жаштагы балдар үчүн мамлекеттик тилде балдар жана өспүрүмдөр  үчүн "Кыргыз эл жомоктору"китебин чыгаруу</t>
  </si>
  <si>
    <t>500 нуска.</t>
  </si>
  <si>
    <t>Басма  продукциясын чыгаруу: Дүйнө элдеринин сөздүктөрү</t>
  </si>
  <si>
    <t xml:space="preserve">500 нуска         
</t>
  </si>
  <si>
    <t>Көркөм  каталогдор боюнча көркөм адабий чыгармаларды басуу</t>
  </si>
  <si>
    <t xml:space="preserve"> Мамлекеттик тилдин кадыр-баркын жогорулатууга багытталган атайын программаларды, социалдык жана жарнамалык роликтерди түзүү</t>
  </si>
  <si>
    <t xml:space="preserve">Берүү программаларына ылайык </t>
  </si>
  <si>
    <t xml:space="preserve">Дүйнө адабиятынын жаңы үлгүлөрүн мамл. тилге которуу жана аларды басып чыгаруу: Нобель сыйлыгынын  лауреаттарынын чыгармалары, чыгыштын жана батыштын классикалык адабияты , түрк адабияты, лингвистикалык кыргыз тилининин маалыматтамасы </t>
  </si>
  <si>
    <r>
      <t>Натыйжалуулук индикатору (программа боюнча натыйжалуулук индикатору</t>
    </r>
    <r>
      <rPr>
        <sz val="11"/>
        <color indexed="8"/>
        <rFont val="Times New Roman"/>
        <family val="1"/>
        <charset val="204"/>
      </rPr>
      <t>)</t>
    </r>
  </si>
  <si>
    <t xml:space="preserve">Кыргыз тилинин  сөздүктөрүн басып чыгаруу  </t>
  </si>
  <si>
    <r>
      <t>Натыйжалуулук индикатору (чара боюнча натыйжалуулук индикатору</t>
    </r>
    <r>
      <rPr>
        <sz val="11"/>
        <color indexed="8"/>
        <rFont val="Times New Roman"/>
        <family val="1"/>
        <charset val="204"/>
      </rPr>
      <t>)</t>
    </r>
  </si>
  <si>
    <t>Котормо сөздүктөрдү басып чыгаруу</t>
  </si>
  <si>
    <t>Мамлекеттик тилдеги иш кагаздардын реквизиттери жана стилистикалык ченемдери боюнча методикалык-нускама басылмаларды басып чыгаруу</t>
  </si>
  <si>
    <t>ар бири 500 нуска</t>
  </si>
  <si>
    <t>010</t>
  </si>
  <si>
    <t>Интернет порталдарды жана сайттарды мамлекеттик тилге которуу,  Интернет-ресурстарды тилди үйрөтүүдө колдонуу</t>
  </si>
  <si>
    <t>011</t>
  </si>
  <si>
    <t>Бюджеттик чаралардын аталыштары илиминин жана терминдердин  электрондук формасы үчүн веб-портал түзүү</t>
  </si>
  <si>
    <t>1 вебпортал</t>
  </si>
  <si>
    <t>51.  Кыргыз Республикасынын Өкмөтүнө караштуу Жергиликтүү өз алдынча башкаруу жана  этностор аралык мамилелер иштери боюнча мамлекеттик агенттик</t>
  </si>
  <si>
    <r>
      <t xml:space="preserve">Пландаштыруу, башкаруу жана администрациялоо                                                                                                                              
</t>
    </r>
    <r>
      <rPr>
        <i/>
        <sz val="11"/>
        <rFont val="Times New Roman"/>
        <family val="1"/>
        <charset val="204"/>
      </rPr>
      <t xml:space="preserve">Программанын максаты: Башка программалдарды ишке ашырууга координациялоочу жана уюштуруучу таасирлер </t>
    </r>
  </si>
  <si>
    <t xml:space="preserve">Калктын ишеним индекси
</t>
  </si>
  <si>
    <t xml:space="preserve">Финансылык менеджмент жана эсепке алуууну камсыз кылуу </t>
  </si>
  <si>
    <t>Бузууларсыз бюджетин  аткаруу пайызы</t>
  </si>
  <si>
    <t xml:space="preserve">Тышкы байланыш жана коомчулук менен байланышты колдоо    </t>
  </si>
  <si>
    <t xml:space="preserve">ЖМКмин-лик/вед-волордун оң эскертүүлөр саны </t>
  </si>
  <si>
    <t>Укуктук камсыз кылуу</t>
  </si>
  <si>
    <t>Ишти  уюштуруу жана камсыз кылуу кызматы</t>
  </si>
  <si>
    <t>БА кызматкерлеринин жалпы санынан камсыз кылуу кызматтарынын кызматкерлеринин үлүшү</t>
  </si>
  <si>
    <t>Жергиликтүү өз алдынча башкаруунун өнүктүрүү, этностор аралык  ынтымакты түзүү жана чыңдоо</t>
  </si>
  <si>
    <t xml:space="preserve">Кыргыз Республикасында жергиликтүү өз алдынча башкарууну өнүктүрүү </t>
  </si>
  <si>
    <t xml:space="preserve"> Жергиликтүү өз алдынча башкаруу органдары чөйрөсүндөгү мамлекттик программалардын ишке ашыруунун толуктугу</t>
  </si>
  <si>
    <t xml:space="preserve">Этностор аралык мамилелер </t>
  </si>
  <si>
    <t xml:space="preserve"> Этностор аралык мамилелер чөйрөсүндө  чыр-чатактарды кыскартуу</t>
  </si>
  <si>
    <t>52. Кыргыз Республикасынын Өкмөтүнө караштуу Курчап турган чөйрөнү коргоо жана токой чарбасы мамлекеттик агенттиги</t>
  </si>
  <si>
    <r>
      <t xml:space="preserve">Пландаштыруу, башкаруу жана администрациялоо 
</t>
    </r>
    <r>
      <rPr>
        <i/>
        <sz val="11"/>
        <rFont val="Times New Roman"/>
        <family val="1"/>
        <charset val="204"/>
      </rPr>
      <t xml:space="preserve">Программанын максаты: Токой чарбасынын натыйжалуу иши үчүн шарттарды координациялоо жана түзүү </t>
    </r>
  </si>
  <si>
    <t xml:space="preserve">Эмгек акы  жалпы чыгашасына карата 001 программа боюнча КЧКТЧМА борбордук аппараты боюнча эмгек акыга чыгашалардын катышы </t>
  </si>
  <si>
    <t xml:space="preserve">Финансылык менеджметти жана эсепке алууну камсыз кылуу </t>
  </si>
  <si>
    <t xml:space="preserve">Бюджетти укук бузууларсыз аткаруу пайызы </t>
  </si>
  <si>
    <t xml:space="preserve">Эмгектик талаш-тартыштар боюнча жеңип чыккан сот иштеринин катышы </t>
  </si>
  <si>
    <t xml:space="preserve">Тышкы байланыштарды жана коомчулук менен байланышты колдоо </t>
  </si>
  <si>
    <t>Мин.ведом. ЖМКдагы оң эскерүүлөрүнүн  саны</t>
  </si>
  <si>
    <t>Курчап турган чөйрөгө аяр мамиле  жасоону жана жаратылышты сарамжалдуу пайдаланууну үгүттөө</t>
  </si>
  <si>
    <t xml:space="preserve">Айлана-чөйрөгө этият мамилени жана сарамжалдуу жаратылышты пайдаланууну үгүттөө  боюнча ЖМКдагы иш-чаралардын, акциялардын, публикациялардын саны </t>
  </si>
  <si>
    <t>40</t>
  </si>
  <si>
    <t xml:space="preserve">ЖКРФ каражаттарынын эсебинен иш-чараларды өткөрүү </t>
  </si>
  <si>
    <t xml:space="preserve">Жактырылган долбоорлордун саны (отчеттуулукта баяндоо менен) </t>
  </si>
  <si>
    <t xml:space="preserve">по факту </t>
  </si>
  <si>
    <r>
      <t xml:space="preserve">«Экологиялык коопсуздукту камсыз кылуу»
</t>
    </r>
    <r>
      <rPr>
        <i/>
        <sz val="11"/>
        <rFont val="Times New Roman"/>
        <family val="1"/>
        <charset val="204"/>
      </rPr>
      <t xml:space="preserve">Программанын максаты: калктын саламаттыгын жана айлана-чөйрөгө, анын ичинде климаттын өзгөрүшүн эске алуу менен чарбалык жана башка иштен мүмкүн болуучу терс кесепеттердин таасирин алдын алуу </t>
    </r>
  </si>
  <si>
    <t xml:space="preserve">"Экологоиялык натыйжалуулуктун индекси" рейтигиндеги Кыргыз Республикасынын  позициясы </t>
  </si>
  <si>
    <t>орун</t>
  </si>
  <si>
    <t xml:space="preserve">Экологиялык саясат боюнча ишти координациялоо  </t>
  </si>
  <si>
    <t xml:space="preserve">Айлана-чөйрөнү коргоо жана климатты өзгөртүү жаатында ведомстволор аралык координациялык механизмдердин жыйындарынын саны </t>
  </si>
  <si>
    <t>Курчап турган чөйрөнү коргоо жана/же ага көрсөтүлгөн терс таасирлерди төмөндөтүү боюнча  улуттук жана  секторалдык  стратегиялык документтердеги атайын бөлүмдөрдүн саны</t>
  </si>
  <si>
    <t xml:space="preserve">Мамлекеттик экологиялык экспертизаны жүргүзүү жана жаратылышты пайдаланууну жөнгө салуу </t>
  </si>
  <si>
    <t>Мамлекеттик  экологиялык  экспертизага түшкөн объекттерге берилген корутундулардын саны</t>
  </si>
  <si>
    <t xml:space="preserve">түшкөндүгүнө жараша </t>
  </si>
  <si>
    <t>Мамлекеттик  экологиялык экспертизаны жүргүзүүнүн жыйынтыгы боюнча берилген оң корутундулардын саны</t>
  </si>
  <si>
    <t>экспертизанын жыйынтыгы боюнча</t>
  </si>
  <si>
    <t xml:space="preserve">Мамлекеттик экологиялык экспертизаны жүргүзүүнүн жыйынтыгы боюнча берилген терс корутундулардын саны </t>
  </si>
  <si>
    <t>Стационардык булактардан атмосферага чыккан булгануучу заттардын чыгуусуна  берилген арыздарды кароолордун  саны</t>
  </si>
  <si>
    <t xml:space="preserve">Булганган агып чыккан суулардын  чыгарууга  уруксатка жазылган арыздардын каралгандарынын саны </t>
  </si>
  <si>
    <t xml:space="preserve">Озон бузуучу заттарга уруксат алууга арыздардын каралган саны  </t>
  </si>
  <si>
    <t>Ууландыруучу матер.жана заттардын, анын ичинде  радиоактивдүү калдыктарын утилдештирүүгө, сактоого, көмүүгө, жок кылууга келген  арыздардын каралган саны</t>
  </si>
  <si>
    <t xml:space="preserve">Айлана-чөйрөнүн абалына мониторинг жүргүзүү системасын өнүктүрүү   </t>
  </si>
  <si>
    <t>Курчап турган чөйрөнүн компоненттеринин сапатын аныктоого алынган үлгүлөрдүн саны</t>
  </si>
  <si>
    <t xml:space="preserve">Жүргүзүлүүчү лабораториялык изилдөөлөрдүн саны  </t>
  </si>
  <si>
    <t xml:space="preserve">Участкаларды байкоодогу жүргүзүлүүчү комиссиялык изилдөөлөрдүн саны </t>
  </si>
  <si>
    <t xml:space="preserve">бирд. </t>
  </si>
  <si>
    <t>Ысык-Көлдүн жээктеринин булганууну байкоо точкаларынын саны</t>
  </si>
  <si>
    <t xml:space="preserve">"Кереге"  маалымат системасынын байкоочу индикаторлорунун саны  </t>
  </si>
  <si>
    <t xml:space="preserve">Радиациялык, биологиялык жана химиялык коопсуздук боюнча ишти координациялоо  </t>
  </si>
  <si>
    <t xml:space="preserve">Туруктуу органикалык булгоочулардан: эскирген пестициддер көмүлгөн жерлерден: айлана-чөйрөгө жана калктын саламаттыгы үчүн азайтылган тобокелчиликтердин саны  </t>
  </si>
  <si>
    <t xml:space="preserve">Радиактивдүү калдык сактоочу жайлардан жана иондуу нурлануу булактарынан: айлана-чөйрөгө жана калктын саламаттыгы үчүн азайтылган тобокелчиликтердин саны </t>
  </si>
  <si>
    <t xml:space="preserve">Өндүрүштүн жана керектөөнүн калдыктарын башкаруу </t>
  </si>
  <si>
    <t xml:space="preserve">Катуу тиричилик калдыктар үчүн  контейнерлер менен камсыз болуу % </t>
  </si>
  <si>
    <t xml:space="preserve">Катуу тиричилик калдыктарды чыгаруу үчүн атайын техника менен камсыз кылуу %   </t>
  </si>
  <si>
    <t xml:space="preserve">Тазаланган таштандынын саны </t>
  </si>
  <si>
    <t xml:space="preserve">куб.м </t>
  </si>
  <si>
    <t xml:space="preserve">Чаң тазалоочу менен камсыз кылуу, муктаждыктан % </t>
  </si>
  <si>
    <t>ЖКРФ каражаттарынын эсебинен иш-чараларды өткөрүү</t>
  </si>
  <si>
    <t xml:space="preserve">жактырылган долбоорлордун саны  (отчеттуулукта баяндоо менен) </t>
  </si>
  <si>
    <r>
      <t xml:space="preserve">Токой экосистемаларын өнүктүрүү 
</t>
    </r>
    <r>
      <rPr>
        <i/>
        <sz val="11"/>
        <rFont val="Times New Roman"/>
        <family val="1"/>
        <charset val="204"/>
      </rPr>
      <t xml:space="preserve">Программанын максаты: токой экосистемаларын коргоо, токойлорду көбөйтүү жана сарамжалдуу токой пайдалануу </t>
    </r>
  </si>
  <si>
    <t>Мамлекеттик токой фондунун токойлорунун  аянты</t>
  </si>
  <si>
    <t xml:space="preserve">Токойлорду токой бузуулардан жана өрттөн коргоо </t>
  </si>
  <si>
    <t xml:space="preserve">Токой эрежелерин бузуулардан  жана өрттөн коргоого тийиштүү мамлекеттик токой фондунун аянты  </t>
  </si>
  <si>
    <t xml:space="preserve">Өрттүн жалпы санына карата учурунда өчүрүлгөн токой өрттөрүнүн санынын катышы  </t>
  </si>
  <si>
    <t>Токойлорду зыянкечтерден жана илдеттерден коргоо</t>
  </si>
  <si>
    <t xml:space="preserve">Токой зыянкечтерине каршы иштелип чыккан аянттын токой зыянкечтеринен жуккан жалпы аянтына карата катышы </t>
  </si>
  <si>
    <t xml:space="preserve">Токой ресурстарын кайра өндүрүү </t>
  </si>
  <si>
    <t>Токой өсүмдүктөрүнүн байыр алуусу,  %</t>
  </si>
  <si>
    <t>МТФ жерлериндеги токой өсүмдүктөрүнүн жыл сайын отургузуу аянты</t>
  </si>
  <si>
    <t xml:space="preserve">Отургузулуучу материалдардын өстөрүлгөн саны </t>
  </si>
  <si>
    <t>Токойлордун азыктуулугун жогорулатуу жана сактоо</t>
  </si>
  <si>
    <t>Тазалоо жүргүзүлгөн  аянт</t>
  </si>
  <si>
    <t>Токой пайдаланууну уюштуруу</t>
  </si>
  <si>
    <t xml:space="preserve">УСКга мамлекеттик статистикалык отчеттуулук берген токой пайдалануучуларынын саны </t>
  </si>
  <si>
    <t xml:space="preserve">Токойдон  киреше алуучу калктын саны </t>
  </si>
  <si>
    <t>Токой чарбасын координациялоо жана жүргүзүүнү уюштуруу</t>
  </si>
  <si>
    <t xml:space="preserve">Департаменттин жана токой чарбасынын кызматкерлеринин жалпы санынан ТТП жана КТП, жетекчилигинин, бухгалтерия, кадр кызматкерлеринин үлүшү </t>
  </si>
  <si>
    <t>Токой чарбасын региондук  деңгээлде жүргүзүүнү уюштуруу</t>
  </si>
  <si>
    <t>Токой чарбасынын кызматкерлеринин жалпы санынан ТТП жана КТП, токой чарбасынын жетекчилигинин, бухгалтерия кызматкерлеринин үлүшү</t>
  </si>
  <si>
    <t>ЖКРФ каражаттары аркылуу иш-чараларды өткөрүү</t>
  </si>
  <si>
    <t xml:space="preserve">Жактырылган долбоорлордун саны  (отчеттуулукта баяндоо менен) </t>
  </si>
  <si>
    <r>
      <t xml:space="preserve">Токой, аңчылык ресурстарды эсепке алуу, токой чарбаларын жүргүзүүнү жана аңчылык чарба иштерин пландоо  
</t>
    </r>
    <r>
      <rPr>
        <sz val="11"/>
        <rFont val="Times New Roman"/>
        <family val="1"/>
        <charset val="204"/>
      </rPr>
      <t xml:space="preserve">Программанын максаты: токой ресурстарын, аңчылык жерлерди сапаттык жана сандык мүнөздөмө жөнүндө маалымат менен камсыз кылуу, баалоо, болжолдоо, пландоо жана эсепке алуу  </t>
    </r>
  </si>
  <si>
    <t xml:space="preserve">Токойлорду инвентаризациялоо боюнча,  токой чарбалык иш-чараларды пландаштыруу боюнча, жапайы жаныбарларды эсепке алуу боюнча, типология жана бонитировкалоо боюнча,  картографиялык материалдардын сандык моделдерин, токой жайгаштыруу долбоорлорунун, аңчылык  чарба ишинин стратегиялык планынын, чарбалар аралык аңчылыкты уюштуруу  долбоорлорунун маалыматтар базасын камтуу, %  </t>
  </si>
  <si>
    <t>Токой-аңчылык  жайгаштыруу иштерин башкаруу жана уюштуруу</t>
  </si>
  <si>
    <t xml:space="preserve">"Токой аңчылык жайгаштыруу" ММ  кызматкерлеринин жалпы санынан жетекчиликтин, бухгалтерия, кадр, ТОП жана МОП  кызматкерлеринин үлүшү </t>
  </si>
  <si>
    <t>Токойлорду инвентаризациялоо</t>
  </si>
  <si>
    <t>Токойлорду улуттук инвентаризациялоо жүргүзүлгөн аянт</t>
  </si>
  <si>
    <t xml:space="preserve">Токой жайгаштырууну жүргүзүү </t>
  </si>
  <si>
    <t>Токой жайгаштыруу тарабынан өткөрүлгөн аянт</t>
  </si>
  <si>
    <t>Бөлүкчөлөрдү баалоо</t>
  </si>
  <si>
    <t xml:space="preserve">Токойлорду инвентаризациялоонун сыноо аянтынын саны </t>
  </si>
  <si>
    <t>Токой жайгаштыруу долбоорлору</t>
  </si>
  <si>
    <t xml:space="preserve">Анчылык жайгаштырууну жүргүзүү </t>
  </si>
  <si>
    <t>Чарба аралык аңчылык жайгаштыруу жүргүзүлгөн аянт</t>
  </si>
  <si>
    <t xml:space="preserve">Жапайы жаныбарларды эсепке алуучу байкоо пункттары </t>
  </si>
  <si>
    <t xml:space="preserve">Жапайы жаныбарларды эсепке алуу боюнча өтүлгөн маршруттардын узундугу </t>
  </si>
  <si>
    <t>км.</t>
  </si>
  <si>
    <t xml:space="preserve">Чарба аралык аңчылык жайгаштыруу долбоорлору </t>
  </si>
  <si>
    <t>Камералык иштерди жүргүзүү</t>
  </si>
  <si>
    <t>Камералык иштер (санариптөө)</t>
  </si>
  <si>
    <t xml:space="preserve">Бөлүкчөлөрдү баалоо жана токойлорду инвентаризациялоо карточкаларын киргизүү  </t>
  </si>
  <si>
    <t xml:space="preserve">Таксациялык баяндоолорду чыгаруу </t>
  </si>
  <si>
    <t xml:space="preserve">Картографиялык материалдарды чыгаруу  </t>
  </si>
  <si>
    <t xml:space="preserve"> ЖКРФ каражаттары аркылуу иш-чараларды өткөрүү</t>
  </si>
  <si>
    <r>
      <t xml:space="preserve">Биоартүрдүүлүктү коргоо  
</t>
    </r>
    <r>
      <rPr>
        <i/>
        <sz val="11"/>
        <rFont val="Times New Roman"/>
        <family val="1"/>
        <charset val="204"/>
      </rPr>
      <t xml:space="preserve">Программанын максаты:  биоартүрдүүлүктү сактоо жана жакшыртуу, анын ичинде жаныбарлар жана өсүмдүк дүйнөсүнүн сейрек жана жоголуп бара жаткан популяцияларын калыбына келтирүү; Кыргыз Республикасынын биоартүрдүүлүктү туруктуу пайдалануу </t>
    </r>
  </si>
  <si>
    <t>Кызыл китепке киргизилген корголгон айбанаттардын (омурткалуулар жана омурткасыздар) түрлөрүнүн саны</t>
  </si>
  <si>
    <t>Кызыл китепке киргизилген корголгон куштардын түрлөрүнүн саны</t>
  </si>
  <si>
    <t>Кызыл китепке киргизилген жогорку түзүлүштөгү өсүмдүктөрдүн жана козу карындардын  түрлөрүнүн саны</t>
  </si>
  <si>
    <t xml:space="preserve">ӨКЖА иштерин  координациялоо жана экосистемаларды сактоо боюнча маселелерди үгүттөө </t>
  </si>
  <si>
    <t xml:space="preserve">"Токой аңчылык жайгаштыруу" ММ  кызматкерлеринин жалпы санынан жетекчиликтин, бухгалтерия, кадр, ТТП жана КТП  кызматкерлеринин үлүшү </t>
  </si>
  <si>
    <t xml:space="preserve">Башкаруунун натыйжалуулугун эл аралык баалоо киргизилген ОКЖА саны </t>
  </si>
  <si>
    <t>Өлкөнүн жалпы аянтына карата өзгөчө корголуучу жаратылыш аймактарынын үлүшү</t>
  </si>
  <si>
    <t xml:space="preserve">%  </t>
  </si>
  <si>
    <t xml:space="preserve">Улуттук жаратылыш  парктарынын жана коруктарынын аянты  </t>
  </si>
  <si>
    <t>ӨКЖАда иштелип чыккан экологиялык жолдордун саны</t>
  </si>
  <si>
    <t>ӨКЖАнын маалыматтык борборлордун  саны</t>
  </si>
  <si>
    <t>Биотүрдүүлүктү сактоо маселелерин үгүттөө  боюнча жүргүзүлгөн иш-чаралардын саны</t>
  </si>
  <si>
    <t xml:space="preserve">ӨКЖА аймактарында биотүрдүүлүктү сактоо боюнча иш-чаралар </t>
  </si>
  <si>
    <t xml:space="preserve">ӨКЖАда аңчылык жаныбарлары үчүн коюлган шор топурактардын саны </t>
  </si>
  <si>
    <t>ӨКЖА аймагындагы тазаланган булактардын саны</t>
  </si>
  <si>
    <t xml:space="preserve">Өрттөрдүн саны  </t>
  </si>
  <si>
    <t xml:space="preserve">ӨКЖА жалпы аянтына карата деградацияланган экосистем аянтынын катышы  (коруктар жана улуттук парктар ) </t>
  </si>
  <si>
    <t xml:space="preserve">ӨКЖА аймагында ачыкталган бузуулардын мындай учурлардын санына карата катышы (браконьердик, токой бузуулары, малды мыйзамсыз жаюу, ӨКЖА   режимин бузуу ж.б.) </t>
  </si>
  <si>
    <t>ӨКЖА жүргүзүлгөн илимий иштердин саны</t>
  </si>
  <si>
    <t>Жүргүзүлгөн илимий иштердин саны</t>
  </si>
  <si>
    <t>Жаныбарлар дүйнөсүнө  жана улуттук жапайы жаныбарлардын маалыматтар базасынын  объектилерине мониторинг, эсепке алууну жана кадастр жүргүзүүнү киргизүү</t>
  </si>
  <si>
    <t>Эсепке алынууга камтылган жапайы жаныбарлардын түрлөрүнүн/түрчөлөрүнүн саны</t>
  </si>
  <si>
    <t xml:space="preserve">КР Кызыл китебине киргизилген, эсепке алынууга камтылган жапайы жаныбарлардын түрлөрү/түрчөлөрүнүн саны </t>
  </si>
  <si>
    <t>Мониторинг өткөрүлүүчү аянтчалардын саны</t>
  </si>
  <si>
    <t xml:space="preserve">КР жапайы жаныбарлар базасына киргизилген, жапайы жаныбарлардын түрлөрү/түрчөлөрү жөнүндө маалымат </t>
  </si>
  <si>
    <t xml:space="preserve">Жаныбарлар дүйнөсүнүн объекттерин колдоо, сактоо жана кайра өндүрүү  </t>
  </si>
  <si>
    <t xml:space="preserve">Атылган  "зыяндуу" жаныбарлардын саны </t>
  </si>
  <si>
    <t xml:space="preserve">Анчылык жаныбарлар үчүн шор топурак ташталган орундардын саны   </t>
  </si>
  <si>
    <t xml:space="preserve">Аңчылык чарбалардын аймактарында тазаланган булактардын саны </t>
  </si>
  <si>
    <t xml:space="preserve">Жапайы жаныбарлардын ооруларды жайылтуусун табуу жана алдын алуу боюнча иш-чаралардын саны  </t>
  </si>
  <si>
    <t xml:space="preserve">Жаныбарлар жана өсүмдүктөр дүйнөсүнүн жаратылыш ресурстарын жана алар жашаган/көбөйгөн жерлерди коргоо,  координациялоо жана пайдаланууну контролдоо  </t>
  </si>
  <si>
    <t xml:space="preserve">Орнотулган маалыматтык аншлагдардын жана  паннолордун жыл үчүн/бардыгынын саны </t>
  </si>
  <si>
    <t>18/52</t>
  </si>
  <si>
    <t>18/70</t>
  </si>
  <si>
    <t>20/90</t>
  </si>
  <si>
    <t>20/91</t>
  </si>
  <si>
    <t xml:space="preserve">Ачылган  аңчылык эрежелерин бузуулар жана броконьерлик учурлардын санына карата  катышы  </t>
  </si>
  <si>
    <t>Келтирилген зыяндын ордун толтуруу боюнча  өндүрүлгөн суммалардын катышы</t>
  </si>
  <si>
    <t xml:space="preserve">Аңчылык чарба ишин жүргүзүү укугуна берилген арыздардын каралган саны   </t>
  </si>
  <si>
    <t>Жаныбарлар дүйнөсүнүн ресурстарын биргелешип коргоого тартылган жергиликтүү жамааттардын саны</t>
  </si>
  <si>
    <t>Аңчылыкты пайдалануучулардын ишин координациялоо</t>
  </si>
  <si>
    <t>аңчылыкты пайдалануучулардын саны</t>
  </si>
  <si>
    <t xml:space="preserve">Берилген мамлекеттик мергенчилик ырастамалардын саны </t>
  </si>
  <si>
    <t>Жактырылган долбоорлордун саны  (отчеттуулукта баяндоо менен)</t>
  </si>
  <si>
    <t>53. Кыргыз Республикасынын Өкмөтүнө караштуу Мамлекеттик каттоо кызматы</t>
  </si>
  <si>
    <r>
      <rPr>
        <b/>
        <sz val="11"/>
        <rFont val="Times New Roman"/>
        <family val="1"/>
        <charset val="204"/>
      </rPr>
      <t xml:space="preserve">Пландоо, башкаруу жана администрациялоо </t>
    </r>
    <r>
      <rPr>
        <sz val="11"/>
        <rFont val="Times New Roman"/>
        <family val="1"/>
        <charset val="204"/>
      </rPr>
      <t xml:space="preserve">
</t>
    </r>
  </si>
  <si>
    <t xml:space="preserve">Бардык программалар боюнча эмгек акыга  чыгашалардын суммасына карата 001 программасы боюнча эмгек акыга  чыгашалардын катышы </t>
  </si>
  <si>
    <t xml:space="preserve">Финансылык менеджметти жана эсепти камсыз кылуу  </t>
  </si>
  <si>
    <t xml:space="preserve">Бюджетти  аткаруу пайызы </t>
  </si>
  <si>
    <t>Эмгектик талаш-тартыштар боюнча утуп  чыккан сот процесстеринин  үлүшү</t>
  </si>
  <si>
    <t xml:space="preserve">Алардын жалпы санына карата утуп  чыккан сот иштеринин катышы </t>
  </si>
  <si>
    <t>бирлик/бирдик</t>
  </si>
  <si>
    <t>11/33 (22  процессте)</t>
  </si>
  <si>
    <t>Кызматтын иши жөнүндө маалыматтык билдирүүлөрдүн саны</t>
  </si>
  <si>
    <t>Борбордук аппараттын  кызматкерлеринин жалпы санынан камсыздоо кызматтарынын кызматкерлеринин үлүшү</t>
  </si>
  <si>
    <t xml:space="preserve">Мониторинг, анализ жана стратегиялык пландоону камсыз кылуу </t>
  </si>
  <si>
    <t>Кыргыз Республикасынын Өкмөтүнө караштуу Мамлекеттик каттоо кызматынын өнүктүрүү стратегиясын ишке ашыруу</t>
  </si>
  <si>
    <t>Калкты  жана жарандык абал актыларын каттоо</t>
  </si>
  <si>
    <t>Натыйжалуулук индикатору</t>
  </si>
  <si>
    <t>Калкты каттоо</t>
  </si>
  <si>
    <t xml:space="preserve">Персонификацияланган паспорттордун саны </t>
  </si>
  <si>
    <t>мин. даана</t>
  </si>
  <si>
    <t>Жарандык абал актыларын каттоо</t>
  </si>
  <si>
    <t xml:space="preserve">Жарандык абалдын катталган актыларынын саны </t>
  </si>
  <si>
    <t>Транспорт каражаттарын жана айдоочулук курамды каттоо</t>
  </si>
  <si>
    <t>Транспорт каражаттарын каттоо</t>
  </si>
  <si>
    <t>Катталган транспорт каражаттары</t>
  </si>
  <si>
    <t>Айдоочулук курамды каттоо</t>
  </si>
  <si>
    <t xml:space="preserve">Берилген айдоочулук күбөлүктөр </t>
  </si>
  <si>
    <t>Кыймылсыз мүлккө укукту каттоо</t>
  </si>
  <si>
    <t xml:space="preserve">Пландоо, башкаруу жана  администрациялоо                                                                                                                              </t>
  </si>
  <si>
    <t xml:space="preserve">Калктан келген даттануулардын санынын кыскарышы  </t>
  </si>
  <si>
    <t>%  аткаруу</t>
  </si>
  <si>
    <t>КР архив фондунун документтеринин сакталышын камсыз кылуу</t>
  </si>
  <si>
    <t xml:space="preserve">Мамлекетин жана коомдун кызыкчылыгы үчүн КР Улуттук архивдик фондун  түзүү, комплектөө, сактоо жана пайдалануу  </t>
  </si>
  <si>
    <t>сактоо бирдиги</t>
  </si>
  <si>
    <t>Архив документтерин сактоодо сапатты жана коопсуздукту жогорулатуу</t>
  </si>
  <si>
    <t xml:space="preserve">Архивдик документтерди туруктуу негизде сактоо үчүн  сактоонун ченемдерин жана стандарттарын камсыздоого мүмкүндүк берет </t>
  </si>
  <si>
    <t>коробка саны</t>
  </si>
  <si>
    <t>Архив документтерин  санариптөө</t>
  </si>
  <si>
    <t xml:space="preserve">Архивдик  документтердин камсыздандыруу  фондун түзүү ( архивдик  документтердин санариптик көчүрмөсү); документтердин түп нускасын пайдаланбоо максатында архивдик документтерди пайдалануу  фондун түзүү,  архивдик документтерди оперативдүү издөө  </t>
  </si>
  <si>
    <t>2015-2025 -жылдарда чет өлкөлөрдөгү аривдерде, музейлерде жана китепканалардагы кыргыздар жана Кыргызстан жөнүндө документтерди жана материалдарды табуу жана топтоо боюнча программа</t>
  </si>
  <si>
    <t xml:space="preserve">Архивдик  фондду баалуу тарыхый документтер менен толуктоо  </t>
  </si>
  <si>
    <t>барак/сактоо бирдиги</t>
  </si>
  <si>
    <t>1424/585</t>
  </si>
  <si>
    <t>1424/586</t>
  </si>
  <si>
    <t>1424/587</t>
  </si>
  <si>
    <t>1424/588</t>
  </si>
  <si>
    <t>1424/589</t>
  </si>
  <si>
    <t>Чет өлкөлүк архивдерде кыргыздар жана Кыргызстандын документалдык тарыхын изилдөө</t>
  </si>
  <si>
    <t>Илимий-изилдөө иштерин кеңейтүү</t>
  </si>
  <si>
    <t>күн саны</t>
  </si>
  <si>
    <t>Тарыхый мураска ээ болгон документтерди көчүрмөлөө жана КР  жеткирүү</t>
  </si>
  <si>
    <t xml:space="preserve">Чет өлкөлүк архивдерден алынган документтердин негизинде  архивдик фондду түзүү  </t>
  </si>
  <si>
    <t>БАРДЫГЫ (контролдук сандар)</t>
  </si>
  <si>
    <t>54. КРӨ караштуу Экологиялык жана техникалык коопсуздук боюнча мамлекеттик инспекциясы</t>
  </si>
  <si>
    <t>001/002</t>
  </si>
  <si>
    <r>
      <t xml:space="preserve">Пландоо, башкаруу жана администрациялоо/ЭТКМИнин натыйжалуу иши үчүн шарттарды түзүү жана координациялоо                              </t>
    </r>
    <r>
      <rPr>
        <i/>
        <sz val="11"/>
        <color indexed="8"/>
        <rFont val="Times New Roman"/>
        <family val="1"/>
        <charset val="204"/>
      </rPr>
      <t>Программанын максаты ЭТКМИнин натыйжалуу иши үчүн шарттарды түзүү жана координациялоо</t>
    </r>
  </si>
  <si>
    <t>Финансы менеджментин жана эсепке алууну камсыз кылуу</t>
  </si>
  <si>
    <t>Акыркы 3 жылда кайра окутуу же квалификациясын жогорулатуу программаларынан өткөн инспекторлордун үлүшү</t>
  </si>
  <si>
    <t>ЭТКМИ тарабынан иштелип чыккан ЧУА саны</t>
  </si>
  <si>
    <t>бирдик/бирдик</t>
  </si>
  <si>
    <t>120/440</t>
  </si>
  <si>
    <t>110/410</t>
  </si>
  <si>
    <t>130/450</t>
  </si>
  <si>
    <t>150/450</t>
  </si>
  <si>
    <t>200/450</t>
  </si>
  <si>
    <t>Ички контрол жана коррупциялык көрүнүштөрдү жоюуу</t>
  </si>
  <si>
    <t xml:space="preserve">Коомчулуктун коррупциянын деңгээлине карата түшүнүгү  </t>
  </si>
  <si>
    <t>ЭТКМИнын иши боюнча көрсөтүлгөн видеороликтердин саны</t>
  </si>
  <si>
    <t>Контролдук-көзөмөл ишинде жалпы көлөмдөгү  профилактикалык иш-чаралардын үлүшү</t>
  </si>
  <si>
    <t>Жалпыга  маалымдоо каражаттарында, тынымсыз байланыш жана ушул сыяктуу иш-чараларда жүргүзүлгөн түшүндүрүү иштеринин, конференциялардын, семинарлардын саны</t>
  </si>
  <si>
    <t>Тартылган гранттардын саны</t>
  </si>
  <si>
    <t>Борбордук аппараттын жана региондук башкармалыктардын кызматкерлеринин жалпы санынан камсыздоо кызматындагы кызматкерлердин  үлүшү</t>
  </si>
  <si>
    <t xml:space="preserve">Мониторинг, талдоо  жана стратегиялык пландоону камсыз кылуу </t>
  </si>
  <si>
    <t>1)Учурдагы  жылга  КР ЖК тарабынан бекитилген КРӨ  Программасын ишке ашыруу боюнча КРӨ иш аракет Планында бекитилген, жыйынтыктарга жетишүу даражасы (жыйынтыктардын салмак маанисин колдонсо болот);                                                                           2) жетекчинин өздүк планында жыйынтыктарга жетишүү даражасы;                                           3)калктын ишеним индекси;                                                                                                                                    4) аткаруу тартибинин  деңгээли.</t>
  </si>
  <si>
    <r>
      <t xml:space="preserve">Экологиялык коопсуздукту контролдоо жана мониторинг .                                             </t>
    </r>
    <r>
      <rPr>
        <i/>
        <sz val="11"/>
        <rFont val="Times New Roman"/>
        <family val="1"/>
        <charset val="204"/>
      </rPr>
      <t>Программанын максаты КР Экологиялык коопсуздуктун жогорку деңгээли</t>
    </r>
  </si>
  <si>
    <t>Кыргыз Республикасынын экологиялык натыйжалуулуктун индекс рейтингиндеги  позициясы</t>
  </si>
  <si>
    <t xml:space="preserve">Курчап турган чөйрөнү коргоону, жаратылыш ресурстарынын сарамжалдуу пайдаланууну, биоресурстарды колдонууну жана коргоону, химиялык коопсуздукту мамлекеттик контролдоо </t>
  </si>
  <si>
    <t>Биоартүрдүлүктүү коргоо менен байланышкан   аныкталган укук бузуулардын  саны</t>
  </si>
  <si>
    <t>Текшерүүлөрдүн жалпы саны</t>
  </si>
  <si>
    <t xml:space="preserve">Контролдоого,көзөмөлдөөгө, текшерүүлөргө тийиштүү объекттерди камтуу </t>
  </si>
  <si>
    <t>Жазма буйруктарды аткарбоого байланыштуу бузууларга текшерүү жүргүзүүдө аныкталгандардын саны</t>
  </si>
  <si>
    <t>Жалпы таштандылардын санына карата, санкцияланбаган таштандылардын  үлүшү</t>
  </si>
  <si>
    <t>Ысык-Көлдөгү  жалпы пансионаттардын санына катара саркынды сууларды тазалоо курулмалары бар  пансионаттардын үлүшү</t>
  </si>
  <si>
    <t>Салынган айыптардын санынан өндүрүлгөн айыптардын санынын салыштырма салмагы (өндүрүлбөгөн өтмө калдыктарды эсепке алуу менен)</t>
  </si>
  <si>
    <t>Салынган айыптардын санынан өндүрүлгөн айыптардын суммасынын салыштырма салмагы (өндүрүлбөгөн өтмө калдыктарды эсепке алуу менен)</t>
  </si>
  <si>
    <t xml:space="preserve">Суу ресурстарын  жана объекттерин колдонууну көзөмөлдөөнү жана контролдоону ишке ашыруу </t>
  </si>
  <si>
    <t>Суу ресурстрына жана объектилерине контрол жана көзөмөл жүргүзүү процессинде аныкталган бузуулардын саны</t>
  </si>
  <si>
    <t>Жерлерди коргоону,  контролдоону, көзөмөлдөөнү ишке ашыруу</t>
  </si>
  <si>
    <t>Бузулган жерлердин жалпы көлөмүнө карата деградация  боюнча айыл чарба жүгүртүүсүнөн чыккан жерлердин аянтынын үлүшү</t>
  </si>
  <si>
    <t>Рекультивацияга тийиштүү  жерлердин жалпы аянтына карата рекультивацияланган жерлердин үлүшү</t>
  </si>
  <si>
    <t>Жазма буйруктарды аткарбоого байланыштуу бузууларга текшерүү жүргүзүүдө аныкталгандардын үлүшү</t>
  </si>
  <si>
    <t>Радиоактивдүү жана ядролук материалдарды жана объекттерди көзөмөлдөөнү жана контролдоону  ишке ашыруу</t>
  </si>
  <si>
    <r>
      <t xml:space="preserve">Техникалык коопсуздукту контролдоо жана мониторинг .                                                     </t>
    </r>
    <r>
      <rPr>
        <i/>
        <sz val="11"/>
        <rFont val="Times New Roman"/>
        <family val="1"/>
        <charset val="204"/>
      </rPr>
      <t>Программанын максаты Кыргыз Республикасында техникалык коопсуздуктун жогорку деңгээли</t>
    </r>
  </si>
  <si>
    <t>Тобокелдиктин контролдонгон түрлөрү боюнча өлүмгө дуушар кылган кырсыктардын жалпы саны</t>
  </si>
  <si>
    <t>киши</t>
  </si>
  <si>
    <t xml:space="preserve"> 1% тѳмѳндѳѳ</t>
  </si>
  <si>
    <t>Эмгекти коргоо жана эмгектик мамилелер</t>
  </si>
  <si>
    <t>Орточо тизмедеги иштегендердин саны (миң киши)</t>
  </si>
  <si>
    <t>Травматизмдин жыштык коэффиценти (1000 иштөөчү эсебинде  иштегендердин орточо тизмеден тургандардын санына карата 1 жылда жаракат алгандардын катышы)</t>
  </si>
  <si>
    <t>Текшерилген объекттерде жеке коргоо каражаттары менен  жарандардын камсыздалышы</t>
  </si>
  <si>
    <t>2% ке кѳбѳйүшү</t>
  </si>
  <si>
    <t>Текшерилген объекттерде иштеп жаткан жарандардын эмгек келишимдери менен камсыздалышы</t>
  </si>
  <si>
    <t>Өнөр жай коопсуздугун камсыз кылуу</t>
  </si>
  <si>
    <t>Тоо-кен  көзөмөлүн ишке ашыруу</t>
  </si>
  <si>
    <t>Тоо-кен тармагына көзөмөлдөө чөйрөсүндө бузуулар менен байланышкан  кырсыктарды саны</t>
  </si>
  <si>
    <t>Жер казынасын сарамжалдуу пайдалануу</t>
  </si>
  <si>
    <t>Жүргүзүлүп жаткан иштердин долбоордон четтөөлөрүнүн саны</t>
  </si>
  <si>
    <t>Лиценциялык макулдашууларды бузуу менен байланышкан  инциденттердин саны</t>
  </si>
  <si>
    <t>Реконструкцияланып  жаткан имраттардын жана курулуштардын сапатын жана ишенимдүүлүгүн камсыздоо</t>
  </si>
  <si>
    <t>Курулуш процессине текшерүү жүргүзүүдө  курулуш процессиндеги  мурда аныкталган бузууларга карата өз убагында четтетилген бузуулардын үлүшү (курулуштун сапаты)</t>
  </si>
  <si>
    <t>Энергосистемасында технологиялык бузууларды жана  электротравматизмдин  кырсыктарын иликтөө</t>
  </si>
  <si>
    <t>Текшерүү жүргүзүүдө аныкталган бузуулардын саны (2018-жылы ар бир объектке текшерүү жүргүзүүдө)</t>
  </si>
  <si>
    <t>Контролдук текшерүү жүргүзүүдө четтетилген бузуулардын саны</t>
  </si>
  <si>
    <t>Технологияларды жана ченемдерди бузуу менен байланышкан инциденттердин саны (авариялык өчүрүүлөр)</t>
  </si>
  <si>
    <t xml:space="preserve">Өрт коопсуздугунун ченемдеринин жана эрежелеринин талаптарын аткарууну көзөмөлдөөнү жана контролдоону ишке ашыруу </t>
  </si>
  <si>
    <t>Технологияларды жана ченемдерди бузуу менен байланышкан инциденттердин саны (төмөндөө)</t>
  </si>
  <si>
    <t>Транспорттук коопсуздук чөйрөсүндө контролдоону жана көзөмөлдөөнү ишке ашыруу</t>
  </si>
  <si>
    <t>Көзөмөлдөөгө тийиштүү   бардык объекттерди инвентаризациялоого камтуу үлүшү</t>
  </si>
  <si>
    <t xml:space="preserve">Мамлекеттин жана жарандардын кызыкчылыгын  ченөөлөрдүн анык эмес жыйынтыгынан коргоо </t>
  </si>
  <si>
    <t xml:space="preserve">Контролдоого, көзөмөлдөөгө, текшерүүлөргө тийиштүү объекттерди камтуу </t>
  </si>
  <si>
    <t>КР "БЧК" (бирдиктуу ченемди камсыз кылуу) мыйзамынын талаптарын бузуулардын саны</t>
  </si>
  <si>
    <t>55. Кыргыз Республикасынын Өнөр жай, энергетика жана жер казынасын  пайдалануу мамлекеттик комитети</t>
  </si>
  <si>
    <t>Комитеттин ишин баалоо</t>
  </si>
  <si>
    <t>баллдардын саны</t>
  </si>
  <si>
    <t>коэф</t>
  </si>
  <si>
    <t xml:space="preserve">Мониторинг, талдоо жана саясатты ишке ашыруу  </t>
  </si>
  <si>
    <t xml:space="preserve">Тармакты өнүктүрүү стратегиясын иштеп чыгуу жана анын күчүнө кирүүсү  </t>
  </si>
  <si>
    <t xml:space="preserve">Энергетиканы жана жер казынасын  пайдаланууну жөнгө салуу боюнча кабыл алынган ЧУА жана стандарттар </t>
  </si>
  <si>
    <t xml:space="preserve">Камсыздоо кызматынын ишин уюштуруу </t>
  </si>
  <si>
    <t xml:space="preserve">Тармактык программаларды аткаруунун деңгээли  </t>
  </si>
  <si>
    <t xml:space="preserve">Геологиялык чалгындоо иштери үчүн даярдалган кен казып алуучу жайлардын жалпы санга карата үлүшү </t>
  </si>
  <si>
    <t xml:space="preserve">Геологиялык чалгындоо иштери - түрдүү пайдалуу кендердин түрлөрүнүн кен чыккан жерлерин издөө, баалоо жана чалгындоо / жер казынасын пайдалануу жаатында мыйзамдарды өркүндөтүү 
</t>
  </si>
  <si>
    <t>Геологиялык чалгындоо иштерин жүргүзүүнүн аянты</t>
  </si>
  <si>
    <t>кв.км</t>
  </si>
  <si>
    <t xml:space="preserve">Аяктаган геологиялык чалгындоо иштеринин саны  </t>
  </si>
  <si>
    <t xml:space="preserve">Сууну пайдалануунун объектилерин жана экзогендик геологиялык процесстерин иликтөө.
</t>
  </si>
  <si>
    <t xml:space="preserve">Жер алдындагы суулардын сапатынын абалына  изилденген  сууну пайдалануунун объектилеринин саны   </t>
  </si>
  <si>
    <t xml:space="preserve">Пайда болгон экзогендик геологиялык процесстеринин изилденген  участкаларынын саны  </t>
  </si>
  <si>
    <t xml:space="preserve">Геологиялык маалыматтын жеткиликтүүлүгүн камсыздоо, геологиялык материалдарды талдоо жана жалпылаштыруу.   
</t>
  </si>
  <si>
    <t xml:space="preserve">Геологиялык материалдарды санариптик алып жүрүүчүлөргө көчүрүү жана аларды иштеп чыгуу </t>
  </si>
  <si>
    <t>барак</t>
  </si>
  <si>
    <t>Геологиялык-геохимиялык издөөлөрдүн бардык түрлөрү боюнча маалыматтар базасын түзүү</t>
  </si>
  <si>
    <t xml:space="preserve">Жер казынасын геологиялык изилдөө,  жер астындагы суулардын жана кооптуу экзогендик геологиялык  процесстердин абалын контролдоо </t>
  </si>
  <si>
    <t xml:space="preserve">Пайдалуу кендер чыккан жерлерди издөө жана баалоо </t>
  </si>
  <si>
    <t>Геологиялык маалыматтын жеткиликтүүлүгүн камсыз кылуу, геологиялык материалдарды талдоо жана жалпылоо</t>
  </si>
  <si>
    <t xml:space="preserve">Жер астындагы суулардын жана кооптуу экзогендик геологиялык  процесстердин режимине жана сапатына байкоо жүргүзүү боюнча геологиялык чөйрөнүн  мониторинги </t>
  </si>
  <si>
    <r>
      <rPr>
        <b/>
        <sz val="11"/>
        <rFont val="Times New Roman"/>
        <family val="1"/>
        <charset val="204"/>
      </rPr>
      <t xml:space="preserve">Энергетикалык сектордун туруктуу өнүгүүсү     </t>
    </r>
    <r>
      <rPr>
        <sz val="11"/>
        <rFont val="Times New Roman"/>
        <family val="1"/>
        <charset val="204"/>
      </rPr>
      <t xml:space="preserve">                                          </t>
    </r>
    <r>
      <rPr>
        <i/>
        <sz val="11"/>
        <rFont val="Times New Roman"/>
        <family val="1"/>
        <charset val="204"/>
      </rPr>
      <t>Программанын максаты: Энергетикалык чөйрөдөгү мамлекеттик саясатты ишке ашыруу</t>
    </r>
  </si>
  <si>
    <t>Ат-Башы ГЭСин реконструкциялоо (Швейцария) (грант)</t>
  </si>
  <si>
    <t>426736,26</t>
  </si>
  <si>
    <t>ГЭСти реконструкциялоо</t>
  </si>
  <si>
    <t>Генератор 4 даана</t>
  </si>
  <si>
    <t xml:space="preserve"> CASA-1000  долбоору</t>
  </si>
  <si>
    <t>3629600,00</t>
  </si>
  <si>
    <t>ЛЭП 500 кВ курулушун баштоо</t>
  </si>
  <si>
    <t>ПИР-1 даана</t>
  </si>
  <si>
    <t>«Электр менен камсыздоонун отчеттуулугун жана ишенимдүүлүгүн жогорулатуу» долбоору</t>
  </si>
  <si>
    <t>142043,0</t>
  </si>
  <si>
    <t>Көмөкчордонду куруу жана эсептегич жабдууларды орнотуу</t>
  </si>
  <si>
    <t>эл. счетчиктер-40000 даана</t>
  </si>
  <si>
    <t>Лейлек районунун Арка массивин электр менен камсыздоону жакшыртуу (ИБР) (насыя)</t>
  </si>
  <si>
    <t>349000,00</t>
  </si>
  <si>
    <t>ЛЭП 110 кВ жана ПС 110 кВ куруу,  ПС 110 кВ реконструкциялоо</t>
  </si>
  <si>
    <t xml:space="preserve">ЛЭП- 51км, ПС-2 шт </t>
  </si>
  <si>
    <t xml:space="preserve">Камбар-Ата ГЭС-2нин экинчи гидроагрегатын пайдаланууга киргизүү </t>
  </si>
  <si>
    <t>33504,0</t>
  </si>
  <si>
    <t>Кубаттуулугу 120 МВт гидроагрегатты орнотуу</t>
  </si>
  <si>
    <t>агрегат-1 даана</t>
  </si>
  <si>
    <t>Токтогул ГЭСин реабилитациялоонун экинчи фазасы</t>
  </si>
  <si>
    <t>769251,84</t>
  </si>
  <si>
    <t xml:space="preserve"> 2 генераторду алмаштыруу</t>
  </si>
  <si>
    <t>Генератор 1 даана</t>
  </si>
  <si>
    <t>«Жылуулук менен камсыздоону жакшыртуу» долбоору</t>
  </si>
  <si>
    <t>1480541,76</t>
  </si>
  <si>
    <t>Жеке жалпы үйдөгү жылуулук пункттарын модернизациялоо, "Чыгыш" магистралдык жылуулук тармакты алмаштыруу жана реконструкциялоо.</t>
  </si>
  <si>
    <t>бирдик. ИТП</t>
  </si>
  <si>
    <t xml:space="preserve">231 жаны ИТП 1700  </t>
  </si>
  <si>
    <t>2000 эсептѳѳ приборлор жана 2000 водомерлер </t>
  </si>
  <si>
    <t>Насос станцияларын реконструкциялоо жана куруу</t>
  </si>
  <si>
    <t>0</t>
  </si>
  <si>
    <t>353920,9</t>
  </si>
  <si>
    <t>Бишкек ш. жылуулук менен камсыздоо  тутумун модернизациялоо: (насос станцияларын реконструкциялоо), (СКАДА тутумун модернизациялоо жана кеңейтүү)</t>
  </si>
  <si>
    <t>насос бирдиги</t>
  </si>
  <si>
    <t xml:space="preserve"> 13 насостук станция орнотуу 36 насосов срегулируемым числом оборотов</t>
  </si>
  <si>
    <t>2 п. сьема иые насосн станций</t>
  </si>
  <si>
    <t xml:space="preserve"> на 14 насосных станциях и 2 пунктах съема показаний и оснащение дополнительно 5 насосных станций </t>
  </si>
  <si>
    <t>"Чыгышэлектро" ААК реабилитациялоо</t>
  </si>
  <si>
    <t>192578,2</t>
  </si>
  <si>
    <t>"Чыгышэлектро" ААК жоготууларын азайтуу. АСКУЭ тутумдарын киргизүү</t>
  </si>
  <si>
    <t xml:space="preserve">АСКУЭ мин. даана , СИП кабели </t>
  </si>
  <si>
    <t xml:space="preserve">«Ошэлектро» ААК реабилитациялоо </t>
  </si>
  <si>
    <t>242904,0</t>
  </si>
  <si>
    <t>"Ошэлектро" ААК жоготууларын азайтуу. АСКУЭ тутумдарын киргизүү</t>
  </si>
  <si>
    <t xml:space="preserve">22 миң. даана., СИП кабель - 335 км </t>
  </si>
  <si>
    <t>Электр бөлүштүрүүчү тармактардын натыйжалуулугун жогорулатуу</t>
  </si>
  <si>
    <t>7978,1</t>
  </si>
  <si>
    <t>24290,4</t>
  </si>
  <si>
    <t>"Түндүкэлектро" ААКнын жоготууларын азайтуу</t>
  </si>
  <si>
    <t>Энергетика секторун реабилитациялоо</t>
  </si>
  <si>
    <t>950979,9</t>
  </si>
  <si>
    <t>329009,28</t>
  </si>
  <si>
    <t>Бишкек ш. ЖЭБ модернизациялоо</t>
  </si>
  <si>
    <t>454709,9</t>
  </si>
  <si>
    <t>1347140,0</t>
  </si>
  <si>
    <t>Энергетика секторун өнүктүрүү</t>
  </si>
  <si>
    <t>513265,9</t>
  </si>
  <si>
    <t>Бишкек жана Ош ш. электр менен камсыздоону жакшыртуу</t>
  </si>
  <si>
    <t>40229,7</t>
  </si>
  <si>
    <r>
      <rPr>
        <b/>
        <sz val="11"/>
        <rFont val="Times New Roman"/>
        <family val="1"/>
        <charset val="204"/>
      </rPr>
      <t>КР аймагын  жана анын региондорун  топографиялык-геодезиялык жана картографиялык жаатта камсыздоо</t>
    </r>
    <r>
      <rPr>
        <sz val="11"/>
        <rFont val="Times New Roman"/>
        <family val="1"/>
        <charset val="204"/>
      </rPr>
      <t xml:space="preserve">
</t>
    </r>
    <r>
      <rPr>
        <i/>
        <sz val="11"/>
        <rFont val="Times New Roman"/>
        <family val="1"/>
        <charset val="204"/>
      </rPr>
      <t xml:space="preserve">Программанын максаты: Өлкөнүн геосаясий кызыкчылыгын камсыздоо үчүн КР аймагынын заманбап картографиялык жана геодезиялык негизи </t>
    </r>
  </si>
  <si>
    <t>Мамлекеттик геодезиялык тармакты реконструкциялоо жана колдоо</t>
  </si>
  <si>
    <t>Экинчи тартиптеги GPS-тармактар түйүндөрү жана жогорку тактыктын нөлдүк жана биринчи тартиптеги баштапкы пункттары</t>
  </si>
  <si>
    <t>пункту</t>
  </si>
  <si>
    <t xml:space="preserve">СК-42, СК-95 жана Kyrg-06 координат тутумдарында  геодезиялык пункттардын   бийиктигинин жана  координаталарынын каталогу, 1:200 000 масштабдагы карталардын барактарына </t>
  </si>
  <si>
    <t>каталогу</t>
  </si>
  <si>
    <t xml:space="preserve">Масштаб катарындагы топографиялык карталарды жаңыртуу жана басып чыгаруу </t>
  </si>
  <si>
    <t>Жаңыртууда масштабдык катардагы топографиялык карталар</t>
  </si>
  <si>
    <t>Карталарды басып чыгарууга даярдоодо масштабдык катардагы топографиялык карталар</t>
  </si>
  <si>
    <r>
      <rPr>
        <b/>
        <sz val="11"/>
        <rFont val="Times New Roman"/>
        <family val="1"/>
        <charset val="204"/>
      </rPr>
      <t>Кыргыз Республикасынын мамлекеттик чек арасын делимитациялоо жана демаркациялоо</t>
    </r>
    <r>
      <rPr>
        <sz val="11"/>
        <rFont val="Times New Roman"/>
        <family val="1"/>
        <charset val="204"/>
      </rPr>
      <t xml:space="preserve">
</t>
    </r>
    <r>
      <rPr>
        <i/>
        <sz val="11"/>
        <rFont val="Times New Roman"/>
        <family val="1"/>
        <charset val="204"/>
      </rPr>
      <t>Программанын максаты:  Өлкөнүн геосаясий кызыкчылыгын камсыздоо үчүн КР аймагынын  заманбап картографиялык жана геодезиялык негизи</t>
    </r>
  </si>
  <si>
    <t xml:space="preserve">Чек ара белгилерин рекогносцировкалоо жана орнотуу; чек ара белгилериндеги жана баштапкы пункттардагы спутниктик өлчөөлөр  </t>
  </si>
  <si>
    <t>Кыргыз Республикасынын чек ара линиясы боюнча чек ара белгилери</t>
  </si>
  <si>
    <t>знак</t>
  </si>
  <si>
    <t xml:space="preserve">Космостук  сүрөттөрдүн пландык-бийиктик байланмасын аткаруунун аянты </t>
  </si>
  <si>
    <t>Чек арага жакын аймактардагы  топографиялык карталарды жаңыртуу</t>
  </si>
  <si>
    <t xml:space="preserve">Жаңыртууда чек арага жакын жайгашкан  аймактарында   зарыл масштабдагы  топографиялык карталар </t>
  </si>
  <si>
    <t>Зарыл масштабдагы санариптик  делимитациялык жана демаркациялык карталар</t>
  </si>
  <si>
    <r>
      <t xml:space="preserve">Илимий-техникалык потенциалды өнүктүрүү                                                  </t>
    </r>
    <r>
      <rPr>
        <i/>
        <sz val="11"/>
        <rFont val="Times New Roman"/>
        <family val="1"/>
        <charset val="204"/>
      </rPr>
      <t>Программанын максаты: Өлкөнүн энергетикалык ресурстарын натыйжалуу пайдаланууга багытталган илимий-технологиялык потенциалынын жогорку деңгээлин колдоо.</t>
    </r>
  </si>
  <si>
    <t>Отун-энергетикалык комплекстин техникалык каражаттарынын ишенимдүүлүгүн жана натыйжалуулугун жогорулатуу</t>
  </si>
  <si>
    <t>Электротехникалык жабдуунун иштешинин ишенимдүүлүгүн жана натыйжалуулугун жана ишенимдүүлүгүн жогорулатуу боюнча практикалык  сунуштамаларды иштеп чыгуу</t>
  </si>
  <si>
    <t>отчет саны</t>
  </si>
  <si>
    <t>1 отчет (3 док)</t>
  </si>
  <si>
    <t xml:space="preserve">1 отчет </t>
  </si>
  <si>
    <t>Бюджеттик уюмдарда электроэнергиянын натыйжалуу пайдаланышын энергетикалык жактан изилдөө жүргүзүү</t>
  </si>
  <si>
    <t xml:space="preserve">Иликтенген бюджеттик уюмдардын саны жана иликтенген бюджеттик уюмдардагы мештердин энергетикалык паспортторунун жана  техникалык паспортторунун мониторинги  </t>
  </si>
  <si>
    <t>даана объекти</t>
  </si>
  <si>
    <t xml:space="preserve"> 150 объект</t>
  </si>
  <si>
    <t>(150 объект) 1 отчет</t>
  </si>
  <si>
    <t xml:space="preserve">(150 объект)1 отчет </t>
  </si>
  <si>
    <t>Энергиянын жаңыланма булактарын пайдалануу боюнча инновациялык технологияларды өнүктүрүү боюнча изилдөө комплексин жүргүзүү.</t>
  </si>
  <si>
    <t xml:space="preserve">ЭЖБда иштеген техникалык каражаттарды долбоорлоо жана эсептөө методдорун  иштеп чыгуу </t>
  </si>
  <si>
    <t>1 отчет при финасировании</t>
  </si>
  <si>
    <t>Отун-энергетикалык комплекстин тармактарын өнүктүрүүнүн натыйжалуулугун камсыздоо боюнча техникалык-экономикалык изилдөө.</t>
  </si>
  <si>
    <t>Отун-энергетикалык комплексинин ЧТД жана ЧУА маалыматтар базасын түзүү.</t>
  </si>
  <si>
    <t xml:space="preserve">Эскертүү: Кыргыз Республикасынын Өнөр жай, энергетика жана жер казынасын пайдалануу мамлекеттик комитети боюнча программалык форматтагы бюджет "Кыргызжылуулукэнерго" Мамлекеттик ишканага 1 249 860,4 миң сом суммасындагы чыгашаларды камтыбайт.     </t>
  </si>
  <si>
    <t>Кыргыз Республикасынын Өнөр жай, энергетика жана жер казынасын пайдалануу мамлекеттик комитетине караштуу "Кыргызжылуулукэнерго" мамлекеттик ишканасы</t>
  </si>
  <si>
    <t>Калкты жылуулук энергиясы менен камсыз кылуу</t>
  </si>
  <si>
    <t>Борбордук жылуулук менен камсыз болгон абоненттердин саны</t>
  </si>
  <si>
    <t xml:space="preserve">Калкка жылуулук энергиясын иштеп чыгуу боюнча борборлошкон отун даярдоо жана башка сарптоолорду жабуу </t>
  </si>
  <si>
    <t>1 Гкал. Жылуулук энергиясын иштеп чыгууга отундун  чыгашасы</t>
  </si>
  <si>
    <t xml:space="preserve">кг/Гкал </t>
  </si>
  <si>
    <t xml:space="preserve">кг./Гкал </t>
  </si>
  <si>
    <t>м3</t>
  </si>
  <si>
    <t>кВт/ч</t>
  </si>
  <si>
    <t xml:space="preserve"> 1 чакырым жылуулук тарамдарына   кеткен жылуулук энергиясынын жоготуулары</t>
  </si>
  <si>
    <t>Гкал</t>
  </si>
  <si>
    <t>Оңдоо</t>
  </si>
  <si>
    <t xml:space="preserve"> КПД  жогорлатуу</t>
  </si>
  <si>
    <t>Отканалардын жүктөлүш  деңгээли</t>
  </si>
  <si>
    <t>983</t>
  </si>
  <si>
    <t>Миң-Куш айылын инфрастуктурасын колдоо</t>
  </si>
  <si>
    <t>Сууну калкка берүү боюнча кызмат көрсөтүү</t>
  </si>
  <si>
    <t xml:space="preserve">Миң-Куш айылынын жашоочуларынын жылуулук менен камсыздоо жана саркынды сууларды чыгаруу боюнча сапаттуу кызмат көрсөтүүлөргө болгон муктаждыктарын канааттандыруу  </t>
  </si>
  <si>
    <t>Санитардык тазалоо жана жакшыртуу</t>
  </si>
  <si>
    <t>984</t>
  </si>
  <si>
    <t>Радиоактивдик таштандыларды көмүү жана радиоактивдүү заттар менен булганган кийимдерди дезактивациалоо.</t>
  </si>
  <si>
    <t>Радиоактивдик таштандыларды көмүү</t>
  </si>
  <si>
    <t>Бюджеттик чаралар. Калктын экологиялык коопсуздугун камсыз кылуу</t>
  </si>
  <si>
    <t>Радиоактивдүү заттар менен булганган кийимдерди дезактивациалоо</t>
  </si>
  <si>
    <t>кг</t>
  </si>
  <si>
    <t>Радиоактивдүү заттар менен булганган кийимдерди дезактивациалоо.</t>
  </si>
  <si>
    <t>56. Жаштар иштери, дене тарбия жана спорт боюнча мамлекеттик агенттик</t>
  </si>
  <si>
    <t xml:space="preserve">Бардык программалар боюнча эмгек акыга чыгашалардын суммасына карата 001 Программа боюнча  эмгек акыга чыгашалардын катышы </t>
  </si>
  <si>
    <t xml:space="preserve">Өкмөттүн программасын ишке ашыруунун пайызы  </t>
  </si>
  <si>
    <t>Коррупциянын алдын алуу боюнча иштер</t>
  </si>
  <si>
    <t xml:space="preserve">Коррупцияга каршы күрөшүү боюнча иш-чараларды ишке ашыруунун пайызы </t>
  </si>
  <si>
    <t>Ишти баалоо, эмгек акыны  жогорулатууга сунушталган %</t>
  </si>
  <si>
    <t xml:space="preserve">Финансылык  менеджментти жана финансылык пландоону камсыз кылуу </t>
  </si>
  <si>
    <t>Бекитилген сметаны  өз убагында каржылоо</t>
  </si>
  <si>
    <t>Коомчулук менен байланышты камсыз кылуу</t>
  </si>
  <si>
    <t xml:space="preserve">Спорттук теле жана радио, интернет, берүүлөрдүн жана конференциялардын саны </t>
  </si>
  <si>
    <t>Иш кагаздарын жүргүзүүнү жана анын аткарылышын камсыз кылуу</t>
  </si>
  <si>
    <t>Аткаруучулук тартиптин деңгээли</t>
  </si>
  <si>
    <t>Саясатты иштеп чыгуу жана эл аралык мамилелеррди жүргүзүү</t>
  </si>
  <si>
    <t xml:space="preserve">Иштелип чыккан жана кабыл алынган ЧУАнын саны </t>
  </si>
  <si>
    <t>Инвестицияларды тартуу боюнча иштер</t>
  </si>
  <si>
    <t xml:space="preserve">Иштелип чыккан МЖӨ долбоорлорунун саны </t>
  </si>
  <si>
    <t>Мамлекеттик кызмат көрсөтүүлөрдүн иштелип чыккан долбоорлорунун саны</t>
  </si>
  <si>
    <t>Ички аудитти камсыз кылуу</t>
  </si>
  <si>
    <t>Ички аудит боюнча өткөрүлгөн   иш-чаралардын саны</t>
  </si>
  <si>
    <t>Ишти уюштуруу жана камсыз кылуу  кызматтары</t>
  </si>
  <si>
    <t xml:space="preserve">Дене тарбия жана спорт менен алектенүүнүн массалуулугу </t>
  </si>
  <si>
    <t xml:space="preserve">Региондордо  спортту өнүктүрүү </t>
  </si>
  <si>
    <t xml:space="preserve">Мониторинг жүргүзүүгө дуушар болгон региондук мекемелердин % </t>
  </si>
  <si>
    <t>Спорттук-массалык жана комплекстүү иш-чараларды өткөрүү</t>
  </si>
  <si>
    <t>Спорттун инфраструктурасын өнүктүрүү</t>
  </si>
  <si>
    <t>Спорттук инвентарлар менен жабдылган мекемелердин саны</t>
  </si>
  <si>
    <t xml:space="preserve"> III  Дүйнөлүк көчмөндөр оюнун өткөрүү</t>
  </si>
  <si>
    <t xml:space="preserve">Спорттун улуттук түрлөрү менен алектенүүгө калкты тартуу </t>
  </si>
  <si>
    <t>Спорттун улуттук түрлөрү боюнча алектенгендердин саны</t>
  </si>
  <si>
    <t>Ата мекендик спорттун ПАК (медаль жеңип алган спортсмендерге карата каржыланган спортсмендердин катышы)</t>
  </si>
  <si>
    <t>Жогорку жетишкендиктердин спортун өнүктүрүү</t>
  </si>
  <si>
    <t>Жогорку спорттук жетишкендиктерди жөнгө салуучу ченемдик-укуктук жана укуктук актылардын саны</t>
  </si>
  <si>
    <t>Спорт багыты боюнча жалпы, орто, атайын билим берүү менен камсыз кылуу</t>
  </si>
  <si>
    <t>Диплом, спорттук наам алгандардардын саны</t>
  </si>
  <si>
    <t>Балдарды жана жаштарды спорттун түрлөрүнө үйрөтүү</t>
  </si>
  <si>
    <t>Спорт менен машыккан окуучу балдардын жана жаштардын саны</t>
  </si>
  <si>
    <t>Эл аралык спорттук аренада сыйлуу орундарды ээлөө, олимпиадалык резервге даярдоо</t>
  </si>
  <si>
    <t>Спорттук аренада утуп алган сыйлуу орундардын саны</t>
  </si>
  <si>
    <t>Антидопингдик камсыз кылуу</t>
  </si>
  <si>
    <t>Анти-допинг саясат чөйрөсүндөгү укуктук актылардын саны</t>
  </si>
  <si>
    <t>Кыргыз Республикасынын алдыңкы спортсмендерин социалдык жактан корголушун жогорулатуу</t>
  </si>
  <si>
    <t>Стипендия алган спортчулардын саны</t>
  </si>
  <si>
    <t>Региондордо түзүлгөн жаштар борборлору</t>
  </si>
  <si>
    <t>Жаштар саясатын ишке ашырууга багытталган мамлекеттик социалдык заказдын алкагындагы иш-чаралар</t>
  </si>
  <si>
    <t xml:space="preserve">Мамлекеттик социалдык заказдар аркылуу ишке ашырылган 
иш-чаралардын саны </t>
  </si>
  <si>
    <t xml:space="preserve">  жаштарды тарбиялоого жана  жана жаштардын  демилгелерин колдоого багытталган иш-чаралар</t>
  </si>
  <si>
    <t xml:space="preserve">Жаштар  чөйрөсүндө адеп-ахлактык жана патриоттук баалуулуктарды калыптандырууга, жаштарды тарбиялоого, жаштардын демилгелерин колдоого  багытталган 
иш-чаралардын саны  </t>
  </si>
  <si>
    <t xml:space="preserve">Жаштар саясаты чөйрөсүндө   региондук иш-чараларды өткөрүү  </t>
  </si>
  <si>
    <t>Республиканын региондорунда  өткөрүлгөн иш-чаралардын саны</t>
  </si>
  <si>
    <t>Жаштар уюмдары менен иш жүргүзүү</t>
  </si>
  <si>
    <t xml:space="preserve">Өткөрүлгөн иш-чаралардын, тренингдердин саны </t>
  </si>
  <si>
    <t xml:space="preserve">Тренингке катышып сертификат алган адамдардын саны  </t>
  </si>
  <si>
    <t>Мамлекеттик жаштар саясатын жүзөгө ашырууну институттук бекемдөө</t>
  </si>
  <si>
    <t xml:space="preserve">Жаштар жаатында иштелип чыккан жана кабыл алынган ЧУАнын саны </t>
  </si>
  <si>
    <t xml:space="preserve">57. Кыргыз Республикасынын инвестицияларды илгерилетүү жана коргоо боюнча агенттиги </t>
  </si>
  <si>
    <t xml:space="preserve">Пландоо, башкаруу жана администрациялоо </t>
  </si>
  <si>
    <t>Программанын максаты: Агенттиктин системасынын ишин камсыз кылуу жана башка программаларды ишке ашырууну координациялоо</t>
  </si>
  <si>
    <t xml:space="preserve">Финансылык  менеджментти жана эсепти  камсыз кылуу </t>
  </si>
  <si>
    <t>Агенттиктин мыйзам долбоорлоо ишинин аткарылышы</t>
  </si>
  <si>
    <t xml:space="preserve">Белгиленген тартипте товарларды, кызмат көрсөтүүлөрдү, жумуштарды сатып алууну ишке ашыруу </t>
  </si>
  <si>
    <t>Инвестицияларды тартуу жана  экпортту илгерилетүү</t>
  </si>
  <si>
    <t>Программанын максаты:  Инвестицияларды илгерлетүү жана коштоо</t>
  </si>
  <si>
    <t>Инвестицияларды тартуу</t>
  </si>
  <si>
    <t xml:space="preserve">Эл аралык форумдарды жана В2В жолугушууларды өткөрүү. Инвестициялык долбоорлоду ишке ашыруу.                                </t>
  </si>
  <si>
    <t xml:space="preserve">МЖӨ алкактарындагы долбоорлорду илгерилетүү </t>
  </si>
  <si>
    <t xml:space="preserve">МЖӨнүн алкагында инвстициалык долбоорлорду ишке ашыруу </t>
  </si>
  <si>
    <t xml:space="preserve">КР үчүн актуалдуу болгон маселелер боюнча Катчылык жана делегациялар менен өткөрүлгөн жолугушуулардын саны </t>
  </si>
  <si>
    <t>Ата мекендик товарларды экспортоону илгерлетүүгө көмөктөшүү</t>
  </si>
  <si>
    <t>Экспорттоого келишимдерди түзүү</t>
  </si>
  <si>
    <t>58.Кыргыз Республикасынын Өкмөтүнө караштуу  Финансы рыногун жөнгө салуу жана көзөмөлдөө мамлекеттик  кызматы</t>
  </si>
  <si>
    <r>
      <t xml:space="preserve">Пландоо, башкаруу жана администрациялоо                                                                                                                               
</t>
    </r>
    <r>
      <rPr>
        <i/>
        <sz val="11"/>
        <rFont val="Times New Roman"/>
        <family val="1"/>
        <charset val="204"/>
      </rPr>
      <t xml:space="preserve">Программанын максаттары: Башка программаларды ишке ашырууга координациялоочу жана уюштуруучу таасир этүү </t>
    </r>
  </si>
  <si>
    <t xml:space="preserve">Эмгектик талаш-тартыштар боюнча утуп алган эмгек процесстеринин үлүшү </t>
  </si>
  <si>
    <t xml:space="preserve">ЖМКларда оң эскерүүлөрдүн саны </t>
  </si>
  <si>
    <t xml:space="preserve">Алардын жалпы санына карата утуп алган соттук иштердин катышы </t>
  </si>
  <si>
    <t>2/0</t>
  </si>
  <si>
    <t>4/2</t>
  </si>
  <si>
    <t>5/3</t>
  </si>
  <si>
    <t>5/6</t>
  </si>
  <si>
    <t>Баалуу кагаздар рыногун өнүктүрүү</t>
  </si>
  <si>
    <t>Мамлекеттик баалуу кагаздарды биржага которуу</t>
  </si>
  <si>
    <t>Тооруктардын көлөмү</t>
  </si>
  <si>
    <t>млрд, сом</t>
  </si>
  <si>
    <t>Калктын финансылык сабаттуулугун жогорулатуу</t>
  </si>
  <si>
    <t xml:space="preserve">Баалуу кагаздар менен жасалган бүтүмдөрдүн саны  </t>
  </si>
  <si>
    <t>Фондулук рынок аркылуу инвестициялардын көлөмүнүн өсүшүнө дем берүү</t>
  </si>
  <si>
    <t xml:space="preserve">Фондулук рыноктун капиталдаштырылышы  </t>
  </si>
  <si>
    <t>Камсыздандыруу жана топтомо пенсиялык фондду  рыногун  өнүктүрүү</t>
  </si>
  <si>
    <t>Милдеттүү камсыздандыруунун жаңы түрлөрүн киргизүү</t>
  </si>
  <si>
    <t xml:space="preserve">Камсыздандыруунун милдеттүү түрлөрү боюнча камсыздандыруу сый акыларынын көлөмү  </t>
  </si>
  <si>
    <t>млн, сом</t>
  </si>
  <si>
    <t>Кайра камсыздандыруунун улуттук системасын түзүү</t>
  </si>
  <si>
    <t xml:space="preserve">Улуттук кайра камсыздандыруунун үлүшү </t>
  </si>
  <si>
    <t xml:space="preserve">Топтомо пенсиялык системаны өнүктүрүү </t>
  </si>
  <si>
    <t xml:space="preserve">ТПФте топтолгон пенсиялык каражаттардын көлөмү  </t>
  </si>
  <si>
    <t xml:space="preserve"> Аудитти жана бухгалтердик эсепти өнүктүрүү</t>
  </si>
  <si>
    <t xml:space="preserve">Аудиттин сапатын, өз мезгилдүүлүгүн жана ачык-айкындыгын жогорулатуу </t>
  </si>
  <si>
    <t xml:space="preserve">Сертификаттарды алган аудиторлордун саны  </t>
  </si>
  <si>
    <t>Кыргыз Республикасынын ишканаларында ФОЭАСты киргизүүнүн үлүшүн көбөйтүү</t>
  </si>
  <si>
    <t xml:space="preserve">ФОЭАСты пайдаланган ишканалардын саны  </t>
  </si>
  <si>
    <t>59. Кыргыз Республикасынын Мамлекеттик кадр кызматы</t>
  </si>
  <si>
    <t>МККнын планын аткаруунун %</t>
  </si>
  <si>
    <t>Кызматчылардын жалпы санына карата квалификациясын жогорулаткан кызматчылардын үлүшү</t>
  </si>
  <si>
    <t>Карьералык пландоо (ротациялоо) жана кызматка көтөрүү боюнча кызмат оруну боюнча жогорулаган кызматчылардын үлүшү</t>
  </si>
  <si>
    <t>МККнын ички кадрлар резервинин курамына киргизилген кызматчылардын үлүшү</t>
  </si>
  <si>
    <t>Ишти уюштуруу жана камсыз кылуу  кызматтары (ТТП, КТП)</t>
  </si>
  <si>
    <t xml:space="preserve"> Борбордук аппараттын кызматкерлеринин жалпы санынан камсыз кылуу кызматынын кызматкерлеринин үлүшү </t>
  </si>
  <si>
    <r>
      <t xml:space="preserve">«Мамлекеттик кадр саясатын өркүндөтүү».
</t>
    </r>
    <r>
      <rPr>
        <i/>
        <sz val="11"/>
        <color theme="1"/>
        <rFont val="Times New Roman"/>
        <family val="1"/>
        <charset val="204"/>
      </rPr>
      <t xml:space="preserve">Программанын максаты – мамлекеттик органдарда жана жергиликтүү өз алдынча башкаруу органдарында бирдиктүү мамлекеттик кадр саясатын иштеп чыгуу, жүзөгө ашыруу жана туруктуу иштешин камсыз кылуу.
</t>
    </r>
  </si>
  <si>
    <t>Тапшырмаларды аткаруунун натыйжалуулук индекси</t>
  </si>
  <si>
    <t>Мамлекеттик жарандык кызмат жана муниципалдык кызмат чөйрөсүндөгү ченемдик укуктук базаны өркүндөтүү</t>
  </si>
  <si>
    <t>Ченемдик укуктук актылардын таасирин талдоо жана аларды өркүндөтүү боюнча сунуштарды иштеп чыгуу (түшкөн ЧУАдын санына салыштырганда)</t>
  </si>
  <si>
    <t>Мамлекеттик жарандык кызмат жана муниципалдык кызмат жөнүндө мыйзамдарга шайкеш келүүсү каралып чыккан ички жана тышкы ЧУА долбоорлорунун үлүшү (түшкөн долбоорлорунун санына салыштырганда)</t>
  </si>
  <si>
    <t>Обеспечение равного доступа при поступлении и прохождении  на государственную службу</t>
  </si>
  <si>
    <t>Доля вакантных административных государственных должностей, замещенных в соответствии с законодательством</t>
  </si>
  <si>
    <t>Доля  государственных органов, согласовавших и утвердивших квалификационные требования</t>
  </si>
  <si>
    <t xml:space="preserve">Мамлекеттик кызматка кирүүдө жана өтөөдө коррупцияга каршы чараларды киргизүү </t>
  </si>
  <si>
    <t>Кызматчылардын ишин баалоо системасын колдонгон мамлекеттик органдардын үлүшү</t>
  </si>
  <si>
    <t>Этика боюнча комиссия иштеген мамлекеттик  органдардын үлүшү</t>
  </si>
  <si>
    <t>Муниципалдык кызматка кирүүдө жана өтөөдө жарандардын бирдей жеткиликтүүлүгүн камсыз кылуу</t>
  </si>
  <si>
    <t>Мыйзамдарга ылайык ээленген административдик муниципалдык  бош кызмат орундарынын үлүшу</t>
  </si>
  <si>
    <t>Квалификациялык талаптарды макулдашкан жана бекиткен ЖӨБ  органдарынын үлүшү</t>
  </si>
  <si>
    <t>Кызматчылардын ишин баалоо системасын колдонгон ЖӨБ  органдардын үлүшү</t>
  </si>
  <si>
    <t>Этика боюнча комиссия иштеген ЖӨБ органдарынын үлүшү</t>
  </si>
  <si>
    <t>Мамлекеттик жана муниципалдык кызматка кирүүдө жана кызмат өтөөдө мыйзамдар боюнча тестирлөө өтүүдө ачык жана акыйкаттыкты касыздоо</t>
  </si>
  <si>
    <t>Мамлекеттик жана муниципалдык кызматка кирүүгө арыз берген талапкерлер үчүн компьютердик тестирлөө өткөрүүнү камсыз кылуу</t>
  </si>
  <si>
    <t>Кызматка кирүүгө арыз берген кызматчылар үчүн полиграфта тестирлөө өткөрүүнү камсыз кылуу</t>
  </si>
  <si>
    <t>Күчүн жана актуалдуулугун жоготкон ЧУА жана тесттик тапшырмаларды деактивациялоо</t>
  </si>
  <si>
    <t>Мамлекеттик жарандык кызмат жана муниципалдык кызмат чөйрөсүндөгү адам ресурстарын башкаруунун маалыматтык системасын ишке киргизүү (талдоо, колдоо жана коштоо)</t>
  </si>
  <si>
    <t>Адам ресурстарын башкаруунун маалыматтык системасынын программасынын техникалык тапшырмасы</t>
  </si>
  <si>
    <t xml:space="preserve">модуль (бирд.) </t>
  </si>
  <si>
    <t>4</t>
  </si>
  <si>
    <t>1</t>
  </si>
  <si>
    <t>Автоматташтырылган тапшырмалардын саны</t>
  </si>
  <si>
    <t>Автоматташтырылган системалар менен интеграциялоо</t>
  </si>
  <si>
    <t>х</t>
  </si>
  <si>
    <t>Карьералык пландоо</t>
  </si>
  <si>
    <t>УКР турган адамдардын саны</t>
  </si>
  <si>
    <t>УКР турган жана квалификациясын жогорулаткан адамдардын саны</t>
  </si>
  <si>
    <t>Массалык маалымат каражаттарында чагылдырылган  жана өткөрүлгөн иш-чаралардын үлүшү</t>
  </si>
  <si>
    <t xml:space="preserve">Мамлекеттик жана муниципалдык кызматчыларды окутууга Мамлекеттик тапшырыкты мамлекеттик бюджеттин каражаттарынын эсебинен ишке ашыруу </t>
  </si>
  <si>
    <t>Мамлекеттик тапшырыкта план боюнча санына салыштырганда окутулган кызматчылардын үлүшү</t>
  </si>
  <si>
    <t xml:space="preserve">% </t>
  </si>
  <si>
    <t>Дистанттык модулдардын-окутуу курстарынын саны</t>
  </si>
  <si>
    <t>Дистанттык система боюнча окутулган кызматчылардын саны</t>
  </si>
  <si>
    <t>Мамлекеттик жарандык кызмат жана муниципалдык кызмат чөйрөсүндө мыйзамдарды сактоого мониторинг жүргүзүү</t>
  </si>
  <si>
    <t>Бекитилген планга ылайык мамлекеттик органдарда жана ЖӨБ органдарында өткөрүлгөн мониторингдердин саны</t>
  </si>
  <si>
    <t xml:space="preserve">план 26 факт 32 </t>
  </si>
  <si>
    <t>Түшкөн даттануулардын санына карата  өз учурунда каралган даттануулардын үлүшү</t>
  </si>
  <si>
    <t>Мамлекеттик жана муниципалдык кызмат чөйрөсүндө Улуттук (мамлекеттик) программаларды жүзөгө ашыруу</t>
  </si>
  <si>
    <t>Мамлекеттик жана муниципалдык кызмат чөйрөсүндө жүзөгө ашырылган улуттук (мамлекеттик) программалардын (ЧУА) үлүшү</t>
  </si>
  <si>
    <t xml:space="preserve">Свод и анализ квартальной и годовой статистической информации о качественном составе государственных и муниципальных служащих </t>
  </si>
  <si>
    <t xml:space="preserve">Доля государственных органов и органов МСУ предоставивш. статист. данные 
</t>
  </si>
  <si>
    <t>Коррупцияны алдын алуу чөйрөсүндө мамлекеттик саясатты жүзөгө ашыруу боюнча МККнын ишин координациялоо</t>
  </si>
  <si>
    <t>Коррупцияга каршы аракеттенүү боюнча иш-чаралар планын аткаруу</t>
  </si>
  <si>
    <t>Кадр саясатты аймактык деңгээлде жүзөгө ашыруу (БАӨ, ТүшАӨ, ТүнАӨ)</t>
  </si>
  <si>
    <t>Планга карата  мамлекеттик органдарда жана ЖӨБ органдарында өткөрүлгөн мониторингдердин үлүшү</t>
  </si>
  <si>
    <t>Планга карата  өткөрүлгөн окутуу жана практикалык семинарлардын үлүшү</t>
  </si>
  <si>
    <t>Түшкөн даттануулардын санына карата  каралган даттануулардын үлүшү</t>
  </si>
  <si>
    <t xml:space="preserve">60. Кыргыз Республикасынын Өкмөтүнө караштуу Архитектура, курулуш жана турак жай - коммуналдык чарба мамлекеттик агенттиги </t>
  </si>
  <si>
    <t xml:space="preserve">Пландоо, башкаруу жана администрациялоо  </t>
  </si>
  <si>
    <t xml:space="preserve">Программанын максаттары: Башка программаларды ишке ашырууга координациялоочу жана уюштуруучу таасир этүү </t>
  </si>
  <si>
    <t xml:space="preserve">Эмгектик талаш-тартыштар боюнча утуп алган сот  процесстеринин үлүшү </t>
  </si>
  <si>
    <t xml:space="preserve">ЖМКларда министрликтерди/ведомстволорду оң эскерүүлөрдүн саны </t>
  </si>
  <si>
    <t xml:space="preserve">Ишти уюштуруу жана камсыз кылуу  кызматтары </t>
  </si>
  <si>
    <t xml:space="preserve"> Мониторинг, талдоо жана   стратегиялык пландоону камсыз кылуу</t>
  </si>
  <si>
    <t xml:space="preserve">Региондук деңгээлде жалпы   координациялоо </t>
  </si>
  <si>
    <t>992</t>
  </si>
  <si>
    <t xml:space="preserve"> Мамлекеттик  инвестициялардын программасы</t>
  </si>
  <si>
    <t xml:space="preserve"> Ысык-Көл курорттук-рекрациялык зонасынын башкы схемасын иштеп чыгуу </t>
  </si>
  <si>
    <t xml:space="preserve">Суу менен камсыздоо жана саркынды сууларды чыгарууну туруктуу өнүктүрүү </t>
  </si>
  <si>
    <t xml:space="preserve">61. Кыргыз Республикасынын Өкмөтүнө караштуу Экономикалык кылмыштуулукка каршы күрөшүү боюнча мамлекеттик кызматы </t>
  </si>
  <si>
    <r>
      <t xml:space="preserve">Экономикалык жана коррупциялык укук бузууларды  алдын алуунун жана өз учурунда жоюунун натыйжалуулугун жогорулатуу 
</t>
    </r>
    <r>
      <rPr>
        <i/>
        <sz val="11"/>
        <rFont val="Times New Roman"/>
        <family val="1"/>
        <charset val="204"/>
      </rPr>
      <t>Программанын максаты: Кылмыштуулуктун алдын алуу, экономикалык жана коррупциялык укук бузуулардын болушунун себептерин жана шарттарын жоюу</t>
    </r>
    <r>
      <rPr>
        <b/>
        <i/>
        <sz val="11"/>
        <rFont val="Times New Roman"/>
        <family val="1"/>
        <charset val="204"/>
      </rPr>
      <t xml:space="preserve">
</t>
    </r>
  </si>
  <si>
    <t xml:space="preserve">Катталгандардын жалпы санына карата оперативдүү жол аркылуу табылган  экономикалык жана коррупциялык укук бузуулардын үлүшү </t>
  </si>
  <si>
    <t xml:space="preserve">Катталгандардын жалпы санына карата оперативдүү жол аркылуу табылган  козголгон кылмыш ишинин үлүшү   </t>
  </si>
  <si>
    <t xml:space="preserve">Экономикалык жана коррупциялык укук бузууларды  алдын алуунун жана өз учурунда жоюунун натыйжалуулугун жогорулатуу </t>
  </si>
  <si>
    <t>Ачылган кылмыштардын жалпы санынан коомчулукка маалымдоо үчүн ЖМКга берилген материалдардын үлүшү</t>
  </si>
  <si>
    <t xml:space="preserve">Коррупцияга каршы багытта социалдык видеороликтерди түзүү </t>
  </si>
  <si>
    <t>Каралган материалда кылмыш иштери боюнча келтирилген материалдык зыяндын ордун толтуруунун натыйжалуулугун жогорулатуу</t>
  </si>
  <si>
    <t xml:space="preserve">Аяктаган кылмыш иштери жана материалдары боюнча белгиленген суммага карата келтирилген зыяндын ордун толтурууну жогорулатуу жана пландалган деңгээлге жетүү  </t>
  </si>
  <si>
    <t>Ѳлүмгө дуушар кылган травматизмдин жыштык коэффиценти (1000 иштөөчү эсебинде  иштегендердин орточо тизмеден тургандардын санына карата бир жылда каза болгон болгондордун катышы )</t>
  </si>
  <si>
    <t xml:space="preserve">Ѳнөр жай объекттеринде болгон кырсыктардын саны </t>
  </si>
  <si>
    <t>Ѳнөр жай объекттеринде аныкталган бузуулардын саны</t>
  </si>
  <si>
    <t>Ѳндүрүш объекттеринде эксплуатация эрежелерин бузуу менен байланышкан бузуулардын саны</t>
  </si>
  <si>
    <t>Ѳзү билемдик менен курулуп жаткан объекттердин жалпы курулуп жаткан объекттердин санына карата үлүшү</t>
  </si>
  <si>
    <t>АСКУЭ миң. даана, СИП кабели</t>
  </si>
  <si>
    <t>Ѳткөрүлгөн спорттук массалык иш-чаралардын саны</t>
  </si>
  <si>
    <r>
      <rPr>
        <b/>
        <sz val="11"/>
        <rFont val="Times New Roman"/>
        <family val="1"/>
        <charset val="204"/>
      </rPr>
      <t xml:space="preserve">Мамлекеттик саясат     </t>
    </r>
    <r>
      <rPr>
        <sz val="11"/>
        <rFont val="Times New Roman"/>
        <family val="1"/>
        <charset val="204"/>
      </rPr>
      <t xml:space="preserve">                                              </t>
    </r>
    <r>
      <rPr>
        <i/>
        <sz val="11"/>
        <rFont val="Times New Roman"/>
        <family val="1"/>
        <charset val="204"/>
      </rPr>
      <t xml:space="preserve">Программанын максаты: Өнөр жай, отун-энергетикалык комплекс жана жер казынасын  пайдалануу жаатында натыйжалуу мамлекеттик саясатты иштеп чыгуу жана ишке ашыруу                                 </t>
    </r>
  </si>
  <si>
    <r>
      <rPr>
        <b/>
        <sz val="11"/>
        <rFont val="Times New Roman"/>
        <family val="1"/>
        <charset val="204"/>
      </rPr>
      <t xml:space="preserve">Жер казынасын пайдалануу  боюнча мамлекеттик заказ/жаратылыш ресурстарын башкаруу                                                      </t>
    </r>
    <r>
      <rPr>
        <sz val="11"/>
        <rFont val="Times New Roman"/>
        <family val="1"/>
        <charset val="204"/>
      </rPr>
      <t xml:space="preserve">    </t>
    </r>
    <r>
      <rPr>
        <i/>
        <sz val="11"/>
        <rFont val="Times New Roman"/>
        <family val="1"/>
        <charset val="204"/>
      </rPr>
      <t>Программанын максаты.  Геологиялык чалгындоо иштерин изилдөө жана жүргүзүү, геологиялык чалгындоо процессине методикалык жардам көрсөтүү</t>
    </r>
  </si>
  <si>
    <t>миң. проб</t>
  </si>
  <si>
    <t xml:space="preserve">32 миң. даана, СИП кабель -258 км </t>
  </si>
  <si>
    <t>миң.м3</t>
  </si>
  <si>
    <r>
      <t xml:space="preserve">Пландоо, башкаруу жана администрациялоо                                                                                                                              
</t>
    </r>
    <r>
      <rPr>
        <i/>
        <sz val="11"/>
        <color theme="1"/>
        <rFont val="Times New Roman"/>
        <family val="1"/>
        <charset val="204"/>
      </rPr>
      <t>Программанын максаты: Башка программаларды ишке ашырууга координациялоочу жана уюштуруучу таасирлер</t>
    </r>
  </si>
  <si>
    <r>
      <t xml:space="preserve">Дене тарбияны жана массалык спортту өнүктүрүү                                                                    </t>
    </r>
    <r>
      <rPr>
        <i/>
        <sz val="11"/>
        <color theme="1"/>
        <rFont val="Times New Roman"/>
        <family val="1"/>
        <charset val="204"/>
      </rPr>
      <t>Программанын максаты:  дене тарбия жана спорт менен алектенүүнүн массалуулугун 20%га чейин жеткирүү</t>
    </r>
  </si>
  <si>
    <r>
      <t xml:space="preserve">Жогорку жетишкендиктердин спортун өнүктүрүү                                                           </t>
    </r>
    <r>
      <rPr>
        <i/>
        <sz val="11"/>
        <color theme="1"/>
        <rFont val="Times New Roman"/>
        <family val="1"/>
        <charset val="204"/>
      </rPr>
      <t>Программанын максаты: Эл аралык аренада Кыргыз Республикасынын кадыр-баркын жогорлатуу</t>
    </r>
  </si>
  <si>
    <r>
      <t xml:space="preserve">Жаштар саясатын ишке ашыруу                                                                                                                  </t>
    </r>
    <r>
      <rPr>
        <i/>
        <sz val="11"/>
        <color indexed="8"/>
        <rFont val="Times New Roman"/>
        <family val="1"/>
        <charset val="204"/>
      </rPr>
      <t xml:space="preserve">Программанын максаты:Кыргызстандын активдүү жаштарынын жаңы   генерациясын түзүү жана өнүктүрүү </t>
    </r>
  </si>
  <si>
    <t>62. Кыргыз Республикасынын Өкмөтүнө караштуу Ветеринардык жана фитосанитардык коопсуздук боюнча мамлекеттик инспекция</t>
  </si>
  <si>
    <t xml:space="preserve"> Коомчулук менен байланыштарды колдоо </t>
  </si>
  <si>
    <r>
      <t xml:space="preserve">Ветеринардык, фитосанитардык коопсуздукту камсыздоо                                                                                    </t>
    </r>
    <r>
      <rPr>
        <i/>
        <sz val="11"/>
        <rFont val="Times New Roman"/>
        <family val="1"/>
        <charset val="204"/>
      </rPr>
      <t>Программанын максаты: мыйзамдардын ченемдерин сактоону жана адам, жаныбарлар жана өсүмдүктөр үчүн жалпы ооруларды алып келүүнүн алдын алууну камсыздоодо ветеринардык жана фитосанитардык коопсуздуктун жогорку деңгээли.</t>
    </r>
  </si>
  <si>
    <t>Ветеринардык жана фитосанитардык көзөмөлдүн натыйжалуулугун жогорулатуу</t>
  </si>
  <si>
    <t>Мал азыктарына ветеринардык-санитардык экспертизаларды уюштурууну көзөмөлдөө</t>
  </si>
  <si>
    <t>Текшерилген ишкердик субъекттеринин саны</t>
  </si>
  <si>
    <t>Сан</t>
  </si>
  <si>
    <t xml:space="preserve">Эпизоотияга каршы иш-чараларды контролдоо </t>
  </si>
  <si>
    <t>Жаныбарлардын ылаңдарынын чыгышынын катталган  санын төмөндөтүү</t>
  </si>
  <si>
    <t>Кол-во вспышек</t>
  </si>
  <si>
    <t>Эмделген жаныбарлардын саны</t>
  </si>
  <si>
    <t>Млн.баш</t>
  </si>
  <si>
    <t>Адам жана жаныбарлар үчүн жалпы ооруларды ташып келүүнүн, ташып чыгаруунун жана жайылуусунун алдын алуу</t>
  </si>
  <si>
    <t>Текшерилген автожүктөрдүн жана авиажүктөрдүн саны</t>
  </si>
  <si>
    <t>Жаныбарларды ветеринардык диагностикалоону өткөрүү</t>
  </si>
  <si>
    <t xml:space="preserve">Өткөрүлгөн ветеринардык-диагностикалык изилдөөлөрдүн саны </t>
  </si>
  <si>
    <t>Ветеринардык диагностикалоодон өткөн жаныбарлардын саны</t>
  </si>
  <si>
    <t>Млн. баш</t>
  </si>
  <si>
    <r>
      <t xml:space="preserve">Жаныбарларды жугуштуу ылаңдардан коргоо                                                                                         </t>
    </r>
    <r>
      <rPr>
        <sz val="11"/>
        <rFont val="Times New Roman"/>
        <family val="1"/>
        <charset val="204"/>
      </rPr>
      <t xml:space="preserve">Программанын максаты: ылаңдардын алдын алуу жана профилактикалоо боюнча чараларды камсыз кылууда жаныбарлардын жана өсүмдүктөрдүн корголгондугунун жогорку деңгээли </t>
    </r>
  </si>
  <si>
    <t xml:space="preserve">Оорулар тобокелдигин жана оорулардын козгогучтарын алып келүүнү төмөндөтүү </t>
  </si>
  <si>
    <t>Санитардык, ветеринардык жана фитосанитардык ченемдерди сактоого мамлекеттик көзөмөлдү жүргүзүү</t>
  </si>
  <si>
    <t>КРда жаныбарлардын жана канаттуулардын өзгөчө кооптуу ылаңдарынын чыгышына жол бербөө</t>
  </si>
  <si>
    <t xml:space="preserve">Изилдөө(млн) </t>
  </si>
  <si>
    <t xml:space="preserve">Азык-түлүк коопсуздугун камсыздоо, тамак-ашка уулануулардын алдын алуу </t>
  </si>
  <si>
    <t>экспертиза</t>
  </si>
  <si>
    <t>63. Кыргыз Республикасынын Маалыматтык технологиялар жана байланыш мамлекеттик комитети</t>
  </si>
  <si>
    <t xml:space="preserve">Башка программалар боюнча учурдагы чыгашалардын суммасына карата 1 программасы боюнча учурдагы чыгашалардын катышы </t>
  </si>
  <si>
    <t>Мамлекеттик саясатты ишке ашыруу жана маалыматташтыруу, электрондук башкаруу, электрондук колтамга, электрондук өкмөт, электрондук кызмат көрсөтүүлөр, электр жана почта байланышы, анын ичинде радио жана теле берүүлөр жаатында тармактар аралык координациялоону аткаруу</t>
  </si>
  <si>
    <r>
      <t xml:space="preserve"> Электрондук башкаруу жана  электрондук кызмат көрсөтүүлөр инфраструктурасын өнүктүрүү
</t>
    </r>
    <r>
      <rPr>
        <i/>
        <sz val="11"/>
        <color theme="1"/>
        <rFont val="Times New Roman"/>
        <family val="1"/>
        <charset val="204"/>
      </rPr>
      <t xml:space="preserve"> программанын максаты:  электрондук башкарууну өнүктүрүү,    электрондук мамлекеттик кызмат көрсөтүүлөрдү киргизүү  </t>
    </r>
  </si>
  <si>
    <t>Иштеп жаткан маалымат системаларынын, порталдарынын саны</t>
  </si>
  <si>
    <t>Маалыматтык системаларды түзүү, модернизациялоо, эксплуатациялоо жана  техникалык колдоо</t>
  </si>
  <si>
    <t xml:space="preserve">Санариптик трансформациялоо жолу менен модернизацияланган мамлекеттик органдардын башкаруучулук процесстеринин саны 
</t>
  </si>
  <si>
    <t>Тышкы миграцияны эсепке алуунун бирдиктүү системасын байланыш каналы менен камсыз кылуу</t>
  </si>
  <si>
    <t>Кошулган объекттердин саны</t>
  </si>
  <si>
    <t>Номерлердин көчүрмөлүүлүгү борборлоштурулган маалымат базасын түзүү</t>
  </si>
  <si>
    <r>
      <t xml:space="preserve">Мобилдик байланыш абоненттерин  номерлерди сактоо кызмат көрсөтүүсү менен камсыз кылуу (мобилдик байланыш абоненттеринин жалпы санынан </t>
    </r>
    <r>
      <rPr>
        <sz val="11"/>
        <color rgb="FF000000"/>
        <rFont val="Times New Roman"/>
        <family val="1"/>
        <charset val="204"/>
      </rPr>
      <t>%</t>
    </r>
    <r>
      <rPr>
        <sz val="11"/>
        <color theme="1"/>
        <rFont val="Times New Roman"/>
        <family val="1"/>
        <charset val="204"/>
      </rPr>
      <t>)</t>
    </r>
  </si>
  <si>
    <t xml:space="preserve">Электрондук кызмат көрсөтүүлөр мамлекеттик порталынын иштөөсүн камсыз кылуу </t>
  </si>
  <si>
    <t xml:space="preserve">Порталда берилип жаткан мамлекеттик кызмат көрсөтүүлөрдүн саны </t>
  </si>
  <si>
    <t xml:space="preserve">Төлөм өткөрүүчү  шлюз маалыматтык системасынын иштөөсүн камсыз кылуу </t>
  </si>
  <si>
    <t xml:space="preserve">Төлөм шлюз системасына кошулган банктардын саны  </t>
  </si>
  <si>
    <t>«Түндүк» ведомстволор аралык электрондук  өз ара аракеттенүү системасынын иштешин камсыз кылуу</t>
  </si>
  <si>
    <t xml:space="preserve"> «Түндүк» ЭВӨС» колдонууу менен  мамлекеттик кызмат көрсөтүүлөрдү электрондук форматта берген мамлекеттик органдардын саны </t>
  </si>
  <si>
    <t xml:space="preserve">Электрондук соода аянтчасынын иштешин камсыз кылуу </t>
  </si>
  <si>
    <t xml:space="preserve">Электрондук соода аянтчасынын иштешин камсыз кылуу боюнча аткарылган жумуштардын салыштырма салмагы 
</t>
  </si>
  <si>
    <t>Түпкү күбөлөндүрүчү борборду жайылтуу</t>
  </si>
  <si>
    <t xml:space="preserve">Түпкү күбөлөндүрүчү борборду жайылтуу
боюнча аткарылган жумуштардын салыштырма салмагы 
 </t>
  </si>
  <si>
    <t>"Таза Коом" долбоорун ишке ашыруу</t>
  </si>
  <si>
    <t xml:space="preserve"> "Таза Коом" долбоору боюнча аткарылган иштердин салыштырма салмагы</t>
  </si>
  <si>
    <r>
      <t xml:space="preserve">Электр жана почта байланышын жөнгө салуу
</t>
    </r>
    <r>
      <rPr>
        <i/>
        <sz val="11"/>
        <color theme="1"/>
        <rFont val="Times New Roman"/>
        <family val="1"/>
        <charset val="204"/>
      </rPr>
      <t>Программанын максаты: Заманбап, жогорку технологиялуу жана атаандаштыкка жөндөмдүү Улуттук маалымат жиберүү тармагын түзүү жана Улуттук тармакты жалпы дүйнөлүк маалымат айдыңына интеграциялоо</t>
    </r>
  </si>
  <si>
    <t>Кыргызстандын калктуу конуштарын байланыш (уюлдук) кызмат көрсөтүүлөрү менен орточо камтуу  %</t>
  </si>
  <si>
    <t>Электр жана почта байланышын жөнгө салуу ишке ашыруу</t>
  </si>
  <si>
    <t xml:space="preserve">Электр жана почта байланышы жаатындагы лицензия алуучулардын саны. </t>
  </si>
  <si>
    <t>340</t>
  </si>
  <si>
    <t>350</t>
  </si>
  <si>
    <t>360</t>
  </si>
  <si>
    <t>370</t>
  </si>
  <si>
    <t xml:space="preserve">Бөлүп берилген жана узартылган лицензиялардын саны </t>
  </si>
  <si>
    <t>133</t>
  </si>
  <si>
    <t>77</t>
  </si>
  <si>
    <t>65</t>
  </si>
  <si>
    <t>Номиналдарды, радио жыштык тилкелерин ыйгарууларды бөлүп берүүнү ишке ашыруу</t>
  </si>
  <si>
    <t xml:space="preserve">Берилген жана узартылган жыштык ыйгаруулардын саны </t>
  </si>
  <si>
    <t>Улуттук номерлештирүү ресурсун бөлүп берүү</t>
  </si>
  <si>
    <t xml:space="preserve">Бөлүп берилген номерлештирүүнүн саны </t>
  </si>
  <si>
    <t>Жабдуу жана байланыш кызмат көрсөтүүлөрүнө шайкештик сертификаттарын берүү</t>
  </si>
  <si>
    <t xml:space="preserve">Бир жылда берилген шайкештик сертификаттарынын саны  </t>
  </si>
  <si>
    <t xml:space="preserve">Бөлүп берүүгө жеткиликтүү радиожыштыктарды тандап алуу </t>
  </si>
  <si>
    <t>Фельдъегер байланышы</t>
  </si>
  <si>
    <t>Фельдъегердик байланыш менен камсыз кылуу</t>
  </si>
  <si>
    <t>Жеткирилген  корреспонденциялардын саны</t>
  </si>
  <si>
    <t>миң даана</t>
  </si>
  <si>
    <t>Мамлекеттик инвестициялар программасы</t>
  </si>
  <si>
    <t xml:space="preserve"> "Digital CASA - Кыргыз Республикасы"долбоору</t>
  </si>
  <si>
    <t>64. Кыргыз Республикасынын Дин иштери боюнча мамлекеттик комиссиясы</t>
  </si>
  <si>
    <t>Жалпы жетекчиликти жана   финансылык менеджментти камсыз кылуу/жалпы жетекчиликти камсыз кылуу</t>
  </si>
  <si>
    <r>
      <t xml:space="preserve">Дин жаатындагы мамлекеттик саясатты иштеп чыгуу жана ишке ашыруу 
</t>
    </r>
    <r>
      <rPr>
        <i/>
        <sz val="11"/>
        <rFont val="Times New Roman"/>
        <family val="1"/>
        <charset val="204"/>
      </rPr>
      <t xml:space="preserve">Программанын максаты: Жарандардын дин тутуу  эркиндигине  жана диний катмарда талаш-тартыштардын алдын алуу укугун камсыздоо </t>
    </r>
  </si>
  <si>
    <t>Дин чөйрөсүндөгү мамлекеттик саясат, ченемдик укуктук базанын сереби</t>
  </si>
  <si>
    <t>Дин тутуу эркиндигине жарандардын укуктарын камсыз кылуу жана диний экстремизмдин алдын алуу</t>
  </si>
  <si>
    <t xml:space="preserve">Алардын жалпы санына карата утуп алынган сот иштеринин катышы </t>
  </si>
  <si>
    <t>7/7</t>
  </si>
  <si>
    <t>17/15</t>
  </si>
  <si>
    <t>12/10</t>
  </si>
  <si>
    <t>Эсептик каттоо диний багыттагы объектилерди, диний уюмдарды (кайра каттоо)</t>
  </si>
  <si>
    <t>Диний уюмдардын саны</t>
  </si>
  <si>
    <t>Республикадагы жана дүйнөнүн башка өлкөлөрүндөгү диний кырдаалдарды талдоо жана мониторинг</t>
  </si>
  <si>
    <t>Дин маселеси боюнча иштелип чыккан жана кабыл алынган сунуштардын саны (сунуш берген каттар)</t>
  </si>
  <si>
    <t>Диний экстремизмдин жайылып кетишине каршы күрөшүү жана алдын алуу  боюнча иш-чараларды иштеп чыгуу жана ишке ашыруу</t>
  </si>
  <si>
    <t>Диний  негиздеги  кагылыштарды кыскартуу</t>
  </si>
  <si>
    <t>Диний багыттагы объектилердин жана диний уюмдардын ишин  контролдоо жана координациялоо</t>
  </si>
  <si>
    <t>Дин ишинде Кыргыз Республикасынын мыйзамдарын бузган диний уюмдардын үлүшү (дин уюмдарынын жалпы санына)</t>
  </si>
  <si>
    <t>Мамлекеттик органдарга жана жергиликтүү өз алдынча башкаруу органдарына диний маселелер боюнча консультациялык жана методикалык  жардам көрсөтүү.</t>
  </si>
  <si>
    <t xml:space="preserve">Диний негиздеги көйгөйлүү маселелер жана кагылыштар боюнча алдын алуу, профилактикалоо жана көңүл буруу боюнча сунуштарды жана сунуштамаларды иштеп чыгуу </t>
  </si>
  <si>
    <t xml:space="preserve">66.  Кыргыз Республикасынын Өкмөтүнүн Сот өкүлчүлүк борбору  </t>
  </si>
  <si>
    <t xml:space="preserve">Эл аралык жана жергиликтүү  сот органдарында  Кыргыз Республикасынын Өкмөтүнүн,  ошондой эле  Кыргыз Республикасынын  укуктарын жана кызыкчылыктарын  коргоо жана жактоо                                    </t>
  </si>
  <si>
    <t xml:space="preserve">Алардын жалпы санына жеңип чыккан сот иштеринин катышынын натыйжалуулук индикатору </t>
  </si>
  <si>
    <t>9/17</t>
  </si>
  <si>
    <t xml:space="preserve">Талаш -тартыштардын кыйла жагымдуу чечилиши үчүн  эл аралык жана  жергиликтүү сотторго катышуу </t>
  </si>
  <si>
    <t xml:space="preserve">Утуп чыккан сот иштеринин  санынын натыйжалуулук индикатору </t>
  </si>
  <si>
    <t>68. ЮНЕСКО иштери боюнча Кыргыз Республикасынын улуттук комиссиясынын катчылыгы</t>
  </si>
  <si>
    <t xml:space="preserve">Жалпы жетекчиликти уюштуруу/жалпы жетекчиликти камсыз кылуу </t>
  </si>
  <si>
    <t>калктын ишеним индекси</t>
  </si>
  <si>
    <t xml:space="preserve">финансылык менеджментти жана эсепти камсыз кылуу  </t>
  </si>
  <si>
    <t>70. Кыргыз Республикасынын Улуттук стратегиялык изилдөөлөр  институту</t>
  </si>
  <si>
    <t xml:space="preserve">жалпы жетекчиликти камсыз кылуу жана   финансылык менеджментти жана эсепти камсыз кылуу  </t>
  </si>
  <si>
    <t xml:space="preserve">Кыргыз Республикасынын УСИИнин программаларынын натыйжалуулугунун индикаторлорунун аткарылышынын пайызы </t>
  </si>
  <si>
    <t>Жогорку бийлик органдарынын ишин аналитикалык, илимий жана маалыматтык колдоо</t>
  </si>
  <si>
    <r>
      <rPr>
        <b/>
        <sz val="11"/>
        <color indexed="8"/>
        <rFont val="Times New Roman"/>
        <family val="1"/>
        <charset val="204"/>
      </rPr>
      <t xml:space="preserve">Натыйжалуулук индикатору. </t>
    </r>
    <r>
      <rPr>
        <sz val="11"/>
        <color indexed="8"/>
        <rFont val="Times New Roman"/>
        <family val="1"/>
        <charset val="204"/>
      </rPr>
      <t xml:space="preserve">Изилдөө  продуктуларынын саны (отчеттор,аналитикалык каттар, маалымкаттар,сунуштамалар,макалалар,баяндамалар (баяндамага тезистер) методикалык салымдар ж.б.) ички жана тышкы саясаттын  социалдык экономикалык чөйрөсүндөгү </t>
    </r>
  </si>
  <si>
    <t xml:space="preserve"> Институтта изилдөөлөрдү жүргүзүү/Экономика жаатында жана социалдык чөйрөдө изилдөөлөрдү жүргүзүү  </t>
  </si>
  <si>
    <t>71. Кыргыз Республикасынын Өкмөтүнө караштуу Финансылык чалгындоо мамлекеттик кызматы</t>
  </si>
  <si>
    <t xml:space="preserve">Финансылык чалгындоо мамлекеттик кызматынын  ишин талаптагыдай камсыз кылуу </t>
  </si>
  <si>
    <t xml:space="preserve">Финансылык менеджментти жана эсепти камсыз кылуу  </t>
  </si>
  <si>
    <t xml:space="preserve">Тышкы байланышты жана коомчулук менен байланыштарды колдоо </t>
  </si>
  <si>
    <t>ЖМКга  жарыяланган материалдардын саны, Коомдук кенеш менен өткүлгөн жыйындардын саны</t>
  </si>
  <si>
    <t>зарылдыгына жараша</t>
  </si>
  <si>
    <t>Мониторинг, талдоо жана   стратегиялык пландоону камсыз кылуу</t>
  </si>
  <si>
    <t>Даярдалган документтердин саны (аналитикалык документтер жана ведомствонун иш-пландары)</t>
  </si>
  <si>
    <t>Финансылык чалгындоо мамлекеттик кызматынын ишин модернизациялоо</t>
  </si>
  <si>
    <t xml:space="preserve">Укук коргоо органдарына  жиберилүүчү  материалдардын сапатын жакшыртуунун эсебинен кылмыштуу кирешелерди легализациялоого (адалдоого) жана террористтик же экстремисттик ишти каржылоого каршы аракеттенүү боюнча  чаралардын  натыйжалуулугун жогорулатуу </t>
  </si>
  <si>
    <t xml:space="preserve">Укук коргоо органдарына  даярдалган жана  жөнөтүлгөн жалпыланган жана кошумча жалпыланган  материалдын саны </t>
  </si>
  <si>
    <t xml:space="preserve">Кылмыштуу кирешелерди легализациялоого (адалдоого) жана террористтик же экстремисттик ишти каржылоого каршы аракеттенүү чөйрөсүндө ченемдик укуктук базаны өркүндөтүү </t>
  </si>
  <si>
    <t xml:space="preserve">Иштеп чыгуу жана тийиштүү өзгөртүүлөрдү жана толуктоолорду  киргизүү зарыл болгон  ченемдик  укуктук актылардын саны  </t>
  </si>
  <si>
    <t>НПА</t>
  </si>
  <si>
    <t xml:space="preserve">Кылмыштуу кирешелерди легализациялоого (адалдоого) жана террористтик же экстремисттик ишти каржылоого каршы аракеттенүү чөйрөсүндө эл аралык милдеттенмелерди  тийиштүү аткаруу боюнча  укуктук жана институционалдык негиздерди өркүндөтүү   </t>
  </si>
  <si>
    <t xml:space="preserve">Кылмыштуу кирешелерди легализациялоого (адалдоого) жана террористтик же экстремисттик ишти каржылоого каршы аракеттенүү чөйрөсүндө эл аралык уюмдар жана чет мамлекеттердин финансылык чалгындоо бөлүктөрү менен өз ара аракеттешүүнү күчөтүү </t>
  </si>
  <si>
    <t xml:space="preserve">Жаңы автоматташтырылган иш орундар системасын, электрондук документтерди жүгүртүү  жана аналитикалык  инструменттерди киргизүү </t>
  </si>
  <si>
    <t xml:space="preserve">Контролдоого жана билдирүүгө тийиштүү болгон операциялар (бүтүмдөр) тууралуу иштелип чыккан маалыматтардын саны </t>
  </si>
  <si>
    <t xml:space="preserve">Финансылык чалгындоо мамлекеттик кызматынын Бирдиктүү маалыматтык системасында маалыматты топтоо жана сактоо системасын өнүктүрүү </t>
  </si>
  <si>
    <t xml:space="preserve">Контролдоого жана билдирүүгө тийиштүү болгон операциялар (бүтүмдөр) тууралуу кабыл алынган билдирүүлөрдүн саны </t>
  </si>
  <si>
    <t>72. Кыргыз Республикасынын Өкмөтүнө караштуу Монополияга каршы жѳнгѳ салуу мамлекеттик агенттиги</t>
  </si>
  <si>
    <t>басылып чыккан эмес</t>
  </si>
  <si>
    <t>Кызматкерлердин жалпы санынан квалификациясын жогорулатуу боюнча курстарга катышкан кызматкерлердин саны</t>
  </si>
  <si>
    <t>Укуктук колдоону камсыздоо жана мамлекеттик сатып алууларды ишке ашыруу/Укуктук колдоо</t>
  </si>
  <si>
    <t xml:space="preserve">Соттук иштердин саны. Иштелип чыккан ченемдик укуктук актылардын долбоорлорунун саны. Өткөрүлгөн конкурстук жол-жоболордун жана түзүлгөн келишимдердин саны. Түзүлгөн келишимдердин жыйынтыгы боюнча үнөмдөө. </t>
  </si>
  <si>
    <t xml:space="preserve">Коррупциянын алдын алуу </t>
  </si>
  <si>
    <t xml:space="preserve">Монополияга каршы жөнгө салуу чөйрөсүндө системалуу коррупцияны демонтаждоо боюнча деталдуу планды аткаруунун жыйынтыгы боюнча ишке ашырылган иш-чаралардын саны  </t>
  </si>
  <si>
    <t xml:space="preserve">Коррупцияга каршы аракеттенүү боюнча иш-чаралардын ведомстволук планды аткаруунун жыйынтыгы боюнча ишке ашырылган иш-чаралардын саны   </t>
  </si>
  <si>
    <t>Евразиялык экономикалык комиссия менен биргелешип иш алпаруу</t>
  </si>
  <si>
    <t xml:space="preserve">Чарба жүргүзүүчү суб-ди  Кыргыз Республикасынын "Коррупция жөнүндө" Мыйзамынын 11-беренесинин талаптарына шайкеш келүүсүнө  экспертиза жүргүзүүнүн саны  </t>
  </si>
  <si>
    <t xml:space="preserve">ЕЭК актыларын аткаруунун саны  (чечимдердин протоколдору) </t>
  </si>
  <si>
    <t xml:space="preserve">Регионалдык деңгээлде жалпы координациялоо/  республикалык  деңгээлде жалпы координациялоо  </t>
  </si>
  <si>
    <t>КР облустарына регионалдык өкүлчүлүктөрдүн кызматкерлеринин орточо саны</t>
  </si>
  <si>
    <t>37/9</t>
  </si>
  <si>
    <r>
      <t xml:space="preserve">Экономиканын негизги тармактарында атаандаштык рынокторуна жана атаандаштык чөйрөсүнө мамлекеттик колдоо көрсөтүү. 
</t>
    </r>
    <r>
      <rPr>
        <i/>
        <sz val="11"/>
        <rFont val="Times New Roman"/>
        <family val="1"/>
        <charset val="204"/>
      </rPr>
      <t xml:space="preserve">Программанын максаты:  адилеттүү атаандаштык шарттарында товарлардын, жумуштун жана кызмат көрсөтүүлөрдүн рыногунун натыйжалуу иштеши </t>
    </r>
  </si>
  <si>
    <t xml:space="preserve">Атаандаштыкка жөндөмдүүлүктү арттыруу максатында тоскоолдуктарды жана монополиялык иш-аракеттерди азайтуу боюнча каралган иштердин саны </t>
  </si>
  <si>
    <t xml:space="preserve">Монополияга каршы жана бааны жөнгө салуу жаатындагы мыйзамдардын сакталышын камсыз кылуу </t>
  </si>
  <si>
    <t xml:space="preserve">Текшерилген субъектилердин салыштырма салмагынын пландалган субъектилерге карата көбөйүшү </t>
  </si>
  <si>
    <t>Иштин жыйынтыгы боюнча аткарылган чечимдердин санынын көбөйүшү</t>
  </si>
  <si>
    <t xml:space="preserve">Атаандаштык чөйрөсүнүн абалын талдоо </t>
  </si>
  <si>
    <t xml:space="preserve">Атаандаштыктын абалына жүргүзүлгөн талдоонун  саны </t>
  </si>
  <si>
    <t>планга ылайык</t>
  </si>
  <si>
    <t>Доминанттардын мамреестринен чыгарылган доминант субъекттеринин саны</t>
  </si>
  <si>
    <t xml:space="preserve">Келип түшкөн арыздардын жалпы санынан адилеттүү атаандаштык боюнча жакшы жагынан каралган арыздардын үлүшү </t>
  </si>
  <si>
    <t xml:space="preserve">Аныкталган  бузуулардын жалпы санынан "Жарнак жөнүндө" Кыргыз Республикасынын Мыйзамын  бузууларды жоюунун үлүшү </t>
  </si>
  <si>
    <t>келип түшүлөргө жараша</t>
  </si>
  <si>
    <t xml:space="preserve">Жергиликтүү өз алдынча башкаруу органдарынын жана мамлекеттик бийлик органдарынын атаандаштыкты чектөөгө багытталган ишинен  жана адилетсиз атаандаштыктан  иш чарба жүргүзүүчү субъекттердин жана жарандардын укуктарын коргоо </t>
  </si>
  <si>
    <t xml:space="preserve">Жарандык коомдон келип түшкөн арыздардын жалпы санынан жакшы жагынан каралган арыздардын үлүшү </t>
  </si>
  <si>
    <t xml:space="preserve">Чарба жүргүзүүчү субъекттердин ортосундагы атаандаштыкты чектей турган аныкталган  бузуулардын үлүшү </t>
  </si>
  <si>
    <t xml:space="preserve">Түшкөн арыздардын жалпы санынан ак ниеттүү эмес атаандаштык боюнча жакшы жагынан каралган арыздардын үлүшү  </t>
  </si>
  <si>
    <t xml:space="preserve">Аныкталган  бузуулардын жалпы санынан "Керектөөчүлөрдүн укугун коргоо жөнүндө" Кыргыз Республикасынын Мыйзамын  бузууларды жоюунун үлүшү </t>
  </si>
  <si>
    <t xml:space="preserve">КМШ жана алыскы чет өлкөлөрдүн атаандаштык ведомтсволору менен өз ара аракеттешүү </t>
  </si>
  <si>
    <t>тиешелүү документтерди даярдоо үчүн  зарыл болгон өлчөмдө</t>
  </si>
  <si>
    <t xml:space="preserve">Монополиянын субьекттерин жөнгө салуу натыйжалуулугун жогорулатуу /Керектөөчүлөрдүн укуктарын жана жарнаманы мамлекеттик коргоо :1. керектөөчүлөрдүн укуктарын коргоону камсыз кылуу; 2. Кыргыз Республикасынын  «Жарнак жөнүндө» Мыйзамын бузуулардын санын азайтуу; 2. Монополияга каршы саясат, керектөөчүлөрдүн укугун коргоо жана жарнак жаатында эл аралык кызматташтык </t>
  </si>
  <si>
    <t xml:space="preserve">Белгиленген баалардын (тарифтердин) саны </t>
  </si>
  <si>
    <t>алгандан кийин</t>
  </si>
  <si>
    <t xml:space="preserve">Контракттардын макулдашылган формаларынын саны </t>
  </si>
  <si>
    <t xml:space="preserve">Негизделген баалар (тарифтер) боюнча макулдашылган кызмат көрсөтүүлөрдүн саны  </t>
  </si>
  <si>
    <t xml:space="preserve">Табигый монополия  субьекттеринин товарларына (жумушка, кызмат көрсөтүүлөргө) бааларды (тариф) белгилөө </t>
  </si>
  <si>
    <t>73. Кыргыз Республикасынын Өкмөтүнө караштуу Мамлекеттик миграция кызматы</t>
  </si>
  <si>
    <t>Кызматкерлердин жалпы санынан ишмердикке баа берүүдөн жогорку балл менен  өтүшкөн кызматкерлер үлүшү;</t>
  </si>
  <si>
    <t xml:space="preserve">Кызматкерлердин жалпы санына карата квалификациясын жогорулатышкан кызматкерлердин, үлүшү </t>
  </si>
  <si>
    <t>Ченемдик-укуктук акттардын жана ички локалдык документтердин иштелип чыгарылган долбоорлор саны</t>
  </si>
  <si>
    <t>Ведомствонун ишмердигин ЖМКларда чагылдыруулардын саны</t>
  </si>
  <si>
    <t>Системалуу саясий коррупцияны демонтаждоо боюнча планды аткаруу</t>
  </si>
  <si>
    <r>
      <t xml:space="preserve">Миграция чөйрөсүндөгү саясатты ишке ашыруу                                                                                                                            </t>
    </r>
    <r>
      <rPr>
        <i/>
        <sz val="11"/>
        <rFont val="Times New Roman"/>
        <family val="1"/>
        <charset val="204"/>
      </rPr>
      <t xml:space="preserve">Программанын максаты: Миграция чөйрөсүндөгү мамлекеттик саясатты ишке ашыруу              </t>
    </r>
  </si>
  <si>
    <t>Миграция чөйрөсүндөгү стратегиялык документтерди иштеп чыгуу</t>
  </si>
  <si>
    <t>Стратегиялык документтердин саны (стратегия, концепция, мам.программалар)                                                                          РФ аймагына кирүүгө карата чектөөлөрү бар жарандар саны (КАРА ТИЗМЕ)</t>
  </si>
  <si>
    <t xml:space="preserve">1                                                                                                                                                                                                                                                                                                                                                                                                                                                     65 532              </t>
  </si>
  <si>
    <t xml:space="preserve">1                                                                                                                                                                                                                                                                                                                                                                                                                                                     60000              </t>
  </si>
  <si>
    <t xml:space="preserve">1                                                                                                                                                                                                                                                                                                                                                                                                                                                     50000              </t>
  </si>
  <si>
    <t xml:space="preserve">Чет өлкөлүк жумушчу күчтөрдү ишке тартуу жана пайдалануу процесстерин жөнгө салуу, иммигранттын статусун карап чыгуу </t>
  </si>
  <si>
    <t>Чет өлкөлүк жарандарга жана жарандыгы жок адамдарга берилүүчү укуксат берүү документтерин карап чыгуулар саны,     иммигранттын статусу  берилгендердин саны</t>
  </si>
  <si>
    <t>12950  236</t>
  </si>
  <si>
    <t>17410   600</t>
  </si>
  <si>
    <t>17000  600</t>
  </si>
  <si>
    <t>17000   600</t>
  </si>
  <si>
    <t>Иммигранттардын (этникалык кыргыздардын, кайрылмандардын) жана качкындардын корголуусун жана укуктарын камсыз кылуу</t>
  </si>
  <si>
    <t>Качкындарга жана баш калкалоо  издеген адамдарга каралып чыккан жана берилген документтердин саны (качкындын күбөлүгү, качкын статусун берүү жөнүндө өтүнүч катты каттоо жөнүндө күбөлүк)</t>
  </si>
  <si>
    <t>32    180</t>
  </si>
  <si>
    <t>Мамлекеттик кызмат көрсөтүүлөрдү берүү</t>
  </si>
  <si>
    <t xml:space="preserve">Берилген документтер саны (кайрылмандардын күбөлүгү),          чет өлкөлүк жарандарга уруксат берүүчү документтеринин саны             </t>
  </si>
  <si>
    <t xml:space="preserve">      664    12950</t>
  </si>
  <si>
    <t>600     17410</t>
  </si>
  <si>
    <t>Чет мамлекеттердеги мекендештерди жана диаспораларды колдоо тармагындагы бирдиктүү саясат чараларын иштеп чыгуу жана ишке ашыруу</t>
  </si>
  <si>
    <t>Эмгек миграция чөйрөсүндөгү иштелип чыгарылган ченемдик-укуктук актылардын саны</t>
  </si>
  <si>
    <t>КР жарандарынын мыйзамдуу укуктарын, кызыкчылыктарын коргоо жана Россия Федерациясындагы миграция жана эмгек ишмердиги маселелери боюнча көмөк көрсөтүү</t>
  </si>
  <si>
    <t>Колдоо жана консультацияларды алууга кайрылышкан Кыргыз Республикасынын жарандарынын саны</t>
  </si>
  <si>
    <t>819     3241</t>
  </si>
  <si>
    <t>800     3200</t>
  </si>
  <si>
    <t>Өкүлчүлүктүн көмөгү менен  өндүрүлүп алынган суммалардын саны</t>
  </si>
  <si>
    <t>мл.сом</t>
  </si>
  <si>
    <t xml:space="preserve">Эмгектин тышкы рыногунда КР жарандарынын ишке орношуусуна көмөк көрсөтүү,                                      КР жарандарынын денелерин мекенине жеткирүүгө байланышкан чыгашаларга компенсацияларды төлөө </t>
  </si>
  <si>
    <t xml:space="preserve">Тышкы эмгек миграциясы жана уюштурулган жумушка орноштуруу маселелери боюнча консультация алышкан жарандардын саны </t>
  </si>
  <si>
    <t>Төлөнүп берилген компенсациялардын үлүшү</t>
  </si>
  <si>
    <t>74. Кыргыз Республикасынын Улуттук статистика комитети</t>
  </si>
  <si>
    <t>Улутстаткомдун системасынын ишмердигин уюштуруу жана  координациялоо. (Финансылык, адамдык жана укуктук менеджментти  камсыздоо)</t>
  </si>
  <si>
    <t xml:space="preserve">Чыгаруу графигине ылайык өз убагында чыгарыла турган статистикалык маалыматтын үлүшү. </t>
  </si>
  <si>
    <t>Калктын жалпы санынан статистикалык маалыматты пайдалануучулардын үлүшү.</t>
  </si>
  <si>
    <r>
      <t xml:space="preserve">Сапаттуу жана ишенимдүү статистикалык эсепти камсыз кылуу.
</t>
    </r>
    <r>
      <rPr>
        <i/>
        <sz val="11"/>
        <color indexed="8"/>
        <rFont val="Times New Roman"/>
        <family val="1"/>
        <charset val="204"/>
      </rPr>
      <t>Максаты: Бериле турган статистикалык жана аналитикалык маалыматтын жеткиликтүүлүгүнүн жана ишенимдүүлүгүнүн жогорку деңгээли</t>
    </r>
  </si>
  <si>
    <t>Расмий статистикалык маалыматка карата пайдалануучулардын ишениминин индекси</t>
  </si>
  <si>
    <t>Облустук жана региондук деңгээлде жалпы  координация.</t>
  </si>
  <si>
    <t xml:space="preserve">Чогултула турган баштапкы (чарбалык субъектилердин) маалыматтын саны                                                                                                                                </t>
  </si>
  <si>
    <t>миң бирдик</t>
  </si>
  <si>
    <t>Мамлекеттик статистикалык каттоого даярдык көрүү жана өткөрүү</t>
  </si>
  <si>
    <t xml:space="preserve">Чогултула турган (каттоонун субъектилеринин) маалыматтын саны </t>
  </si>
  <si>
    <t>Статистикалык көрсөткүчтөрдү чогултуу жана техникалык жактан иштеп чыгуу  (КР УСК БЭБ)</t>
  </si>
  <si>
    <t xml:space="preserve">Техникалык-экономикалык жана социалдык маалыматтын классификаторлорун СББМРга (Статистикалык бирдиктердин Бирдиктүү мамлекеттик регистри) киргизүү, коштоо жана контролдоо. Статистикалык регистрге киргизилген чарбалык субъекттердин саны. </t>
  </si>
  <si>
    <r>
      <t xml:space="preserve">Экономика тармактарынын өнүгүүсүн статистикалык эсепке алуу жана талдоо
</t>
    </r>
    <r>
      <rPr>
        <i/>
        <sz val="11"/>
        <color indexed="8"/>
        <rFont val="Times New Roman"/>
        <family val="1"/>
        <charset val="204"/>
      </rPr>
      <t>Максаты: негизделген башкаруучулук чечимдерди кабыл алуу  үчүн башкаруу субъекттеринин маалымдалышынын жогорку деңгээли</t>
    </r>
  </si>
  <si>
    <t>Статистикалык маалыматтын сапаты</t>
  </si>
  <si>
    <t xml:space="preserve">Базалык статистикалык көрсөткүчтөр,  керектөө рыногунун статистикасы, үй чарбалары, айыл чарбалары, эмгек жана жумуштуулук, өнөр жай, курулуш жана инвестициялар, тышкы соода, экономикалык өнүгүү, социалдык өнүгүү статистикасы жана   курчап турган чөйрө статистикасы боюнча маалыматты  талдоо                                  </t>
  </si>
  <si>
    <t>Экономикалык ишмердиктин түрлөрү жана экономиканын институционалдык секторлору боюнча улуттук эсептер системасынын көрсөткүчтөрүн түзүү,  керектөө рыногу,  үй чарбалары,  эмгек жана жумуштуулук боюнча,  курулуш жана инвестициялар боюнча, экономикалык өнүгүү боюнча, реалдуу жана финансы сектору боюнча,  социалдык өнүгүү боюнча,  курчап турган чөйрө боюнча, туризм жана өзгөчө кырдаал статистикасы боюнча респонденттердин саны.  Басылмалардын саны</t>
  </si>
  <si>
    <t>Эл аралык стандарттарды өздөштүрүү (эл аралык уюмдар тарабынан түзүлгөн статистикалык жыйнактардын шайкеш келтирилген көрсөткүчтөрдүн толтурулушу)</t>
  </si>
  <si>
    <r>
      <rPr>
        <b/>
        <sz val="11"/>
        <color indexed="8"/>
        <rFont val="Times New Roman"/>
        <family val="1"/>
        <charset val="204"/>
      </rPr>
      <t xml:space="preserve">Статистика тармагынын илимий-негизденген методология-сын иштеп чыгуу, жакшыртуу жана ишке киргизүү
</t>
    </r>
    <r>
      <rPr>
        <i/>
        <sz val="11"/>
        <color indexed="8"/>
        <rFont val="Times New Roman"/>
        <family val="1"/>
        <charset val="204"/>
      </rPr>
      <t>Максаты: статистикалык маалыматтын сапатынын жогорку деңгээли</t>
    </r>
  </si>
  <si>
    <t>Статистикалык маалыматты чогултуу үчүн статистикалык байкоолордун жаңы заманбап методдорун ишке киргизүү</t>
  </si>
  <si>
    <t>Статистикалык маалыматты чогултуу, иштетүү жана талдоо методикасын өркүндөтүү</t>
  </si>
  <si>
    <t>Иштелип чыккан методикалардын жана сунуштардын жалпы санынан стат.органдардын күндөлүк ишине киргизилген жаңы методикалардын үлүшү</t>
  </si>
  <si>
    <t>Стат.органдардын кызматчыларынын  квалификациясын жогорулатуу</t>
  </si>
  <si>
    <t>Керектөөдөн квалификациясын жогорулаткан, стат.органдардын кызматчыларынын үлүшү</t>
  </si>
  <si>
    <t>Иш-чаралардын саны</t>
  </si>
  <si>
    <t>75. Кыргыз Республикасынын Мамлекеттик мүлктү башкаруу боюнча фонд</t>
  </si>
  <si>
    <t xml:space="preserve">Мамлекеттик мүлктү натыйжалуу башкаруу жана менчиктештитрүү боюнча мамлекеттик саясатты ишке ашыруу </t>
  </si>
  <si>
    <t xml:space="preserve">Пландоо, башкаруу жана администрациялоо                                   </t>
  </si>
  <si>
    <t xml:space="preserve">Ички контролдоо системасына  сереп жана баалоо, стартегиялык, узак мөөнөттүү жана жылдык өнүгүү пландарын иштеп чыгуу  </t>
  </si>
  <si>
    <t>Мамлекеттик мүлктү натыйжалуу башкаруу жана мамлекеттик менчик обьекттеринин системалашкан эсеби.</t>
  </si>
  <si>
    <t xml:space="preserve">Республикалык бюджетке мамлекет катышкан акционердик коомдордун акцияларынын мамлекеттик пакетине дивиденддердин түшүүсү   </t>
  </si>
  <si>
    <t>Республикалык бюджетке мамлекеттик ишканалардын таза пайдасынан түшүүлөр</t>
  </si>
  <si>
    <t>Мамлекеттик мүлктү менчиктештирүүдөн каражаттардын түшүүсү</t>
  </si>
  <si>
    <t xml:space="preserve">Мамлекеттик мүлктү ижарага берүүдөн каражаттардын түшүүсү.  </t>
  </si>
  <si>
    <t xml:space="preserve">Бирдиктүү автоматташтырылган эсепке алуу системасында мамлекеттик мүлктү толук  көрсөтүү  </t>
  </si>
  <si>
    <t>76. Кыргыз Республикасынын Өкмөтүнө караштуу Мамлекеттик материалдык резервдер фонду</t>
  </si>
  <si>
    <t>Эмгектик талаш-тартыштар боюнча утуп алган сот процессинин үлүшү</t>
  </si>
  <si>
    <t>48/109</t>
  </si>
  <si>
    <t>Өкмөттүн иш-чараларынын аткарылышынын деңгээли жана төраганын иш планы/милдеттенмеси</t>
  </si>
  <si>
    <t>Региондук деңгээлде жалпы координациялоо</t>
  </si>
  <si>
    <t xml:space="preserve">Кызматкерлеринин жалпы санынан региондук кызматкерлердин үлүшү </t>
  </si>
  <si>
    <r>
      <t xml:space="preserve">Мобилизациялык жана мамлекеттик материалдык баалуулуктарды башкаруу     </t>
    </r>
    <r>
      <rPr>
        <i/>
        <sz val="11"/>
        <color indexed="8"/>
        <rFont val="Times New Roman"/>
        <family val="1"/>
        <charset val="204"/>
      </rPr>
      <t>Программанын максаты: Эсептоо жана контролдоо</t>
    </r>
  </si>
  <si>
    <t>Кыргыз Республикасынын мобилизациялык муктаждыгын камсыз кылуу</t>
  </si>
  <si>
    <t>Мамлекеттик резервдин материалдык баалуулуктарын башкаруу</t>
  </si>
  <si>
    <t>Материалдык баалуулуктарды топтоо (мам.резервдер)</t>
  </si>
  <si>
    <t>Мобилизациялык резервдин материалдык баалуулуктарын башкаруу</t>
  </si>
  <si>
    <t>Материалдык баалуулуктарды топтоо (моб.резервдер)</t>
  </si>
  <si>
    <t>Мамматрезервдерди орнотуу, топтоо, сактоо жана колдонууну уюштуруу  (ММРФ- "Азык-түлүк  программасы")</t>
  </si>
  <si>
    <t xml:space="preserve">Материалдык баалуулуктарды ченемге чейин жеткирүү </t>
  </si>
  <si>
    <t>77.Кыргыз Республикасынын Жогорку аттестациялык комиссиясы</t>
  </si>
  <si>
    <t>1 --1</t>
  </si>
  <si>
    <r>
      <t xml:space="preserve">Илимий жана илимий пед-педагогикалык кадрлардын сапаттуу курамын жакшыртууга, аларды даярдоонун натыйжалуулугун жогорулатууга көмөк көрсөтүү                                   </t>
    </r>
    <r>
      <rPr>
        <i/>
        <sz val="11"/>
        <rFont val="Times New Roman"/>
        <family val="1"/>
        <charset val="204"/>
      </rPr>
      <t xml:space="preserve">Программанын максаты: Диссертацияны илимий денгээлине, алардын илимий жанапрактикалык баалулугуна, илимий жана илимий педагогикалык кадрларды жогорку квалификацияга аттестациялоодо бирдиктүү талаптарды контролдоону камсыз кылуу </t>
    </r>
  </si>
  <si>
    <t>Экспертик кеңештердин корутундусуна ЖАК  Президиумунун чечимдеринин жана оң чечимдерге берилген дипломдордун пайызы</t>
  </si>
  <si>
    <t xml:space="preserve"> Диссертац.  жана  эксперттик кеңештердин ишин уюштуруу, илимий даража, наамдарды ыйгаруу</t>
  </si>
  <si>
    <t xml:space="preserve"> Диссертация иштерин  жана  аттестация иштерин мөөнөтүндө кароо менен түшкөн иштердин жалпы санына карата катышы </t>
  </si>
  <si>
    <t xml:space="preserve"> Илимий жана илимий-педагогикалык кадрларды   аттестациялоо маселеси боюнча  эл аралык келишимдерди даярдоо жана түзүү</t>
  </si>
  <si>
    <t>Түзүлгөн эл аралык келишимдердин саны</t>
  </si>
  <si>
    <t xml:space="preserve"> "Антиплагиат" программалар б-ча электр прог. жана  материалдык базасын киргизүү жана пайдалануу</t>
  </si>
  <si>
    <t xml:space="preserve">Диссертациялык иштердин жана материалдардын маалыматтар базасына киргизилген жана санариптештирилгендеринин саны / текшерүүгө түшкөн иштердин жалпы санына карата "Антиплагиат"  программасы боюнча диссертациялык иштердин мөөнөтүндө текшерилгендеринин саны </t>
  </si>
  <si>
    <t>өлчөө бирдиги %</t>
  </si>
  <si>
    <t>3000 /100</t>
  </si>
  <si>
    <t>79.  Коопсуздук кеңешинин катчылыгы</t>
  </si>
  <si>
    <t>Коопсуздук кеңешинин катчылыгы</t>
  </si>
  <si>
    <t xml:space="preserve">Улуттук коопсуздукту касыз кылуу  чөйрөсүндө бирдиктүү мамлекеттик саясатты жүргүзүү боюнча КР Коопсуздук кеңешинин ишин камсыз кылуу </t>
  </si>
  <si>
    <t xml:space="preserve">КР Коопсуздук кеңешинин жыйынында каралган маселелердин саны </t>
  </si>
  <si>
    <t>80. Кыргыз Республикасынын Улуттук илимдер академиясы</t>
  </si>
  <si>
    <t>Бюджеттик программа боюнча натыйжалуулук индикаторлорунун аткарылыш %</t>
  </si>
  <si>
    <t>Жаш кадрларды тартуу</t>
  </si>
  <si>
    <t xml:space="preserve">Кыргыз Республикасынын Улуттук илимдер академиясынын илимий мекемелеринин илимий-уюштуруу иштерин координациялоо </t>
  </si>
  <si>
    <t>Чыгарылган токтомдордун саны</t>
  </si>
  <si>
    <t xml:space="preserve">Кыргыз Республикасынын Улуттук илимдер академиясынын илимпоздорунун эл аралык илимий кызматташуусун уюштуруу </t>
  </si>
  <si>
    <t>УИА чет элдик илимий уюдарда мүчөлүгү</t>
  </si>
  <si>
    <t>Физика-техникалык, математикалык  жана кен-геолог. изилдөөлөрдү өнүктүрүү</t>
  </si>
  <si>
    <t>Технологиялык иштеп чыгууларды өндүрүшкө киргизүү</t>
  </si>
  <si>
    <t xml:space="preserve">Ири ГЭСтер жайгашкан райондордогу сейсмикалык коркунучту баалоо жана инженердик-сейсмикалык кызматты түзүү </t>
  </si>
  <si>
    <t>Жүргүзүлгөн жер титирөөлөрдүн саны</t>
  </si>
  <si>
    <t xml:space="preserve">Суу ресурстарын талдоо жана суу ресурстарын башкарууну контролдоо методдорун жана каражаттарын түзүү. Сары-Жаз дарыясында гидроэнергетикалык ресурстарды сарамжалдуу өздөштүрүүнүн илимий негиздери </t>
  </si>
  <si>
    <t>Айрым  дарыялар  боюнча  ар кандай сценарий үчүн  климаттын өзгөрүшүн эске алуу менен гидроэнергетикалык  эсеп боюнча жүргүзүлгөн  экспертизалардын саны</t>
  </si>
  <si>
    <t xml:space="preserve">Жогорку вольттук энергетикалык объектилердин  жабдууларына автоматташкан  мониторинг системасын иштеп чыгуу.   Аэрокосмостук видеомаалыматтардын иштетүү жана сактоонун  структурасын жана методдорун  изилдөө жана иштеп чыгуу    </t>
  </si>
  <si>
    <t>Тоо сууларынын агымынын деңгээлин өлчөө датчигинин макетин даярдоого жана электр энергиясын  керектөөнүн автоматташкан эсептөө   ситемасын иштеп чыгууга алдын ала төлөө менен патент берүү боюнча оң чечимдердин саны. конкреттүү эл чарба маселелери үчүн   аэрокосмостук маалыматтарды иштеп чыгуу.</t>
  </si>
  <si>
    <t xml:space="preserve">Жаратылыш жана техногендик кыйроолорду болжолдоо методдорун жана каражаттарын иштеп чыгуу жана алдын алуу .  Шпуралар жана скважиналарды бургалоо үчүн  техникаларды иштеп чыгуу. Регионалдык геология жана Кыргызстандын пайдалуу кендери       </t>
  </si>
  <si>
    <t>Геологиялык картага киргизилгендердин саны.</t>
  </si>
  <si>
    <t xml:space="preserve">Химия-технол мед-биол жана айыл чарба изилдөөлөрүн өнүктүрүү </t>
  </si>
  <si>
    <t>лабораториялык изилдөлөрдүн саны</t>
  </si>
  <si>
    <t xml:space="preserve">Кыргызстандагы өсүмдүктөрдү интродукциялоо, селекциялоо жана сактоо. Аларды сактоо жана туруктуу пайдалануу максатында Кыргызстандын токой өсүмдүк ресурстарын  изилдөө.  Жаратылыш запастарын талдоо жана Кыргызстандын пайдалуу жана дарылык өсүмдүктөрүнөн турган биоактивдүү бирикмелерди алуу технологиясын иштеп чыгуу </t>
  </si>
  <si>
    <t>Сатылган  продукциялардын саны (отургузуучу материал, эфир майлары) /  коллекциялык гербардык фондду толуктоо</t>
  </si>
  <si>
    <t xml:space="preserve">Кыргызстандын генетикалык ресурстар банкына номинацияланган жаныбарларды биотестирлөө. Кыргызстандын жаратылышынын биологиялык компоненттеринин абалына мониторингдин илимий негиздерин иштеп чыгуу </t>
  </si>
  <si>
    <t>Уйлардын биоаттестациясын өткөрүү.  коллекциялык фонддорду толуктоо.</t>
  </si>
  <si>
    <t>100           18</t>
  </si>
  <si>
    <t>90                    18</t>
  </si>
  <si>
    <t>80             18</t>
  </si>
  <si>
    <t>90             18</t>
  </si>
  <si>
    <t>100          18</t>
  </si>
  <si>
    <t xml:space="preserve">Минералдык жана органикалык чийки заттарды комплекстик кайра иштетүүнүн инновациялык технологияларын иштеп чыгуу; адаптациялык мүмкүнчүлүктөрдү  оптималдаштыруу каражаттарын иликтөө жана тоо калкынын жашоосунун сапатын жогорулатуу </t>
  </si>
  <si>
    <t xml:space="preserve">Активдештирилген көмүрдү, күрүчтүн кабыгынан отун брикеттерин алуу үчүн, карбонизаттарды активизациялоонун жаңы ыкмасын иштеп чыгуу боюнча эл аралык региондук долбоорлордун жана жүргүзүлгөн мамлекеттик экспертизалардын саны </t>
  </si>
  <si>
    <t>5               50</t>
  </si>
  <si>
    <t>5                        60</t>
  </si>
  <si>
    <t>5                    60</t>
  </si>
  <si>
    <t>5           60</t>
  </si>
  <si>
    <t>Гумманитардык изилдөөнү өнүктүрүү</t>
  </si>
  <si>
    <t>Басылмалар (макалалар, монографиялар, окуу куралдары)</t>
  </si>
  <si>
    <t xml:space="preserve">Кыргыздардын жана Кыргызстандын байыркы замандан  тартып азыркы күнгө чейинки тарыхын изилдөө; изилдөө проблемалары, Кыргызстандын маданий мурасын пайдалануу. Кыргыз Республикасынын рыноктук институттарынын өнүктүрүүнүн жана өркүндөтүү проблемаларынын өзгөчөлүгү </t>
  </si>
  <si>
    <t>Мыйзамдарга, ченемдик укуктук актыларга мамлекеттик экспертиза жүргүзүү</t>
  </si>
  <si>
    <t>6           11</t>
  </si>
  <si>
    <t>2              5</t>
  </si>
  <si>
    <t>2                 2</t>
  </si>
  <si>
    <t>2                   2</t>
  </si>
  <si>
    <t>2                      2</t>
  </si>
  <si>
    <t>Илимдин методология маселелерин изилдөө жана тоолуу райондордо социалдык изилдөөлөрдү жүргүзүү.  Гумманитардык изилдөөнү өнүктүрүү</t>
  </si>
  <si>
    <t xml:space="preserve">"КРдеги этнос аралык кагылыштар: социологиялык талдоо", "Кыргызстандын экономикасы : жаратылыш ресурстарын рационалдуу пайдалануу көйгөйлөрү" темасында чыгарылган иштердин саны </t>
  </si>
  <si>
    <t xml:space="preserve">Регионалдык тарыхый-философиялык,  этно-лингвистикалык жана социалдык-экономикалык проблемаларды изилдөө  </t>
  </si>
  <si>
    <t xml:space="preserve">Өткөрүлгөн илимий конференциялардын жана уюштуруулардын саны </t>
  </si>
  <si>
    <t>81. Кыргыз Республикасынын Президентинин жана Өкмөтүнүн Иш башкармасынын Клиникалык ооруканасы</t>
  </si>
  <si>
    <r>
      <t xml:space="preserve">Медициналык кызматтарды көрсөтүү          </t>
    </r>
    <r>
      <rPr>
        <i/>
        <sz val="11"/>
        <color indexed="8"/>
        <rFont val="Times New Roman"/>
        <family val="1"/>
        <charset val="204"/>
      </rPr>
      <t xml:space="preserve">максаты: Көрсөтүлүүчү медициналык кызматтардын сапатын жакшыртуу </t>
    </r>
  </si>
  <si>
    <t>натыйжалуулук индикаторлору (программа боюнча максаттуу индикатор)</t>
  </si>
  <si>
    <t>Медициналык кызматтарды көрсөтүү  системасын оптималдаштыруу жана Клиникалык оорукана тарабынан көрсөтүлүүчү кызматтардын сапатын жогорулатуу.</t>
  </si>
  <si>
    <t xml:space="preserve">Дарыланган бейтаптардын саны </t>
  </si>
  <si>
    <t>82. Кыйноолорду жана башка катаал, адамкерчиликсиз же кадыр-баркты басмырлаган мамиленин жана жазанын түрлөрүнүн алдын алуу боюнча Кыргыз Республикасынын Улуттук борбору</t>
  </si>
  <si>
    <t>Министрликтерди/ведомств.-ду жалпыга маалымдоо каражаттарында оң  мааниде эскерүүлөрдүн саны</t>
  </si>
  <si>
    <t xml:space="preserve">Жалпы мониторингдин натыйжаларынын санынан расмий ички документтерде аткарууга кабыл алынган мониторингдин натыйжаларынын үлүшү </t>
  </si>
  <si>
    <t>Региондордо өткөрүлгөн алдын алуу баруулардын санынын борбордук аппаратта алдын алуу баруулардын санына болгон пайыздык катышы</t>
  </si>
  <si>
    <r>
      <t xml:space="preserve">Кыйноолорду жана катаал мамилени эркиндигинен ажыратуу жана чектоо жайларында алдын алуу.
</t>
    </r>
    <r>
      <rPr>
        <i/>
        <sz val="11"/>
        <color indexed="8"/>
        <rFont val="Times New Roman"/>
        <family val="1"/>
        <charset val="204"/>
      </rPr>
      <t>Максаты:Кыйноолорду жана катаал мамилени, алардын эркиндигинен ажыратуу жана чектөө жайларында, балдар үйүндө  жана психо-неврологиялык диспансерлерде колдонулушунун коркунучун түп тамыры менен жок кылуу</t>
    </r>
  </si>
  <si>
    <t>Эркиндигинен ажыратуу жана чектөө жайларында, балдар үйүндө жана психоневрологиялык диспансерлерде кыйноолордун жана катаал мамиленин фактыларынын азайуу динамикасы (көбөйүшү)</t>
  </si>
  <si>
    <t>Кыйноого жана катаал мамилеге коомчулукта сабырсыздыкты пайда кылуу</t>
  </si>
  <si>
    <t>Өткөрүлгөн иш-чаралардын саны, (тегерек стол, үйрөтүү, тренинг).</t>
  </si>
  <si>
    <t>Эркиндигинен ажыратуу жана чектөө жайларында мыйзамдуу укуктарын камсыз кылуу</t>
  </si>
  <si>
    <t xml:space="preserve">Башка мамлекеттик органдар тарабынан ишке ашырылууга кабыл алынган,  кыйноолорду түп тамырынан бери жок кылуу жана кармоо шарттарынжакшыртуу боюнча Улуттук борбор тарабынан иштелип чыккан сунуштамалардын саны  </t>
  </si>
  <si>
    <t xml:space="preserve">Эркиндигинен ажыратуу жана чектөө жайларында, балдар үйүндө жана психоневрологиялык диспансерлерде кармоо шарттарын жакшыртууга көмөк көрсөтүү    </t>
  </si>
  <si>
    <t>Эркиндигинен ажыратуу жана чектөө жайларында, балдар үйүндө жана психоневрологиялык диспансерлерде кармоо шарттары оң жака өзгөрүшү менен канааттануу.</t>
  </si>
  <si>
    <t>Эркиндигинен ажыратуу жана чектөө жайларында, балдар үйүндө жана психоневрологиялык диспансерде алдын алуу баруулардын үзгүлтүксүз өткөрүлүшүн камсыз кылуу.</t>
  </si>
  <si>
    <t>Республика боюнча түшкөн билдирүүлөр жана арыздар боюнча алдын алуу баруулардын жалпы саны</t>
  </si>
  <si>
    <t>Алардын ичинен Улуттук борбордун ар жылдык планына ылайык алдын алуу баруулардын саны.</t>
  </si>
  <si>
    <t xml:space="preserve">Кыргыз Республикасы тарабынан кыйноолорду жана катаал мамиленин түп тамыры менен жок кылуу боюнча Эл аралык ковенциянын талаптарынын аткарылышына мониторинг жана талдоо жүргүзүү. </t>
  </si>
  <si>
    <t>Кыйноолордун алдын алуу жаатында эл аралык келишимдердин  талаптарын аткаруу пайызы.</t>
  </si>
  <si>
    <t xml:space="preserve">83. Кыргыз Республикасынын Өкмөтүнө караштуу Отун-энергетикалык комплексин жөнгө салуу боюнча мамлекеттик агенттик </t>
  </si>
  <si>
    <r>
      <t>Энергетика секторун өнүктүрүү үчүн экономикалык өбөлгөлөрдү түзүү.</t>
    </r>
    <r>
      <rPr>
        <i/>
        <sz val="11"/>
        <color theme="1"/>
        <rFont val="Times New Roman"/>
        <family val="1"/>
        <charset val="204"/>
      </rPr>
      <t xml:space="preserve">
Программанын максаты - ОЭК тармагында иш жүргүзүшкөн чарба жүргүзүүчү субъекттердин экономикалык натыйжалуулугун жогорулатууга жана ишенимдүү иштөөлөрүнө шарттарды түзүү</t>
    </r>
  </si>
  <si>
    <t>Энергетика секторун тарифтик жөнгө салуу</t>
  </si>
  <si>
    <t>Энергетика секторунда тарифтерди белгилөө</t>
  </si>
  <si>
    <t>ОЭК чөйрөсүндө мыйзамдуулуктун сакталышын контролдонуу ишке ашыруу</t>
  </si>
  <si>
    <t xml:space="preserve">Аныкталган бузуулар боюнча чегерүүлөрдүн суммасы  </t>
  </si>
  <si>
    <t>84. "Эркин Тоо" гезитинин редакциясы</t>
  </si>
  <si>
    <t xml:space="preserve">"Эркин- Тоо" гезитин басып чыгаруу </t>
  </si>
  <si>
    <t xml:space="preserve">Кыргыз Республикасынын Өкмөтүнүн, Президентинин, Жогорку Кеңешинин ченемдик укуктук актыларын "Эркин-Тоо" гезитине жарыялоо </t>
  </si>
  <si>
    <t xml:space="preserve">Өз учурунда жарыяланган ченемдик укуктук актылардын үлүшү </t>
  </si>
  <si>
    <t xml:space="preserve">85. Кыргыз Республикасынын Телерадиоберүү компаниялары </t>
  </si>
  <si>
    <t xml:space="preserve">Кыргыз Республикасынын Коомдук телерадиоберүү корпорациясы </t>
  </si>
  <si>
    <t>Бардык программалар боюнча  эмгек акы  жалпы чыгашасына карата 001 программа боюнча эмгек акыга чыгымдардын катышы</t>
  </si>
  <si>
    <t>4/7</t>
  </si>
  <si>
    <t>3/5</t>
  </si>
  <si>
    <t>3/4</t>
  </si>
  <si>
    <t>2/3</t>
  </si>
  <si>
    <r>
      <t xml:space="preserve">Телепрограммаларды коордациялоо, түзүү жана жайылтуу 
</t>
    </r>
    <r>
      <rPr>
        <i/>
        <sz val="11"/>
        <color indexed="8"/>
        <rFont val="Times New Roman"/>
        <family val="1"/>
        <charset val="204"/>
      </rPr>
      <t xml:space="preserve">Программанын максаты: ТБ боюнча сапаттуу жана жеткиликтүү маалыматтарды алуу </t>
    </r>
  </si>
  <si>
    <t>Натыйжалуулук индикатору (Программа боюнча максаттуу индикатор)</t>
  </si>
  <si>
    <t>Техникалык контроону камсыз кылуу</t>
  </si>
  <si>
    <t>Берүү объектисинин сапатын контролдоо</t>
  </si>
  <si>
    <t>Маалыматтык-аналитикалык, социалдык, экономикалык программалар</t>
  </si>
  <si>
    <t>изилдөөнүн бардык көрсөткүчтөрү боюнча  рейтинг</t>
  </si>
  <si>
    <t>2/10</t>
  </si>
  <si>
    <t xml:space="preserve">Балдар, маданий-оюн-зоок программалары </t>
  </si>
  <si>
    <t>Изилдөөнүн бардык көрсөткүчтөрү боюнча  рейтинг</t>
  </si>
  <si>
    <t>3/10</t>
  </si>
  <si>
    <t>4/10</t>
  </si>
  <si>
    <t>ТВ программаларынын дирекциясы</t>
  </si>
  <si>
    <t>Берүү көлөмү</t>
  </si>
  <si>
    <t>саат</t>
  </si>
  <si>
    <t>49275</t>
  </si>
  <si>
    <t xml:space="preserve">Телепрограмаларды бүткүл республика боюнча жайылтуу </t>
  </si>
  <si>
    <t>Калкты камтуу</t>
  </si>
  <si>
    <t>Телепрограммаларды техникалык камсыздоо</t>
  </si>
  <si>
    <t>Көрсөтүлүүчү техникалык кызматтын сапаты</t>
  </si>
  <si>
    <r>
      <t xml:space="preserve">Радиопрограммаларды программалаштыруу, түзүү жана жайылтуу 
</t>
    </r>
    <r>
      <rPr>
        <i/>
        <sz val="11"/>
        <rFont val="Times New Roman"/>
        <family val="1"/>
        <charset val="204"/>
      </rPr>
      <t xml:space="preserve">Программанын максаты: ТБ боюнча сапаттуу жана жеткиликтүү маалыматтарды алуу </t>
    </r>
  </si>
  <si>
    <t>Маалыматтык-аналитикалык программа</t>
  </si>
  <si>
    <t>1/15</t>
  </si>
  <si>
    <t>1/10</t>
  </si>
  <si>
    <t>2/15</t>
  </si>
  <si>
    <t xml:space="preserve">Радиопрограммаларды чыгарууну техникалык контролдоону камсыз кылуу </t>
  </si>
  <si>
    <t>Радиопрограммаларды чыгарууну программалаштыруу</t>
  </si>
  <si>
    <t>21900</t>
  </si>
  <si>
    <t>26280</t>
  </si>
  <si>
    <t>Радиопрограммаларды техникалык камсыз кылуу</t>
  </si>
  <si>
    <r>
      <t xml:space="preserve">Телевизиондук тасмаларды чыгаруу                                         
</t>
    </r>
    <r>
      <rPr>
        <i/>
        <sz val="11"/>
        <rFont val="Times New Roman"/>
        <family val="1"/>
        <charset val="204"/>
      </rPr>
      <t>Программанын максаты: Көрүүчүлөрдүн маалымдуулугу, пропагандалоо</t>
    </r>
  </si>
  <si>
    <t>Кино-видео продукцияларын прокатка берүү</t>
  </si>
  <si>
    <t xml:space="preserve">Көркөм, хроникалык-документалдык телетасмаларды тартуу </t>
  </si>
  <si>
    <t>Фильмдердин, телекөрсөтүүлөрдүн саны</t>
  </si>
  <si>
    <t xml:space="preserve">Кыргыз Республикасынын  Мамлекеттик  ЭлТР телерадиоберүү  компаниясы        </t>
  </si>
  <si>
    <r>
      <t xml:space="preserve">Кыргыз Республикасынын аймагында жана анын чегинен тышкары  телеберүү түзүү жана жайылтуу 
</t>
    </r>
    <r>
      <rPr>
        <i/>
        <sz val="11"/>
        <rFont val="Times New Roman"/>
        <family val="1"/>
        <charset val="204"/>
      </rPr>
      <t xml:space="preserve">Программанын максаты: Телеберүүлөрдү  чыгаруу жана аларды эфирге берүү жолу менен маалыматтык - агартуучу кызматтарды көрсөтүү </t>
    </r>
  </si>
  <si>
    <t xml:space="preserve">Натыйжалуулук индикатору: калктын жалпы санынан телеберүү менен камсыздалган калктын  % </t>
  </si>
  <si>
    <t xml:space="preserve">Телепрограммаларды өндүрүү жана эфирге чыгаруу </t>
  </si>
  <si>
    <t>Телепрограммалардын рейтинги</t>
  </si>
  <si>
    <t xml:space="preserve">Телеберүүлөрдү  техникалык камсыздоо </t>
  </si>
  <si>
    <t xml:space="preserve">ТБ менен камтылган Кыргыз Республикасынын аймагынын салыштырма салмагы </t>
  </si>
  <si>
    <r>
      <t xml:space="preserve">Кыргыз Республикасынын аймагында жана анын чегинен тышкары радиоберүү түзүү жана жайылтуу 
</t>
    </r>
    <r>
      <rPr>
        <i/>
        <sz val="11"/>
        <rFont val="Times New Roman"/>
        <family val="1"/>
        <charset val="204"/>
      </rPr>
      <t xml:space="preserve">Программанын максаты: Радиоберүүлөрдү  чыгаруу жана аларды радио эфирге берүү жолу менен маалыматтык - агартуучу кызматтарды көрсөтүү </t>
    </r>
  </si>
  <si>
    <t xml:space="preserve">Натыйжалуулук индикатору: калктын жалпы санынан радиоберүү менен камсыздалган калктын  % </t>
  </si>
  <si>
    <t xml:space="preserve">Радиопрограммаларды өндүрүү жана эфирге чыгаруу </t>
  </si>
  <si>
    <t>Радио программалардын рейтинги</t>
  </si>
  <si>
    <t xml:space="preserve">Кыргыз Республикасында "МИР" мамлекет аралык телерадиоберүү компаниясынын улуттук филиалы </t>
  </si>
  <si>
    <t>КР калкын  ТВ жана РВ берүү менен камтуу</t>
  </si>
  <si>
    <t>Кадрлардын эсеби, иш кагаздарын жүргүзүү</t>
  </si>
  <si>
    <t>Компанияны юридикалык тейлөө, келишимдерди даярдоо</t>
  </si>
  <si>
    <t>Поддержание внешних связей и связей с общественностью</t>
  </si>
  <si>
    <t>Телевизиондук жана радио программаларды чыгаруу жана аларды жайылтуу</t>
  </si>
  <si>
    <t xml:space="preserve">"Мир" МТРКсынын консолидацияланган эфиринде ТБ жана РБ филиалдары тарабынан түзүлгөн программалардын жалпы саны </t>
  </si>
  <si>
    <t>541с06м20</t>
  </si>
  <si>
    <t>ТБ программаларды түзүү жана жайылтуу</t>
  </si>
  <si>
    <t>"Мир" МТРК үчүн ТБ филиалы тарабынан  түзүлгөн программалардын хронометражы.</t>
  </si>
  <si>
    <t>41с46м20с</t>
  </si>
  <si>
    <t>РБ программаларын түзүү жана жайылтуу</t>
  </si>
  <si>
    <t>"Мир" МТРК үчүн РБ филиалы тарабынан  түзүлгөн программалардын хронометражы.</t>
  </si>
  <si>
    <t>501с</t>
  </si>
  <si>
    <t xml:space="preserve">ТБ и РБ программаларын техникалык камсыз кылуу жана </t>
  </si>
  <si>
    <t>КР калкын теле жана радио берүү менен камтуу</t>
  </si>
  <si>
    <t>98</t>
  </si>
  <si>
    <t>86. Кыргыз Республикасынын Өкмөтүнө караштуу Мамлекеттик соттук-эксперттик кызматы</t>
  </si>
  <si>
    <r>
      <t xml:space="preserve">Пландоо, башкаруу жана администрациялоо 
</t>
    </r>
    <r>
      <rPr>
        <i/>
        <sz val="11"/>
        <rFont val="Times New Roman"/>
        <family val="1"/>
        <charset val="204"/>
      </rPr>
      <t xml:space="preserve">Программанын максаты: Соттук-эксперттик ишти координациялоо </t>
    </r>
  </si>
  <si>
    <r>
      <t xml:space="preserve">Соттук эксперттик иштерди ишке ашыруу 
</t>
    </r>
    <r>
      <rPr>
        <i/>
        <sz val="11"/>
        <color indexed="8"/>
        <rFont val="Times New Roman"/>
        <family val="1"/>
        <charset val="204"/>
      </rPr>
      <t xml:space="preserve">Программанын максаты: Соттук экспертизаларды жүргүзүү </t>
    </r>
  </si>
  <si>
    <t xml:space="preserve">Жүргүзүлгөн соттук экспертизалардын сапатын жогорулатуу </t>
  </si>
  <si>
    <t xml:space="preserve">Соттук экспертизалоону ишке ашыруу </t>
  </si>
  <si>
    <t>Жүргүзүлгөн соттук экспертизалардын саны</t>
  </si>
  <si>
    <t>сан</t>
  </si>
  <si>
    <t>87.   Кыргызтест мамлекеттик мекемеси</t>
  </si>
  <si>
    <t>Өз убагында камсыздоо пайызы</t>
  </si>
  <si>
    <t xml:space="preserve">Мамлекеттик, расмий жана эл аралык тилдерди билүү деңгээлин аныктоо боюнча бирдиктүү өлчөө инструменти катары Кыргыз Республикасында Кыргызтест системасын түзүү жана ишке киргизүү </t>
  </si>
  <si>
    <t xml:space="preserve">Программанын максаты: Мамлекеттик, расмий жана эл аралык тилдерди билүү деңгээлин баалоонун бирдиктүү системасын түзүү  </t>
  </si>
  <si>
    <t xml:space="preserve">Республика боюнча тестирлөөнү жүргүзүү  </t>
  </si>
  <si>
    <t xml:space="preserve">Тесттен өткөрүлгөндөрдүн саны </t>
  </si>
  <si>
    <t>Расмий тилди билүү деңгээлин баалоо боюнча ченемдик-методикалык документтерди иштеп чыгуу жана басып чыгаруу (А2)/Расмий тилди билүү деңгээлин баалоо боюнча ченемдик-методикалык документтерди иштеп чыгуу жана басып чыгаруу (А1 - В2)</t>
  </si>
  <si>
    <t xml:space="preserve">Нусканын саны </t>
  </si>
  <si>
    <t xml:space="preserve"> Мамлекеттик жана расмий тил боюнча тесттик тапшырмаларды жана экспертизаны иштеп чыгуу </t>
  </si>
  <si>
    <t xml:space="preserve">Тесттик тапшырмалардын саны </t>
  </si>
  <si>
    <t>Мамлекеттик тил боюнча электрондук окуу китебин иштеп чыгуу   (А2)/Мамлекеттик тил боюнча электрондук окуу китебин иштеп чыгуу (А1- В1)</t>
  </si>
  <si>
    <t>Окуу китептердин аталышынын саны</t>
  </si>
  <si>
    <t xml:space="preserve">эл аралык адистерди тартуу аркылуу тесттик тапшырмаларды иштеп чыгуучуларды жана эксперттерди окутуу/ Мамлекеттик жана расмий тилдерди билүүнү баалоонун жаңы методикасы боюнча"Кыргызтест"системасын программалык камсыздоону иштеп чыгуу  </t>
  </si>
  <si>
    <t xml:space="preserve">Окуу китебинин биринчи бөлүгүн иштеп чыгуу (аяктоо пайызы) </t>
  </si>
  <si>
    <t xml:space="preserve">Мамлекеттик, расмий тилдерди билүүнү тестирлөө үчүн  интернет-ресурстарды колдонуу </t>
  </si>
  <si>
    <t>Дистанттык тестирлөө үчүн "Кыргызтест"  системасынын мобилдик тиркемесин техникалык колдоо жана өнүктүрүү /тестирлөө үчүн "Кыргызтест"  системасынын мобилдик тиркемесин түзүү</t>
  </si>
  <si>
    <t xml:space="preserve">1 вебпортал (аяктоо пайызы) </t>
  </si>
  <si>
    <t>88. "Манас" жана Ч. Айтматов Улуттук академиясы</t>
  </si>
  <si>
    <t xml:space="preserve">Ишти уюштуруу жана камсыз кылуу  кызматтары/Адам ресурстарын башкаруу </t>
  </si>
  <si>
    <r>
      <t xml:space="preserve">Ишкананын ишин уюштуруу жана пландоо                                                           </t>
    </r>
    <r>
      <rPr>
        <i/>
        <sz val="11"/>
        <color rgb="FF000000"/>
        <rFont val="Times New Roman"/>
        <family val="1"/>
        <charset val="204"/>
      </rPr>
      <t>Программанын максаты: Эпос "Манас" трилогиясын  сактоо жана  жалпыга кең бөлүштүрүү,ошондой эле   Кыргыз Республикасынын жазучуусу Чынгыз Айтматовтун маданий мурасын</t>
    </r>
  </si>
  <si>
    <t>Маданий иш-чараларды уюштуруу жана  өткөрүү, эл аралык симпозиумдарды,  Манас эпосунун жана Чынгыз Айтматов мурастары маселелери боюнча курултайлар. Манас  жана Айтматов таануу жаатындагы илимий материалдарды басып чыгаруу</t>
  </si>
  <si>
    <t>всего</t>
  </si>
  <si>
    <t>(программалар/чаралар боюнча) (миң сом)</t>
  </si>
  <si>
    <t>Код ЧА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</si>
</sst>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6">
    <numFmt numFmtId="44" formatCode="_-* #,##0.00&quot;р.&quot;_-;\-* #,##0.00&quot;р.&quot;_-;_-* &quot;-&quot;??&quot;р.&quot;_-;_-@_-"/>
    <numFmt numFmtId="43" formatCode="_-* #,##0.00_р_._-;\-* #,##0.00_р_._-;_-* &quot;-&quot;??_р_._-;_-@_-"/>
    <numFmt numFmtId="164" formatCode="_-* #,##0.00\ _₽_-;\-* #,##0.00\ _₽_-;_-* &quot;-&quot;??\ _₽_-;_-@_-"/>
    <numFmt numFmtId="165" formatCode="_(* #,##0.00_);_(* \(#,##0.00\);_(* &quot;-&quot;??_);_(@_)"/>
    <numFmt numFmtId="166" formatCode="0.0"/>
    <numFmt numFmtId="167" formatCode="#,##0.0"/>
    <numFmt numFmtId="168" formatCode="###,000__;\-###,000__"/>
    <numFmt numFmtId="169" formatCode="##,#00__;\-##,#00__"/>
    <numFmt numFmtId="170" formatCode="###,000;[Red]\-###,000"/>
    <numFmt numFmtId="171" formatCode="###,000__;[Red]\-###,000__"/>
    <numFmt numFmtId="172" formatCode="_-* #,##0.00\ _р_._-;\-* #,##0.00\ _р_._-;_-* &quot;-&quot;??\ _р_._-;_-@_-"/>
    <numFmt numFmtId="173" formatCode="_-* #,##0.0_р_._-;\-* #,##0.0_р_._-;_-* &quot;-&quot;??_р_._-;_-@_-"/>
    <numFmt numFmtId="174" formatCode="_-* #,##0.0\ _с_о_м_-;\-* #,##0.0\ _с_о_м_-;_-* &quot;-&quot;?\ _с_о_м_-;_-@_-"/>
    <numFmt numFmtId="175" formatCode="0.0%"/>
    <numFmt numFmtId="176" formatCode="#,##0_ ;\-#,##0\ "/>
    <numFmt numFmtId="177" formatCode="0.000"/>
    <numFmt numFmtId="178" formatCode="#,##0_ ;[Red]\-#,##0\ "/>
    <numFmt numFmtId="179" formatCode="_ * #,##0.00_ ;_ * \-#,##0.00_ ;_ * &quot;-&quot;??_ ;_ @_ "/>
    <numFmt numFmtId="180" formatCode="#,##0.00_ ;[Red]\-#,##0.00\ "/>
    <numFmt numFmtId="181" formatCode="000000"/>
    <numFmt numFmtId="182" formatCode="0.00;[Red]0.00"/>
    <numFmt numFmtId="183" formatCode="0;[Red]0"/>
    <numFmt numFmtId="184" formatCode="_-* #,##0.0_р_._-;\-* #,##0.0_р_._-;_-* &quot;-&quot;?_р_._-;_-@_-"/>
    <numFmt numFmtId="185" formatCode="_-* #,##0_р_._-;\-* #,##0_р_._-;_-* &quot;-&quot;??_р_._-;_-@_-"/>
    <numFmt numFmtId="186" formatCode="###,000.00__;\-###,000.00__"/>
    <numFmt numFmtId="187" formatCode="#,##0.0_ ;[Red]\-#,##0.0\ "/>
  </numFmts>
  <fonts count="61" x14ac:knownFonts="1">
    <font>
      <sz val="11"/>
      <color theme="1"/>
      <name val="Calibri"/>
      <family val="2"/>
      <charset val="204"/>
      <scheme val="minor"/>
    </font>
    <font>
      <sz val="11"/>
      <color theme="1"/>
      <name val="Calibri"/>
      <family val="2"/>
      <charset val="204"/>
      <scheme val="minor"/>
    </font>
    <font>
      <sz val="10"/>
      <color theme="1"/>
      <name val="Arial"/>
      <family val="2"/>
      <charset val="204"/>
    </font>
    <font>
      <sz val="10"/>
      <color indexed="8"/>
      <name val="Arial"/>
      <family val="2"/>
      <charset val="204"/>
    </font>
    <font>
      <sz val="12"/>
      <color theme="1"/>
      <name val="Times New Roman"/>
      <family val="1"/>
      <charset val="204"/>
    </font>
    <font>
      <sz val="10"/>
      <name val="Arial Cyr"/>
      <charset val="204"/>
    </font>
    <font>
      <sz val="10"/>
      <name val="Arial"/>
      <family val="2"/>
      <charset val="204"/>
    </font>
    <font>
      <sz val="10"/>
      <name val="Times New Roman Cyr"/>
      <charset val="204"/>
    </font>
    <font>
      <sz val="10"/>
      <name val="Times New Roman"/>
      <family val="1"/>
    </font>
    <font>
      <sz val="11"/>
      <color theme="1"/>
      <name val="Calibri"/>
      <family val="2"/>
      <scheme val="minor"/>
    </font>
    <font>
      <sz val="11"/>
      <color indexed="8"/>
      <name val="Calibri"/>
      <family val="2"/>
      <charset val="204"/>
    </font>
    <font>
      <sz val="11"/>
      <color indexed="9"/>
      <name val="Calibri"/>
      <family val="2"/>
      <charset val="204"/>
    </font>
    <font>
      <sz val="11"/>
      <color indexed="62"/>
      <name val="Calibri"/>
      <family val="2"/>
      <charset val="204"/>
    </font>
    <font>
      <b/>
      <sz val="11"/>
      <color indexed="63"/>
      <name val="Calibri"/>
      <family val="2"/>
      <charset val="204"/>
    </font>
    <font>
      <b/>
      <sz val="11"/>
      <color indexed="52"/>
      <name val="Calibri"/>
      <family val="2"/>
      <charset val="204"/>
    </font>
    <font>
      <b/>
      <sz val="11"/>
      <color indexed="8"/>
      <name val="Calibri"/>
      <family val="2"/>
      <charset val="204"/>
    </font>
    <font>
      <b/>
      <sz val="11"/>
      <color indexed="9"/>
      <name val="Calibri"/>
      <family val="2"/>
      <charset val="204"/>
    </font>
    <font>
      <sz val="11"/>
      <color indexed="60"/>
      <name val="Calibri"/>
      <family val="2"/>
      <charset val="204"/>
    </font>
    <font>
      <sz val="11"/>
      <color indexed="20"/>
      <name val="Calibri"/>
      <family val="2"/>
      <charset val="204"/>
    </font>
    <font>
      <i/>
      <sz val="11"/>
      <color indexed="23"/>
      <name val="Calibri"/>
      <family val="2"/>
      <charset val="204"/>
    </font>
    <font>
      <sz val="11"/>
      <color indexed="52"/>
      <name val="Calibri"/>
      <family val="2"/>
      <charset val="204"/>
    </font>
    <font>
      <sz val="11"/>
      <color indexed="10"/>
      <name val="Calibri"/>
      <family val="2"/>
      <charset val="204"/>
    </font>
    <font>
      <sz val="11"/>
      <color indexed="17"/>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b/>
      <sz val="18"/>
      <color indexed="56"/>
      <name val="Cambria"/>
      <family val="2"/>
      <charset val="204"/>
    </font>
    <font>
      <sz val="11"/>
      <color indexed="8"/>
      <name val="Calibri"/>
      <family val="2"/>
    </font>
    <font>
      <sz val="8"/>
      <name val="Arial"/>
      <family val="2"/>
      <charset val="1"/>
    </font>
    <font>
      <sz val="11"/>
      <name val="Times New Roman"/>
      <family val="1"/>
      <charset val="204"/>
    </font>
    <font>
      <b/>
      <sz val="11"/>
      <name val="Times New Roman"/>
      <family val="1"/>
      <charset val="204"/>
    </font>
    <font>
      <sz val="8"/>
      <name val="Arial"/>
      <family val="2"/>
      <charset val="204"/>
    </font>
    <font>
      <i/>
      <sz val="11"/>
      <name val="Times New Roman"/>
      <family val="1"/>
      <charset val="204"/>
    </font>
    <font>
      <b/>
      <sz val="11"/>
      <color theme="1"/>
      <name val="Times New Roman"/>
      <family val="1"/>
      <charset val="204"/>
    </font>
    <font>
      <sz val="11"/>
      <color theme="1"/>
      <name val="Times New Roman"/>
      <family val="1"/>
      <charset val="204"/>
    </font>
    <font>
      <sz val="11"/>
      <color rgb="FFFF0000"/>
      <name val="Times New Roman"/>
      <family val="1"/>
      <charset val="204"/>
    </font>
    <font>
      <i/>
      <sz val="11"/>
      <color theme="1"/>
      <name val="Times New Roman"/>
      <family val="1"/>
      <charset val="204"/>
    </font>
    <font>
      <b/>
      <sz val="11"/>
      <color indexed="8"/>
      <name val="Times New Roman"/>
      <family val="1"/>
      <charset val="204"/>
    </font>
    <font>
      <sz val="11"/>
      <color indexed="8"/>
      <name val="Times New Roman"/>
      <family val="1"/>
      <charset val="204"/>
    </font>
    <font>
      <i/>
      <sz val="11"/>
      <color indexed="8"/>
      <name val="Times New Roman"/>
      <family val="1"/>
      <charset val="204"/>
    </font>
    <font>
      <b/>
      <sz val="11"/>
      <color rgb="FFFF0000"/>
      <name val="Times New Roman"/>
      <family val="1"/>
      <charset val="204"/>
    </font>
    <font>
      <b/>
      <u/>
      <sz val="11"/>
      <color theme="1"/>
      <name val="Times New Roman"/>
      <family val="1"/>
      <charset val="204"/>
    </font>
    <font>
      <sz val="11"/>
      <color rgb="FF000000"/>
      <name val="Times New Roman"/>
      <family val="1"/>
      <charset val="204"/>
    </font>
    <font>
      <b/>
      <i/>
      <sz val="11"/>
      <name val="Times New Roman"/>
      <family val="1"/>
      <charset val="204"/>
    </font>
    <font>
      <b/>
      <sz val="11"/>
      <color rgb="FF000000"/>
      <name val="Times New Roman"/>
      <family val="1"/>
      <charset val="204"/>
    </font>
    <font>
      <b/>
      <i/>
      <sz val="11"/>
      <color indexed="8"/>
      <name val="Times New Roman"/>
      <family val="1"/>
      <charset val="204"/>
    </font>
    <font>
      <b/>
      <i/>
      <sz val="11"/>
      <color theme="1"/>
      <name val="Times New Roman"/>
      <family val="1"/>
      <charset val="204"/>
    </font>
    <font>
      <b/>
      <sz val="9"/>
      <color indexed="81"/>
      <name val="Tahoma"/>
      <family val="2"/>
      <charset val="204"/>
    </font>
    <font>
      <sz val="9"/>
      <color indexed="81"/>
      <name val="Tahoma"/>
      <family val="2"/>
      <charset val="204"/>
    </font>
    <font>
      <b/>
      <sz val="8"/>
      <color indexed="81"/>
      <name val="Tahoma"/>
      <family val="2"/>
      <charset val="204"/>
    </font>
    <font>
      <sz val="8"/>
      <color indexed="81"/>
      <name val="Tahoma"/>
      <family val="2"/>
      <charset val="204"/>
    </font>
    <font>
      <b/>
      <sz val="10"/>
      <color indexed="81"/>
      <name val="Tahoma"/>
      <family val="2"/>
      <charset val="204"/>
    </font>
    <font>
      <sz val="10"/>
      <color indexed="81"/>
      <name val="Tahoma"/>
      <family val="2"/>
      <charset val="204"/>
    </font>
    <font>
      <sz val="10"/>
      <color indexed="81"/>
      <name val="Arial"/>
      <family val="2"/>
      <charset val="204"/>
    </font>
    <font>
      <b/>
      <sz val="11"/>
      <color indexed="81"/>
      <name val="Tahoma"/>
      <family val="2"/>
      <charset val="204"/>
    </font>
    <font>
      <sz val="11"/>
      <color indexed="81"/>
      <name val="Tahoma"/>
      <family val="2"/>
      <charset val="204"/>
    </font>
    <font>
      <b/>
      <sz val="12"/>
      <color indexed="81"/>
      <name val="Tahoma"/>
      <family val="2"/>
      <charset val="204"/>
    </font>
    <font>
      <sz val="12"/>
      <color indexed="81"/>
      <name val="Tahoma"/>
      <family val="2"/>
      <charset val="204"/>
    </font>
    <font>
      <b/>
      <sz val="11"/>
      <color theme="1"/>
      <name val="Calibri"/>
      <family val="2"/>
      <charset val="204"/>
      <scheme val="minor"/>
    </font>
    <font>
      <sz val="11"/>
      <color indexed="63"/>
      <name val="Times New Roman"/>
      <family val="1"/>
      <charset val="204"/>
    </font>
    <font>
      <i/>
      <sz val="11"/>
      <color rgb="FF000000"/>
      <name val="Times New Roman"/>
      <family val="1"/>
      <charset val="204"/>
    </font>
  </fonts>
  <fills count="34">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indexed="47"/>
      </patternFill>
    </fill>
    <fill>
      <patternFill patternType="solid">
        <fgColor indexed="26"/>
      </patternFill>
    </fill>
    <fill>
      <patternFill patternType="solid">
        <fgColor indexed="22"/>
      </patternFill>
    </fill>
    <fill>
      <patternFill patternType="solid">
        <fgColor indexed="43"/>
      </patternFill>
    </fill>
    <fill>
      <patternFill patternType="solid">
        <fgColor indexed="49"/>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9"/>
        <bgColor indexed="64"/>
      </patternFill>
    </fill>
    <fill>
      <patternFill patternType="solid">
        <fgColor theme="0" tint="-0.249977111117893"/>
        <bgColor indexed="64"/>
      </patternFill>
    </fill>
    <fill>
      <patternFill patternType="solid">
        <fgColor rgb="FFFFFFFF"/>
      </patternFill>
    </fill>
    <fill>
      <patternFill patternType="solid">
        <fgColor rgb="FFFFFFFF"/>
        <bgColor indexed="64"/>
      </patternFill>
    </fill>
    <fill>
      <patternFill patternType="solid">
        <fgColor theme="0" tint="-0.14999847407452621"/>
        <bgColor indexed="64"/>
      </patternFill>
    </fill>
    <fill>
      <patternFill patternType="solid">
        <fgColor indexed="13"/>
        <bgColor indexed="64"/>
      </patternFill>
    </fill>
    <fill>
      <patternFill patternType="solid">
        <fgColor indexed="40"/>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right/>
      <top style="thin">
        <color indexed="64"/>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66">
    <xf numFmtId="0" fontId="0" fillId="0" borderId="0"/>
    <xf numFmtId="43" fontId="1" fillId="0" borderId="0" applyFont="0" applyFill="0" applyBorder="0" applyAlignment="0" applyProtection="0"/>
    <xf numFmtId="0" fontId="2" fillId="0" borderId="0"/>
    <xf numFmtId="0" fontId="3" fillId="0" borderId="0"/>
    <xf numFmtId="0" fontId="1" fillId="0" borderId="0"/>
    <xf numFmtId="0" fontId="5" fillId="0" borderId="0"/>
    <xf numFmtId="0" fontId="2" fillId="0" borderId="0"/>
    <xf numFmtId="43" fontId="2" fillId="0" borderId="0" applyFont="0" applyFill="0" applyBorder="0" applyAlignment="0" applyProtection="0"/>
    <xf numFmtId="0" fontId="7" fillId="0" borderId="0"/>
    <xf numFmtId="167" fontId="8" fillId="0" borderId="0"/>
    <xf numFmtId="9" fontId="5" fillId="0" borderId="0" applyFont="0" applyFill="0" applyBorder="0" applyAlignment="0" applyProtection="0"/>
    <xf numFmtId="9" fontId="6" fillId="0" borderId="0" applyFont="0" applyFill="0" applyBorder="0" applyAlignment="0" applyProtection="0"/>
    <xf numFmtId="43" fontId="5" fillId="0" borderId="0" applyFont="0" applyFill="0" applyBorder="0" applyAlignment="0" applyProtection="0"/>
    <xf numFmtId="0" fontId="9" fillId="0" borderId="0"/>
    <xf numFmtId="0" fontId="7" fillId="0" borderId="0"/>
    <xf numFmtId="44" fontId="2" fillId="0" borderId="0" applyFont="0" applyFill="0" applyBorder="0" applyAlignment="0" applyProtection="0"/>
    <xf numFmtId="9" fontId="2" fillId="0" borderId="0" applyFont="0" applyFill="0" applyBorder="0" applyAlignment="0" applyProtection="0"/>
    <xf numFmtId="0" fontId="9" fillId="0" borderId="0"/>
    <xf numFmtId="0" fontId="5"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0" fillId="0" borderId="0" applyFont="0" applyFill="0" applyBorder="0" applyAlignment="0" applyProtection="0"/>
    <xf numFmtId="9" fontId="5" fillId="0" borderId="0" applyFont="0" applyFill="0" applyBorder="0" applyAlignment="0" applyProtection="0"/>
    <xf numFmtId="43" fontId="10"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4" fillId="0" borderId="11">
      <alignment vertical="center" wrapText="1"/>
    </xf>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5"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3"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1" fillId="19"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20" borderId="0" applyNumberFormat="0" applyBorder="0" applyAlignment="0" applyProtection="0"/>
    <xf numFmtId="0" fontId="11" fillId="9"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0" borderId="0" applyNumberFormat="0" applyBorder="0" applyAlignment="0" applyProtection="0"/>
    <xf numFmtId="0" fontId="11" fillId="9" borderId="0" applyNumberFormat="0" applyBorder="0" applyAlignment="0" applyProtection="0"/>
    <xf numFmtId="0" fontId="11" fillId="25" borderId="0" applyNumberFormat="0" applyBorder="0" applyAlignment="0" applyProtection="0"/>
    <xf numFmtId="0" fontId="18" fillId="11" borderId="0" applyNumberFormat="0" applyBorder="0" applyAlignment="0" applyProtection="0"/>
    <xf numFmtId="0" fontId="14" fillId="7" borderId="14" applyNumberFormat="0" applyAlignment="0" applyProtection="0"/>
    <xf numFmtId="0" fontId="16" fillId="26" borderId="15" applyNumberFormat="0" applyAlignment="0" applyProtection="0"/>
    <xf numFmtId="0" fontId="19" fillId="0" borderId="0" applyNumberFormat="0" applyFill="0" applyBorder="0" applyAlignment="0" applyProtection="0"/>
    <xf numFmtId="0" fontId="22" fillId="12" borderId="0" applyNumberFormat="0" applyBorder="0" applyAlignment="0" applyProtection="0"/>
    <xf numFmtId="0" fontId="23" fillId="0" borderId="16" applyNumberFormat="0" applyFill="0" applyAlignment="0" applyProtection="0"/>
    <xf numFmtId="0" fontId="24" fillId="0" borderId="17" applyNumberFormat="0" applyFill="0" applyAlignment="0" applyProtection="0"/>
    <xf numFmtId="0" fontId="25" fillId="0" borderId="18" applyNumberFormat="0" applyFill="0" applyAlignment="0" applyProtection="0"/>
    <xf numFmtId="0" fontId="25" fillId="0" borderId="0" applyNumberFormat="0" applyFill="0" applyBorder="0" applyAlignment="0" applyProtection="0"/>
    <xf numFmtId="0" fontId="12" fillId="5" borderId="14" applyNumberFormat="0" applyAlignment="0" applyProtection="0"/>
    <xf numFmtId="0" fontId="20" fillId="0" borderId="19" applyNumberFormat="0" applyFill="0" applyAlignment="0" applyProtection="0"/>
    <xf numFmtId="0" fontId="17" fillId="8" borderId="0" applyNumberFormat="0" applyBorder="0" applyAlignment="0" applyProtection="0"/>
    <xf numFmtId="0" fontId="3" fillId="6" borderId="20" applyNumberFormat="0" applyFont="0" applyAlignment="0" applyProtection="0"/>
    <xf numFmtId="0" fontId="13" fillId="7" borderId="21" applyNumberFormat="0" applyAlignment="0" applyProtection="0"/>
    <xf numFmtId="0" fontId="26" fillId="0" borderId="0" applyNumberFormat="0" applyFill="0" applyBorder="0" applyAlignment="0" applyProtection="0"/>
    <xf numFmtId="0" fontId="15" fillId="0" borderId="22" applyNumberFormat="0" applyFill="0" applyAlignment="0" applyProtection="0"/>
    <xf numFmtId="0" fontId="21" fillId="0" borderId="0" applyNumberFormat="0" applyFill="0" applyBorder="0" applyAlignment="0" applyProtection="0"/>
    <xf numFmtId="0" fontId="3" fillId="0" borderId="0"/>
    <xf numFmtId="0" fontId="2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0" fontId="28" fillId="0" borderId="0"/>
    <xf numFmtId="0" fontId="28" fillId="0" borderId="0"/>
    <xf numFmtId="9" fontId="1" fillId="0" borderId="0" applyFont="0" applyFill="0" applyBorder="0" applyAlignment="0" applyProtection="0"/>
    <xf numFmtId="43" fontId="1" fillId="0" borderId="0" applyFont="0" applyFill="0" applyBorder="0" applyAlignment="0" applyProtection="0"/>
    <xf numFmtId="0" fontId="28" fillId="0" borderId="0"/>
    <xf numFmtId="172" fontId="10" fillId="0" borderId="0" applyFont="0" applyFill="0" applyBorder="0" applyAlignment="0" applyProtection="0"/>
    <xf numFmtId="0" fontId="31" fillId="0" borderId="0"/>
    <xf numFmtId="43" fontId="31" fillId="0" borderId="0" applyFont="0" applyFill="0" applyBorder="0" applyAlignment="0" applyProtection="0"/>
    <xf numFmtId="0" fontId="7" fillId="0" borderId="0"/>
    <xf numFmtId="43" fontId="7" fillId="0" borderId="0" applyFont="0" applyFill="0" applyBorder="0" applyAlignment="0" applyProtection="0"/>
    <xf numFmtId="0" fontId="1" fillId="0" borderId="0"/>
    <xf numFmtId="164" fontId="1" fillId="0" borderId="0" applyFont="0" applyFill="0" applyBorder="0" applyAlignment="0" applyProtection="0"/>
    <xf numFmtId="164" fontId="9" fillId="0" borderId="0" applyFont="0" applyFill="0" applyBorder="0" applyAlignment="0" applyProtection="0"/>
    <xf numFmtId="164" fontId="2" fillId="0" borderId="0" applyFont="0" applyFill="0" applyBorder="0" applyAlignment="0" applyProtection="0"/>
    <xf numFmtId="0" fontId="2" fillId="0" borderId="0"/>
    <xf numFmtId="0" fontId="1" fillId="0" borderId="0"/>
    <xf numFmtId="43" fontId="1" fillId="0" borderId="0" applyFont="0" applyFill="0" applyBorder="0" applyAlignment="0" applyProtection="0"/>
    <xf numFmtId="0" fontId="31" fillId="0" borderId="0"/>
    <xf numFmtId="0" fontId="6" fillId="0" borderId="0"/>
    <xf numFmtId="0" fontId="6" fillId="0" borderId="0"/>
    <xf numFmtId="0" fontId="10" fillId="0" borderId="0"/>
    <xf numFmtId="0" fontId="1" fillId="0" borderId="0"/>
    <xf numFmtId="0" fontId="1" fillId="0" borderId="0">
      <alignment vertical="center"/>
    </xf>
    <xf numFmtId="0" fontId="1" fillId="0" borderId="0">
      <alignment vertical="center"/>
    </xf>
    <xf numFmtId="179" fontId="10" fillId="0" borderId="0" applyFont="0" applyFill="0" applyBorder="0" applyAlignment="0" applyProtection="0">
      <alignment vertical="center"/>
    </xf>
    <xf numFmtId="0" fontId="6" fillId="0" borderId="0"/>
    <xf numFmtId="9" fontId="1" fillId="0" borderId="0" applyFont="0" applyFill="0" applyBorder="0" applyAlignment="0" applyProtection="0"/>
    <xf numFmtId="0" fontId="3" fillId="0" borderId="0"/>
    <xf numFmtId="0" fontId="2" fillId="0" borderId="0"/>
  </cellStyleXfs>
  <cellXfs count="2473">
    <xf numFmtId="0" fontId="0" fillId="0" borderId="0" xfId="0"/>
    <xf numFmtId="168" fontId="30" fillId="0" borderId="0" xfId="0" applyNumberFormat="1" applyFont="1" applyAlignment="1">
      <alignment horizontal="center" vertical="center" wrapText="1"/>
    </xf>
    <xf numFmtId="0" fontId="30" fillId="0" borderId="0" xfId="0" applyFont="1" applyAlignment="1">
      <alignment wrapText="1"/>
    </xf>
    <xf numFmtId="0" fontId="30" fillId="0" borderId="0" xfId="0" applyFont="1" applyAlignment="1">
      <alignment horizontal="left" vertical="center" wrapText="1"/>
    </xf>
    <xf numFmtId="171" fontId="29" fillId="0" borderId="0" xfId="0" applyNumberFormat="1" applyFont="1" applyAlignment="1">
      <alignment horizontal="center"/>
    </xf>
    <xf numFmtId="169" fontId="29" fillId="0" borderId="0" xfId="0" applyNumberFormat="1" applyFont="1" applyAlignment="1">
      <alignment horizontal="left" vertical="center" wrapText="1"/>
    </xf>
    <xf numFmtId="0" fontId="29" fillId="0" borderId="0" xfId="0" applyFont="1" applyAlignment="1">
      <alignment horizontal="center" vertical="center"/>
    </xf>
    <xf numFmtId="0" fontId="29" fillId="3" borderId="1" xfId="0" applyFont="1" applyFill="1" applyBorder="1" applyAlignment="1">
      <alignment horizontal="left" vertical="center"/>
    </xf>
    <xf numFmtId="167" fontId="30" fillId="3" borderId="1" xfId="0" applyNumberFormat="1" applyFont="1" applyFill="1" applyBorder="1" applyAlignment="1">
      <alignment horizontal="center" vertical="center"/>
    </xf>
    <xf numFmtId="0" fontId="29" fillId="0" borderId="0" xfId="0" applyFont="1" applyBorder="1" applyAlignment="1">
      <alignment horizontal="center" vertical="center"/>
    </xf>
    <xf numFmtId="0" fontId="29" fillId="0" borderId="0" xfId="0" applyFont="1"/>
    <xf numFmtId="0" fontId="29" fillId="0" borderId="0" xfId="0" applyFont="1" applyFill="1"/>
    <xf numFmtId="167" fontId="29" fillId="0" borderId="0" xfId="1" applyNumberFormat="1" applyFont="1" applyAlignment="1">
      <alignment horizontal="center" vertical="center"/>
    </xf>
    <xf numFmtId="0" fontId="29" fillId="0" borderId="0" xfId="0" applyFont="1" applyBorder="1" applyAlignment="1">
      <alignment horizontal="right" vertical="center"/>
    </xf>
    <xf numFmtId="168" fontId="30" fillId="2" borderId="0" xfId="0" applyNumberFormat="1" applyFont="1" applyFill="1" applyAlignment="1">
      <alignment horizontal="center" vertical="center"/>
    </xf>
    <xf numFmtId="49" fontId="30" fillId="0" borderId="0" xfId="0" applyNumberFormat="1" applyFont="1" applyAlignment="1">
      <alignment horizontal="center" vertical="center" wrapText="1"/>
    </xf>
    <xf numFmtId="169" fontId="29" fillId="0" borderId="0" xfId="0" applyNumberFormat="1" applyFont="1" applyAlignment="1">
      <alignment horizontal="center"/>
    </xf>
    <xf numFmtId="169" fontId="30" fillId="0" borderId="0" xfId="0" applyNumberFormat="1" applyFont="1" applyAlignment="1">
      <alignment horizontal="center" vertical="center" wrapText="1"/>
    </xf>
    <xf numFmtId="169" fontId="30" fillId="2" borderId="0" xfId="0" applyNumberFormat="1" applyFont="1" applyFill="1" applyAlignment="1">
      <alignment horizontal="center" vertical="center"/>
    </xf>
    <xf numFmtId="168" fontId="29" fillId="0" borderId="0" xfId="0" applyNumberFormat="1" applyFont="1" applyAlignment="1">
      <alignment horizontal="center"/>
    </xf>
    <xf numFmtId="166" fontId="29" fillId="2" borderId="1" xfId="0" applyNumberFormat="1" applyFont="1" applyFill="1" applyBorder="1" applyAlignment="1">
      <alignment horizontal="center" vertical="center" wrapText="1"/>
    </xf>
    <xf numFmtId="167" fontId="30" fillId="2" borderId="1" xfId="1" applyNumberFormat="1" applyFont="1" applyFill="1" applyBorder="1" applyAlignment="1">
      <alignment horizontal="center" vertical="center" wrapText="1"/>
    </xf>
    <xf numFmtId="0" fontId="29" fillId="0" borderId="1" xfId="0" applyFont="1" applyFill="1" applyBorder="1" applyAlignment="1">
      <alignment vertical="center" wrapText="1"/>
    </xf>
    <xf numFmtId="0" fontId="29" fillId="0" borderId="4" xfId="2" applyFont="1" applyFill="1" applyBorder="1" applyAlignment="1">
      <alignment horizontal="left" vertical="center" wrapText="1"/>
    </xf>
    <xf numFmtId="169" fontId="29" fillId="0" borderId="4" xfId="0" applyNumberFormat="1" applyFont="1" applyBorder="1" applyAlignment="1">
      <alignment horizontal="right" vertical="center"/>
    </xf>
    <xf numFmtId="169" fontId="29" fillId="0" borderId="1" xfId="0" applyNumberFormat="1" applyFont="1" applyBorder="1" applyAlignment="1">
      <alignment horizontal="right" vertical="center"/>
    </xf>
    <xf numFmtId="0" fontId="29" fillId="0" borderId="1" xfId="0" applyFont="1" applyFill="1" applyBorder="1" applyAlignment="1">
      <alignment horizontal="center" vertical="center" wrapText="1"/>
    </xf>
    <xf numFmtId="169" fontId="29" fillId="3" borderId="0" xfId="0" applyNumberFormat="1" applyFont="1" applyFill="1" applyAlignment="1">
      <alignment horizontal="center"/>
    </xf>
    <xf numFmtId="0" fontId="29" fillId="3" borderId="25" xfId="0" applyFont="1" applyFill="1" applyBorder="1"/>
    <xf numFmtId="0" fontId="29" fillId="0" borderId="8" xfId="0" applyFont="1" applyFill="1" applyBorder="1" applyAlignment="1">
      <alignment horizontal="center" vertical="center" wrapText="1"/>
    </xf>
    <xf numFmtId="167" fontId="30" fillId="3" borderId="1" xfId="7" applyNumberFormat="1" applyFont="1" applyFill="1" applyBorder="1" applyAlignment="1">
      <alignment horizontal="center" vertical="center"/>
    </xf>
    <xf numFmtId="0" fontId="29" fillId="0" borderId="7" xfId="0" applyFont="1" applyFill="1" applyBorder="1" applyAlignment="1">
      <alignment vertical="top" wrapText="1"/>
    </xf>
    <xf numFmtId="0" fontId="29" fillId="2" borderId="1" xfId="0" applyFont="1" applyFill="1" applyBorder="1" applyAlignment="1">
      <alignment vertical="top" wrapText="1"/>
    </xf>
    <xf numFmtId="0" fontId="29" fillId="0" borderId="1" xfId="0" applyFont="1" applyFill="1" applyBorder="1" applyAlignment="1">
      <alignment horizontal="center" vertical="center"/>
    </xf>
    <xf numFmtId="0" fontId="29" fillId="2" borderId="13" xfId="0" applyFont="1" applyFill="1" applyBorder="1" applyAlignment="1">
      <alignment horizontal="center" vertical="center" wrapText="1"/>
    </xf>
    <xf numFmtId="0" fontId="29" fillId="0" borderId="8" xfId="0" applyFont="1" applyFill="1" applyBorder="1" applyAlignment="1">
      <alignment horizontal="center" vertical="center"/>
    </xf>
    <xf numFmtId="49" fontId="30" fillId="0" borderId="1" xfId="0" applyNumberFormat="1" applyFont="1" applyFill="1" applyBorder="1" applyAlignment="1">
      <alignment horizontal="center" vertical="top"/>
    </xf>
    <xf numFmtId="3" fontId="29" fillId="0" borderId="1" xfId="0" applyNumberFormat="1" applyFont="1" applyFill="1" applyBorder="1" applyAlignment="1">
      <alignment horizontal="center" vertical="center" wrapText="1"/>
    </xf>
    <xf numFmtId="166" fontId="29" fillId="0" borderId="1" xfId="0" applyNumberFormat="1" applyFont="1" applyFill="1" applyBorder="1" applyAlignment="1">
      <alignment horizontal="center" vertical="center"/>
    </xf>
    <xf numFmtId="3" fontId="29" fillId="0" borderId="7" xfId="0" applyNumberFormat="1" applyFont="1" applyFill="1" applyBorder="1" applyAlignment="1">
      <alignment horizontal="center" vertical="center" wrapText="1"/>
    </xf>
    <xf numFmtId="3" fontId="29" fillId="2" borderId="1" xfId="0" applyNumberFormat="1" applyFont="1" applyFill="1" applyBorder="1" applyAlignment="1">
      <alignment horizontal="center" vertical="center" wrapText="1"/>
    </xf>
    <xf numFmtId="0" fontId="29" fillId="2" borderId="1" xfId="0" applyFont="1" applyFill="1" applyBorder="1" applyAlignment="1">
      <alignment horizontal="center" vertical="center"/>
    </xf>
    <xf numFmtId="3" fontId="29" fillId="0" borderId="8" xfId="0" applyNumberFormat="1" applyFont="1" applyFill="1" applyBorder="1" applyAlignment="1">
      <alignment horizontal="center" vertical="center" wrapText="1"/>
    </xf>
    <xf numFmtId="0" fontId="29" fillId="0" borderId="1" xfId="0" applyFont="1" applyFill="1" applyBorder="1" applyAlignment="1">
      <alignment vertical="center"/>
    </xf>
    <xf numFmtId="0" fontId="29" fillId="0" borderId="13" xfId="0" applyFont="1" applyFill="1" applyBorder="1" applyAlignment="1">
      <alignment horizontal="center" vertical="center" wrapText="1"/>
    </xf>
    <xf numFmtId="49" fontId="29" fillId="2" borderId="7" xfId="0" applyNumberFormat="1" applyFont="1" applyFill="1" applyBorder="1" applyAlignment="1">
      <alignment vertical="top"/>
    </xf>
    <xf numFmtId="167" fontId="29" fillId="2" borderId="8" xfId="0" applyNumberFormat="1" applyFont="1" applyFill="1" applyBorder="1" applyAlignment="1">
      <alignment horizontal="center" vertical="top" wrapText="1"/>
    </xf>
    <xf numFmtId="167" fontId="29" fillId="2" borderId="1" xfId="0" applyNumberFormat="1" applyFont="1" applyFill="1" applyBorder="1" applyAlignment="1">
      <alignment horizontal="center" vertical="top" wrapText="1"/>
    </xf>
    <xf numFmtId="167" fontId="29" fillId="0" borderId="1" xfId="0" applyNumberFormat="1" applyFont="1" applyFill="1" applyBorder="1" applyAlignment="1">
      <alignment horizontal="center" vertical="top" wrapText="1"/>
    </xf>
    <xf numFmtId="3" fontId="29" fillId="2" borderId="8" xfId="0" applyNumberFormat="1" applyFont="1" applyFill="1" applyBorder="1" applyAlignment="1">
      <alignment horizontal="center" vertical="top" wrapText="1"/>
    </xf>
    <xf numFmtId="3" fontId="29" fillId="2" borderId="1" xfId="0" applyNumberFormat="1" applyFont="1" applyFill="1" applyBorder="1" applyAlignment="1">
      <alignment horizontal="center" vertical="top" wrapText="1"/>
    </xf>
    <xf numFmtId="3" fontId="29" fillId="0" borderId="1" xfId="0" applyNumberFormat="1" applyFont="1" applyFill="1" applyBorder="1" applyAlignment="1">
      <alignment horizontal="center" vertical="top" wrapText="1"/>
    </xf>
    <xf numFmtId="49" fontId="30" fillId="0" borderId="2" xfId="0" applyNumberFormat="1" applyFont="1" applyFill="1" applyBorder="1" applyAlignment="1">
      <alignment vertical="top" wrapText="1"/>
    </xf>
    <xf numFmtId="49" fontId="30" fillId="2" borderId="1" xfId="0" applyNumberFormat="1" applyFont="1" applyFill="1" applyBorder="1" applyAlignment="1">
      <alignment horizontal="center" vertical="top"/>
    </xf>
    <xf numFmtId="0" fontId="29" fillId="2" borderId="8" xfId="0" applyFont="1" applyFill="1" applyBorder="1" applyAlignment="1">
      <alignment horizontal="center" vertical="top"/>
    </xf>
    <xf numFmtId="167" fontId="30" fillId="3" borderId="1" xfId="7" applyNumberFormat="1" applyFont="1" applyFill="1" applyBorder="1" applyAlignment="1">
      <alignment horizontal="center" vertical="center" wrapText="1"/>
    </xf>
    <xf numFmtId="0" fontId="30" fillId="3" borderId="7" xfId="0" applyFont="1" applyFill="1" applyBorder="1" applyAlignment="1">
      <alignment vertical="top" wrapText="1"/>
    </xf>
    <xf numFmtId="0" fontId="30" fillId="3" borderId="7" xfId="0" applyFont="1" applyFill="1" applyBorder="1" applyAlignment="1">
      <alignment horizontal="center" vertical="center" wrapText="1"/>
    </xf>
    <xf numFmtId="3" fontId="30" fillId="3" borderId="7" xfId="0" applyNumberFormat="1" applyFont="1" applyFill="1" applyBorder="1" applyAlignment="1">
      <alignment horizontal="center" vertical="center" wrapText="1"/>
    </xf>
    <xf numFmtId="167" fontId="30" fillId="0" borderId="1" xfId="1" applyNumberFormat="1" applyFont="1" applyFill="1" applyBorder="1" applyAlignment="1">
      <alignment horizontal="center" vertical="center" wrapText="1"/>
    </xf>
    <xf numFmtId="167" fontId="29" fillId="0" borderId="1" xfId="1" applyNumberFormat="1" applyFont="1" applyFill="1" applyBorder="1" applyAlignment="1">
      <alignment horizontal="center" vertical="center" wrapText="1"/>
    </xf>
    <xf numFmtId="168" fontId="30" fillId="0" borderId="1" xfId="0" applyNumberFormat="1" applyFont="1" applyFill="1" applyBorder="1" applyAlignment="1">
      <alignment horizontal="center" vertical="center"/>
    </xf>
    <xf numFmtId="0" fontId="30" fillId="0" borderId="1" xfId="0" applyFont="1" applyFill="1" applyBorder="1" applyAlignment="1">
      <alignment horizontal="left" vertical="center"/>
    </xf>
    <xf numFmtId="0" fontId="30" fillId="0" borderId="1" xfId="0" applyFont="1" applyFill="1" applyBorder="1" applyAlignment="1">
      <alignment horizontal="center"/>
    </xf>
    <xf numFmtId="0" fontId="30" fillId="0" borderId="0" xfId="0" applyFont="1" applyFill="1"/>
    <xf numFmtId="0" fontId="29" fillId="0" borderId="1" xfId="0" applyFont="1" applyFill="1" applyBorder="1" applyAlignment="1">
      <alignment horizontal="left" vertical="center"/>
    </xf>
    <xf numFmtId="168" fontId="29" fillId="0" borderId="1" xfId="0" applyNumberFormat="1" applyFont="1" applyFill="1" applyBorder="1" applyAlignment="1">
      <alignment horizontal="center" vertical="center"/>
    </xf>
    <xf numFmtId="0" fontId="29" fillId="0" borderId="1" xfId="2" applyFont="1" applyFill="1" applyBorder="1" applyAlignment="1">
      <alignment horizontal="center" vertical="center" wrapText="1"/>
    </xf>
    <xf numFmtId="167" fontId="30" fillId="0" borderId="1" xfId="0" applyNumberFormat="1" applyFont="1" applyFill="1" applyBorder="1" applyAlignment="1">
      <alignment horizontal="center" vertical="center" wrapText="1"/>
    </xf>
    <xf numFmtId="167" fontId="29" fillId="0" borderId="1" xfId="0" applyNumberFormat="1" applyFont="1" applyFill="1" applyBorder="1" applyAlignment="1">
      <alignment horizontal="center" vertical="center" wrapText="1"/>
    </xf>
    <xf numFmtId="169" fontId="30" fillId="0" borderId="1" xfId="0" applyNumberFormat="1" applyFont="1" applyFill="1" applyBorder="1" applyAlignment="1">
      <alignment horizontal="center" vertical="center"/>
    </xf>
    <xf numFmtId="169" fontId="30" fillId="0" borderId="1" xfId="0" applyNumberFormat="1" applyFont="1" applyFill="1" applyBorder="1" applyAlignment="1">
      <alignment horizontal="center" vertical="center" wrapText="1"/>
    </xf>
    <xf numFmtId="0" fontId="29" fillId="0" borderId="1" xfId="0" applyFont="1" applyFill="1" applyBorder="1"/>
    <xf numFmtId="169" fontId="29" fillId="0" borderId="4" xfId="0" applyNumberFormat="1" applyFont="1" applyFill="1" applyBorder="1" applyAlignment="1">
      <alignment horizontal="center" vertical="center"/>
    </xf>
    <xf numFmtId="168" fontId="29" fillId="0" borderId="4" xfId="0" applyNumberFormat="1" applyFont="1" applyFill="1" applyBorder="1" applyAlignment="1">
      <alignment horizontal="center" vertical="center"/>
    </xf>
    <xf numFmtId="169" fontId="29" fillId="0" borderId="1" xfId="0" applyNumberFormat="1" applyFont="1" applyBorder="1" applyAlignment="1">
      <alignment horizontal="center"/>
    </xf>
    <xf numFmtId="0" fontId="29" fillId="0" borderId="1" xfId="0" applyFont="1" applyBorder="1"/>
    <xf numFmtId="0" fontId="29" fillId="3" borderId="1" xfId="0" applyFont="1" applyFill="1" applyBorder="1"/>
    <xf numFmtId="0" fontId="29" fillId="0" borderId="1" xfId="0" applyFont="1" applyBorder="1" applyAlignment="1">
      <alignment vertical="top" wrapText="1"/>
    </xf>
    <xf numFmtId="0" fontId="29" fillId="2" borderId="10" xfId="0" applyFont="1" applyFill="1" applyBorder="1" applyAlignment="1">
      <alignment horizontal="center" vertical="center"/>
    </xf>
    <xf numFmtId="3" fontId="30" fillId="3" borderId="10" xfId="0" applyNumberFormat="1" applyFont="1" applyFill="1" applyBorder="1" applyAlignment="1">
      <alignment horizontal="center" vertical="center" wrapText="1"/>
    </xf>
    <xf numFmtId="3" fontId="30" fillId="3" borderId="1" xfId="0" applyNumberFormat="1" applyFont="1" applyFill="1" applyBorder="1" applyAlignment="1">
      <alignment horizontal="center" vertical="center" wrapText="1"/>
    </xf>
    <xf numFmtId="0" fontId="30" fillId="3" borderId="0" xfId="0" applyFont="1" applyFill="1" applyBorder="1" applyAlignment="1">
      <alignment vertical="center" wrapText="1"/>
    </xf>
    <xf numFmtId="169" fontId="29" fillId="0" borderId="0" xfId="0" applyNumberFormat="1" applyFont="1" applyFill="1" applyAlignment="1">
      <alignment horizontal="center"/>
    </xf>
    <xf numFmtId="0" fontId="29" fillId="0" borderId="1" xfId="0" applyFont="1" applyBorder="1" applyAlignment="1">
      <alignment horizontal="center" vertical="center"/>
    </xf>
    <xf numFmtId="0" fontId="29" fillId="0" borderId="1" xfId="0" applyFont="1" applyBorder="1" applyAlignment="1">
      <alignment wrapText="1"/>
    </xf>
    <xf numFmtId="0" fontId="29" fillId="0" borderId="1" xfId="0" applyFont="1" applyBorder="1" applyAlignment="1">
      <alignment vertical="center" wrapText="1"/>
    </xf>
    <xf numFmtId="167" fontId="29" fillId="0" borderId="1" xfId="0" applyNumberFormat="1" applyFont="1" applyBorder="1" applyAlignment="1">
      <alignment horizontal="center" vertical="center" wrapText="1"/>
    </xf>
    <xf numFmtId="167" fontId="29" fillId="0" borderId="0" xfId="0" applyNumberFormat="1" applyFont="1" applyAlignment="1">
      <alignment horizontal="center" vertical="center"/>
    </xf>
    <xf numFmtId="9" fontId="29" fillId="0" borderId="1" xfId="0" applyNumberFormat="1" applyFont="1" applyBorder="1"/>
    <xf numFmtId="49" fontId="29" fillId="0" borderId="1" xfId="0" applyNumberFormat="1" applyFont="1" applyFill="1" applyBorder="1"/>
    <xf numFmtId="49" fontId="29" fillId="0" borderId="1" xfId="0" applyNumberFormat="1" applyFont="1" applyFill="1" applyBorder="1" applyAlignment="1">
      <alignment vertical="center"/>
    </xf>
    <xf numFmtId="0" fontId="29" fillId="2" borderId="1" xfId="0" applyFont="1" applyFill="1" applyBorder="1" applyAlignment="1"/>
    <xf numFmtId="0" fontId="29" fillId="2" borderId="1" xfId="0" applyFont="1" applyFill="1" applyBorder="1"/>
    <xf numFmtId="169" fontId="29" fillId="0" borderId="4" xfId="0" applyNumberFormat="1" applyFont="1" applyBorder="1" applyAlignment="1">
      <alignment horizontal="center" vertical="center"/>
    </xf>
    <xf numFmtId="0" fontId="29" fillId="2" borderId="4" xfId="2" applyFont="1" applyFill="1" applyBorder="1" applyAlignment="1">
      <alignment horizontal="left" vertical="center" wrapText="1"/>
    </xf>
    <xf numFmtId="0" fontId="29" fillId="2" borderId="25" xfId="0" applyFont="1" applyFill="1" applyBorder="1" applyAlignment="1">
      <alignment vertical="center" wrapText="1"/>
    </xf>
    <xf numFmtId="0" fontId="29" fillId="2" borderId="7" xfId="0" applyFont="1" applyFill="1" applyBorder="1" applyAlignment="1">
      <alignment vertical="center" wrapText="1"/>
    </xf>
    <xf numFmtId="0" fontId="29" fillId="3" borderId="1" xfId="0" applyFont="1" applyFill="1" applyBorder="1" applyAlignment="1">
      <alignment vertical="center" wrapText="1"/>
    </xf>
    <xf numFmtId="0" fontId="29" fillId="27" borderId="7" xfId="0" applyFont="1" applyFill="1" applyBorder="1" applyAlignment="1">
      <alignment horizontal="right" vertical="center"/>
    </xf>
    <xf numFmtId="0" fontId="30" fillId="27" borderId="7" xfId="0" applyFont="1" applyFill="1" applyBorder="1" applyAlignment="1">
      <alignment horizontal="right" vertical="center"/>
    </xf>
    <xf numFmtId="0" fontId="30" fillId="2" borderId="7" xfId="0" applyFont="1" applyFill="1" applyBorder="1" applyAlignment="1">
      <alignment horizontal="right" vertical="center"/>
    </xf>
    <xf numFmtId="167" fontId="29" fillId="2" borderId="6" xfId="0" applyNumberFormat="1" applyFont="1" applyFill="1" applyBorder="1" applyAlignment="1">
      <alignment horizontal="center" vertical="center" wrapText="1"/>
    </xf>
    <xf numFmtId="166" fontId="29" fillId="2" borderId="1" xfId="0" applyNumberFormat="1" applyFont="1" applyFill="1" applyBorder="1" applyAlignment="1">
      <alignment horizontal="left" vertical="center" wrapText="1"/>
    </xf>
    <xf numFmtId="49" fontId="29" fillId="2" borderId="25" xfId="0" applyNumberFormat="1" applyFont="1" applyFill="1" applyBorder="1" applyAlignment="1">
      <alignment vertical="center"/>
    </xf>
    <xf numFmtId="167" fontId="29" fillId="2" borderId="28" xfId="0" applyNumberFormat="1" applyFont="1" applyFill="1" applyBorder="1" applyAlignment="1">
      <alignment horizontal="center" vertical="center" wrapText="1"/>
    </xf>
    <xf numFmtId="167" fontId="29" fillId="2" borderId="1" xfId="0" applyNumberFormat="1" applyFont="1" applyFill="1" applyBorder="1" applyAlignment="1">
      <alignment vertical="center" wrapText="1"/>
    </xf>
    <xf numFmtId="3" fontId="29" fillId="2" borderId="1" xfId="0" applyNumberFormat="1" applyFont="1" applyFill="1" applyBorder="1" applyAlignment="1">
      <alignment vertical="center" wrapText="1"/>
    </xf>
    <xf numFmtId="0" fontId="29" fillId="0" borderId="6" xfId="0" applyFont="1" applyBorder="1" applyAlignment="1">
      <alignment vertical="center" wrapText="1"/>
    </xf>
    <xf numFmtId="168" fontId="29" fillId="0" borderId="8" xfId="0" applyNumberFormat="1" applyFont="1" applyBorder="1" applyAlignment="1">
      <alignment horizontal="right" vertical="center"/>
    </xf>
    <xf numFmtId="0" fontId="29" fillId="2" borderId="2" xfId="0" applyFont="1" applyFill="1" applyBorder="1" applyAlignment="1">
      <alignment horizontal="right" vertical="center"/>
    </xf>
    <xf numFmtId="49" fontId="29" fillId="2" borderId="8" xfId="0" applyNumberFormat="1" applyFont="1" applyFill="1" applyBorder="1" applyAlignment="1">
      <alignment vertical="center"/>
    </xf>
    <xf numFmtId="166" fontId="29" fillId="2" borderId="1" xfId="0" applyNumberFormat="1" applyFont="1" applyFill="1" applyBorder="1"/>
    <xf numFmtId="0" fontId="29" fillId="3" borderId="30" xfId="0" applyFont="1" applyFill="1" applyBorder="1" applyAlignment="1">
      <alignment vertical="center"/>
    </xf>
    <xf numFmtId="0" fontId="29" fillId="27" borderId="2" xfId="0" applyFont="1" applyFill="1" applyBorder="1" applyAlignment="1">
      <alignment horizontal="right" vertical="center"/>
    </xf>
    <xf numFmtId="170" fontId="33" fillId="0" borderId="0" xfId="0" applyNumberFormat="1" applyFont="1" applyFill="1" applyBorder="1" applyAlignment="1">
      <alignment vertical="center"/>
    </xf>
    <xf numFmtId="0" fontId="33" fillId="2" borderId="1" xfId="0" applyFont="1" applyFill="1" applyBorder="1" applyAlignment="1">
      <alignment horizontal="center" vertical="center"/>
    </xf>
    <xf numFmtId="167" fontId="33" fillId="0" borderId="7" xfId="0" applyNumberFormat="1" applyFont="1" applyFill="1" applyBorder="1" applyAlignment="1">
      <alignment horizontal="center" vertical="center" wrapText="1"/>
    </xf>
    <xf numFmtId="0" fontId="34" fillId="0" borderId="1" xfId="2" applyFont="1" applyFill="1" applyBorder="1" applyAlignment="1">
      <alignment horizontal="center" vertical="center" wrapText="1"/>
    </xf>
    <xf numFmtId="0" fontId="33" fillId="0" borderId="1" xfId="0" applyFont="1" applyFill="1" applyBorder="1" applyAlignment="1">
      <alignment horizontal="center" vertical="center" wrapText="1"/>
    </xf>
    <xf numFmtId="1" fontId="33" fillId="0" borderId="1" xfId="0" applyNumberFormat="1" applyFont="1" applyFill="1" applyBorder="1" applyAlignment="1">
      <alignment horizontal="center" vertical="center" wrapText="1"/>
    </xf>
    <xf numFmtId="176" fontId="33" fillId="0" borderId="1" xfId="7" applyNumberFormat="1" applyFont="1" applyFill="1" applyBorder="1" applyAlignment="1">
      <alignment horizontal="center" vertical="center"/>
    </xf>
    <xf numFmtId="0" fontId="35" fillId="0" borderId="1" xfId="0" applyFont="1" applyFill="1" applyBorder="1"/>
    <xf numFmtId="175" fontId="34" fillId="0" borderId="1" xfId="0" applyNumberFormat="1" applyFont="1" applyFill="1" applyBorder="1" applyAlignment="1">
      <alignment horizontal="center" vertical="center" wrapText="1"/>
    </xf>
    <xf numFmtId="175" fontId="34" fillId="0" borderId="1" xfId="0" applyNumberFormat="1" applyFont="1" applyFill="1" applyBorder="1" applyAlignment="1">
      <alignment horizontal="center" vertical="center"/>
    </xf>
    <xf numFmtId="0" fontId="34" fillId="0" borderId="1" xfId="0" applyFont="1" applyFill="1" applyBorder="1" applyAlignment="1">
      <alignment horizontal="center" vertical="center"/>
    </xf>
    <xf numFmtId="9" fontId="33" fillId="0" borderId="1" xfId="16" applyFont="1" applyFill="1" applyBorder="1" applyAlignment="1">
      <alignment horizontal="center" vertical="center" wrapText="1"/>
    </xf>
    <xf numFmtId="167" fontId="33" fillId="0" borderId="25" xfId="0" applyNumberFormat="1" applyFont="1" applyFill="1" applyBorder="1" applyAlignment="1">
      <alignment horizontal="center" vertical="center" wrapText="1"/>
    </xf>
    <xf numFmtId="168" fontId="33" fillId="0" borderId="1" xfId="0" applyNumberFormat="1" applyFont="1" applyFill="1" applyBorder="1" applyAlignment="1">
      <alignment vertical="center"/>
    </xf>
    <xf numFmtId="175" fontId="33" fillId="0" borderId="1" xfId="16" applyNumberFormat="1" applyFont="1" applyFill="1" applyBorder="1" applyAlignment="1">
      <alignment horizontal="center" vertical="center" wrapText="1"/>
    </xf>
    <xf numFmtId="166" fontId="33" fillId="0" borderId="1" xfId="0" applyNumberFormat="1" applyFont="1" applyFill="1" applyBorder="1" applyAlignment="1">
      <alignment horizontal="center" vertical="center" wrapText="1"/>
    </xf>
    <xf numFmtId="49" fontId="34" fillId="0" borderId="1" xfId="2" applyNumberFormat="1" applyFont="1" applyFill="1" applyBorder="1" applyAlignment="1">
      <alignment horizontal="left" vertical="center" wrapText="1"/>
    </xf>
    <xf numFmtId="0" fontId="34" fillId="0" borderId="1" xfId="0" applyFont="1" applyFill="1" applyBorder="1"/>
    <xf numFmtId="0" fontId="34" fillId="3" borderId="1" xfId="0" applyFont="1" applyFill="1" applyBorder="1"/>
    <xf numFmtId="0" fontId="34" fillId="3" borderId="1" xfId="0" applyFont="1" applyFill="1" applyBorder="1" applyAlignment="1">
      <alignment horizontal="center" vertical="center"/>
    </xf>
    <xf numFmtId="0" fontId="33" fillId="0" borderId="1" xfId="0" applyFont="1" applyFill="1" applyBorder="1" applyAlignment="1">
      <alignment horizontal="center" vertical="center"/>
    </xf>
    <xf numFmtId="177" fontId="33" fillId="0" borderId="1" xfId="0" applyNumberFormat="1" applyFont="1" applyFill="1" applyBorder="1" applyAlignment="1">
      <alignment horizontal="center" vertical="center" wrapText="1"/>
    </xf>
    <xf numFmtId="170" fontId="33" fillId="0" borderId="1" xfId="0" applyNumberFormat="1" applyFont="1" applyFill="1" applyBorder="1" applyAlignment="1">
      <alignment horizontal="center" vertical="center"/>
    </xf>
    <xf numFmtId="167" fontId="34" fillId="0" borderId="1" xfId="0" applyNumberFormat="1" applyFont="1" applyFill="1" applyBorder="1" applyAlignment="1">
      <alignment horizontal="center" vertical="center"/>
    </xf>
    <xf numFmtId="178" fontId="33" fillId="0" borderId="1" xfId="0" applyNumberFormat="1" applyFont="1" applyFill="1" applyBorder="1" applyAlignment="1">
      <alignment horizontal="center" vertical="center"/>
    </xf>
    <xf numFmtId="167" fontId="33" fillId="3" borderId="7" xfId="0" applyNumberFormat="1" applyFont="1" applyFill="1" applyBorder="1" applyAlignment="1">
      <alignment horizontal="center" vertical="center" wrapText="1"/>
    </xf>
    <xf numFmtId="168" fontId="30" fillId="0" borderId="2" xfId="158" applyNumberFormat="1" applyFont="1" applyFill="1" applyBorder="1" applyAlignment="1">
      <alignment horizontal="center" vertical="center"/>
    </xf>
    <xf numFmtId="0" fontId="30" fillId="0" borderId="7" xfId="158" applyFont="1" applyFill="1" applyBorder="1" applyAlignment="1">
      <alignment horizontal="right" vertical="center"/>
    </xf>
    <xf numFmtId="168" fontId="30" fillId="0" borderId="8" xfId="158" applyNumberFormat="1" applyFont="1" applyFill="1" applyBorder="1" applyAlignment="1">
      <alignment horizontal="center" vertical="center"/>
    </xf>
    <xf numFmtId="0" fontId="29" fillId="0" borderId="7" xfId="158" applyFont="1" applyFill="1" applyBorder="1" applyAlignment="1">
      <alignment horizontal="right" vertical="center"/>
    </xf>
    <xf numFmtId="0" fontId="29" fillId="0" borderId="1" xfId="152" applyFont="1" applyFill="1" applyBorder="1" applyAlignment="1">
      <alignment horizontal="left" vertical="center" wrapText="1"/>
    </xf>
    <xf numFmtId="168" fontId="30" fillId="0" borderId="26" xfId="158" applyNumberFormat="1" applyFont="1" applyFill="1" applyBorder="1" applyAlignment="1">
      <alignment horizontal="center" vertical="center"/>
    </xf>
    <xf numFmtId="169" fontId="29" fillId="0" borderId="4" xfId="158" applyNumberFormat="1" applyFont="1" applyFill="1" applyBorder="1" applyAlignment="1">
      <alignment horizontal="center" vertical="center"/>
    </xf>
    <xf numFmtId="169" fontId="29" fillId="0" borderId="1" xfId="158" applyNumberFormat="1" applyFont="1" applyFill="1" applyBorder="1" applyAlignment="1">
      <alignment horizontal="center" vertical="center"/>
    </xf>
    <xf numFmtId="0" fontId="29" fillId="0" borderId="8" xfId="152" applyFont="1" applyFill="1" applyBorder="1" applyAlignment="1">
      <alignment horizontal="left" vertical="center" wrapText="1"/>
    </xf>
    <xf numFmtId="0" fontId="29" fillId="0" borderId="8" xfId="158" applyNumberFormat="1" applyFont="1" applyFill="1" applyBorder="1" applyAlignment="1">
      <alignment horizontal="center" vertical="center"/>
    </xf>
    <xf numFmtId="0" fontId="29" fillId="0" borderId="8" xfId="158" applyNumberFormat="1" applyFont="1" applyFill="1" applyBorder="1" applyAlignment="1">
      <alignment horizontal="right" vertical="center"/>
    </xf>
    <xf numFmtId="0" fontId="29" fillId="0" borderId="1" xfId="158" applyFont="1" applyFill="1" applyBorder="1" applyAlignment="1">
      <alignment horizontal="right" vertical="center"/>
    </xf>
    <xf numFmtId="168" fontId="30" fillId="0" borderId="7" xfId="158" applyNumberFormat="1" applyFont="1" applyFill="1" applyBorder="1" applyAlignment="1">
      <alignment horizontal="center" vertical="center"/>
    </xf>
    <xf numFmtId="168" fontId="30" fillId="0" borderId="1" xfId="158" applyNumberFormat="1" applyFont="1" applyFill="1" applyBorder="1" applyAlignment="1">
      <alignment horizontal="center" vertical="center"/>
    </xf>
    <xf numFmtId="0" fontId="29" fillId="0" borderId="1" xfId="158" applyFont="1" applyFill="1" applyBorder="1" applyAlignment="1">
      <alignment horizontal="center" vertical="center"/>
    </xf>
    <xf numFmtId="49" fontId="29" fillId="0" borderId="1" xfId="158" applyNumberFormat="1" applyFont="1" applyFill="1" applyBorder="1" applyAlignment="1">
      <alignment horizontal="center" vertical="center"/>
    </xf>
    <xf numFmtId="0" fontId="33" fillId="0" borderId="1" xfId="0" applyFont="1" applyFill="1" applyBorder="1" applyAlignment="1">
      <alignment horizontal="left" vertical="center" wrapText="1"/>
    </xf>
    <xf numFmtId="177" fontId="33" fillId="3" borderId="1" xfId="0" applyNumberFormat="1" applyFont="1" applyFill="1" applyBorder="1" applyAlignment="1">
      <alignment horizontal="center" vertical="center" wrapText="1"/>
    </xf>
    <xf numFmtId="0" fontId="29" fillId="3" borderId="0" xfId="0" applyFont="1" applyFill="1"/>
    <xf numFmtId="0" fontId="29" fillId="2" borderId="8" xfId="2" applyFont="1" applyFill="1" applyBorder="1" applyAlignment="1">
      <alignment vertical="center" wrapText="1"/>
    </xf>
    <xf numFmtId="0" fontId="30" fillId="0" borderId="1" xfId="158" applyFont="1" applyFill="1" applyBorder="1" applyAlignment="1">
      <alignment horizontal="left" vertical="center" wrapText="1"/>
    </xf>
    <xf numFmtId="0" fontId="33" fillId="0" borderId="1" xfId="0" applyNumberFormat="1" applyFont="1" applyFill="1" applyBorder="1" applyAlignment="1">
      <alignment horizontal="center" vertical="center"/>
    </xf>
    <xf numFmtId="167" fontId="33" fillId="3" borderId="1" xfId="0" applyNumberFormat="1" applyFont="1" applyFill="1" applyBorder="1" applyAlignment="1">
      <alignment horizontal="center" vertical="center" wrapText="1"/>
    </xf>
    <xf numFmtId="166" fontId="29" fillId="2" borderId="7" xfId="0" applyNumberFormat="1" applyFont="1" applyFill="1" applyBorder="1" applyAlignment="1">
      <alignment horizontal="center" vertical="center" wrapText="1"/>
    </xf>
    <xf numFmtId="0" fontId="29" fillId="0" borderId="2" xfId="0" applyFont="1" applyFill="1" applyBorder="1" applyAlignment="1">
      <alignment horizontal="center" vertical="center"/>
    </xf>
    <xf numFmtId="169" fontId="34" fillId="0" borderId="1" xfId="0" applyNumberFormat="1" applyFont="1" applyFill="1" applyBorder="1" applyAlignment="1">
      <alignment vertical="center"/>
    </xf>
    <xf numFmtId="167" fontId="29" fillId="0" borderId="1" xfId="7" applyNumberFormat="1" applyFont="1" applyFill="1" applyBorder="1" applyAlignment="1">
      <alignment horizontal="center" vertical="center"/>
    </xf>
    <xf numFmtId="175" fontId="29" fillId="0" borderId="1" xfId="16" applyNumberFormat="1" applyFont="1" applyFill="1" applyBorder="1" applyAlignment="1">
      <alignment horizontal="center" vertical="center" wrapText="1"/>
    </xf>
    <xf numFmtId="175" fontId="29" fillId="0" borderId="1" xfId="2" applyNumberFormat="1" applyFont="1" applyFill="1" applyBorder="1" applyAlignment="1">
      <alignment horizontal="center" vertical="center" wrapText="1"/>
    </xf>
    <xf numFmtId="9" fontId="29" fillId="0" borderId="1" xfId="2" applyNumberFormat="1" applyFont="1" applyFill="1" applyBorder="1" applyAlignment="1">
      <alignment horizontal="center" vertical="center" wrapText="1"/>
    </xf>
    <xf numFmtId="0" fontId="29" fillId="0" borderId="1" xfId="17" applyFont="1" applyFill="1" applyBorder="1" applyAlignment="1">
      <alignment horizontal="left" vertical="center" wrapText="1"/>
    </xf>
    <xf numFmtId="175" fontId="29" fillId="2" borderId="1" xfId="2" applyNumberFormat="1" applyFont="1" applyFill="1" applyBorder="1" applyAlignment="1">
      <alignment horizontal="center" vertical="center" wrapText="1"/>
    </xf>
    <xf numFmtId="9" fontId="29" fillId="2" borderId="1" xfId="2" applyNumberFormat="1" applyFont="1" applyFill="1" applyBorder="1" applyAlignment="1">
      <alignment horizontal="center" vertical="center" wrapText="1"/>
    </xf>
    <xf numFmtId="0" fontId="29" fillId="0" borderId="1" xfId="2" applyFont="1" applyFill="1" applyBorder="1" applyAlignment="1">
      <alignment horizontal="center" wrapText="1"/>
    </xf>
    <xf numFmtId="1" fontId="29" fillId="0" borderId="1" xfId="2" applyNumberFormat="1" applyFont="1" applyFill="1" applyBorder="1" applyAlignment="1">
      <alignment horizontal="center" wrapText="1"/>
    </xf>
    <xf numFmtId="1" fontId="29" fillId="0" borderId="1" xfId="2" applyNumberFormat="1" applyFont="1" applyFill="1" applyBorder="1" applyAlignment="1">
      <alignment horizontal="center" vertical="center" wrapText="1"/>
    </xf>
    <xf numFmtId="0" fontId="29" fillId="0" borderId="1" xfId="2" applyFont="1" applyFill="1" applyBorder="1" applyAlignment="1">
      <alignment horizontal="left" vertical="top" wrapText="1"/>
    </xf>
    <xf numFmtId="1" fontId="29" fillId="2" borderId="1" xfId="2" applyNumberFormat="1" applyFont="1" applyFill="1" applyBorder="1" applyAlignment="1">
      <alignment horizontal="center" vertical="center" wrapText="1"/>
    </xf>
    <xf numFmtId="9" fontId="29" fillId="2" borderId="1" xfId="16" applyFont="1" applyFill="1" applyBorder="1" applyAlignment="1">
      <alignment horizontal="center" vertical="center" wrapText="1"/>
    </xf>
    <xf numFmtId="9" fontId="29" fillId="0" borderId="1" xfId="16" applyFont="1" applyFill="1" applyBorder="1" applyAlignment="1">
      <alignment horizontal="center" vertical="center" wrapText="1"/>
    </xf>
    <xf numFmtId="0" fontId="29" fillId="2" borderId="1" xfId="2" applyFont="1" applyFill="1" applyBorder="1" applyAlignment="1">
      <alignment horizontal="center" vertical="center" wrapText="1"/>
    </xf>
    <xf numFmtId="0" fontId="29" fillId="0" borderId="1" xfId="2" applyNumberFormat="1" applyFont="1" applyFill="1" applyBorder="1" applyAlignment="1">
      <alignment horizontal="center" vertical="center" wrapText="1"/>
    </xf>
    <xf numFmtId="49" fontId="29" fillId="0" borderId="1" xfId="2" applyNumberFormat="1" applyFont="1" applyFill="1" applyBorder="1" applyAlignment="1">
      <alignment horizontal="left" vertical="center" wrapText="1"/>
    </xf>
    <xf numFmtId="175" fontId="29" fillId="2" borderId="1" xfId="16" applyNumberFormat="1" applyFont="1" applyFill="1" applyBorder="1" applyAlignment="1">
      <alignment horizontal="center" vertical="center" wrapText="1"/>
    </xf>
    <xf numFmtId="0" fontId="29" fillId="0" borderId="1" xfId="16" applyNumberFormat="1" applyFont="1" applyFill="1" applyBorder="1" applyAlignment="1">
      <alignment horizontal="center" vertical="center" wrapText="1"/>
    </xf>
    <xf numFmtId="173" fontId="29" fillId="0" borderId="1" xfId="7" applyNumberFormat="1" applyFont="1" applyFill="1" applyBorder="1" applyAlignment="1">
      <alignment horizontal="center" vertical="center" wrapText="1"/>
    </xf>
    <xf numFmtId="0" fontId="29" fillId="2" borderId="1" xfId="16" applyNumberFormat="1" applyFont="1" applyFill="1" applyBorder="1" applyAlignment="1">
      <alignment horizontal="center" vertical="center" wrapText="1"/>
    </xf>
    <xf numFmtId="166" fontId="29" fillId="2" borderId="1" xfId="16" applyNumberFormat="1" applyFont="1" applyFill="1" applyBorder="1" applyAlignment="1">
      <alignment horizontal="center" vertical="center" wrapText="1"/>
    </xf>
    <xf numFmtId="175" fontId="29" fillId="2" borderId="8" xfId="16" applyNumberFormat="1" applyFont="1" applyFill="1" applyBorder="1" applyAlignment="1">
      <alignment horizontal="center" vertical="center" wrapText="1"/>
    </xf>
    <xf numFmtId="9" fontId="29" fillId="2" borderId="8" xfId="16" applyFont="1" applyFill="1" applyBorder="1" applyAlignment="1">
      <alignment horizontal="center" vertical="center" wrapText="1"/>
    </xf>
    <xf numFmtId="1" fontId="29" fillId="0" borderId="1" xfId="16" applyNumberFormat="1" applyFont="1" applyFill="1" applyBorder="1" applyAlignment="1">
      <alignment horizontal="center" vertical="center" wrapText="1"/>
    </xf>
    <xf numFmtId="175" fontId="29" fillId="0" borderId="7" xfId="16" applyNumberFormat="1" applyFont="1" applyFill="1" applyBorder="1" applyAlignment="1">
      <alignment horizontal="center" vertical="center" wrapText="1"/>
    </xf>
    <xf numFmtId="9" fontId="29" fillId="0" borderId="7" xfId="16" applyFont="1" applyFill="1" applyBorder="1" applyAlignment="1">
      <alignment horizontal="center" vertical="center" wrapText="1"/>
    </xf>
    <xf numFmtId="0" fontId="29" fillId="2" borderId="7" xfId="16" applyNumberFormat="1" applyFont="1" applyFill="1" applyBorder="1" applyAlignment="1">
      <alignment horizontal="center" vertical="center" wrapText="1"/>
    </xf>
    <xf numFmtId="0" fontId="30" fillId="0" borderId="5" xfId="2" applyFont="1" applyFill="1" applyBorder="1" applyAlignment="1">
      <alignment vertical="top" wrapText="1"/>
    </xf>
    <xf numFmtId="0" fontId="30" fillId="0" borderId="6" xfId="2" applyFont="1" applyFill="1" applyBorder="1" applyAlignment="1">
      <alignment vertical="top" wrapText="1"/>
    </xf>
    <xf numFmtId="0" fontId="29" fillId="2" borderId="1" xfId="2" applyFont="1" applyFill="1" applyBorder="1" applyAlignment="1">
      <alignment vertical="center" wrapText="1"/>
    </xf>
    <xf numFmtId="175" fontId="29" fillId="2" borderId="7" xfId="16" applyNumberFormat="1" applyFont="1" applyFill="1" applyBorder="1" applyAlignment="1">
      <alignment horizontal="center" vertical="center" wrapText="1"/>
    </xf>
    <xf numFmtId="167" fontId="30" fillId="3" borderId="25" xfId="0" applyNumberFormat="1" applyFont="1" applyFill="1" applyBorder="1" applyAlignment="1">
      <alignment horizontal="center" vertical="center"/>
    </xf>
    <xf numFmtId="167" fontId="29" fillId="0" borderId="1" xfId="0" applyNumberFormat="1" applyFont="1" applyFill="1" applyBorder="1" applyAlignment="1">
      <alignment horizontal="center" vertical="center"/>
    </xf>
    <xf numFmtId="167" fontId="29" fillId="0" borderId="8" xfId="1" applyNumberFormat="1" applyFont="1" applyFill="1" applyBorder="1" applyAlignment="1">
      <alignment horizontal="center" vertical="center" wrapText="1"/>
    </xf>
    <xf numFmtId="0" fontId="29" fillId="3" borderId="6" xfId="0" applyFont="1" applyFill="1" applyBorder="1"/>
    <xf numFmtId="167" fontId="30" fillId="0" borderId="1" xfId="0" applyNumberFormat="1" applyFont="1" applyBorder="1" applyAlignment="1">
      <alignment horizontal="center" vertical="center"/>
    </xf>
    <xf numFmtId="167" fontId="30" fillId="0" borderId="1" xfId="0" applyNumberFormat="1" applyFont="1" applyBorder="1" applyAlignment="1">
      <alignment horizontal="center" vertical="center" wrapText="1"/>
    </xf>
    <xf numFmtId="167" fontId="30" fillId="3" borderId="1" xfId="0" applyNumberFormat="1" applyFont="1" applyFill="1" applyBorder="1" applyAlignment="1">
      <alignment horizontal="center" vertical="center" wrapText="1"/>
    </xf>
    <xf numFmtId="167" fontId="30" fillId="0" borderId="7" xfId="0" applyNumberFormat="1" applyFont="1" applyBorder="1" applyAlignment="1">
      <alignment horizontal="center" vertical="center" wrapText="1"/>
    </xf>
    <xf numFmtId="167" fontId="33" fillId="3" borderId="1" xfId="0" applyNumberFormat="1" applyFont="1" applyFill="1" applyBorder="1" applyAlignment="1">
      <alignment horizontal="center" vertical="center"/>
    </xf>
    <xf numFmtId="167" fontId="29" fillId="3" borderId="1" xfId="0" applyNumberFormat="1" applyFont="1" applyFill="1" applyBorder="1" applyAlignment="1">
      <alignment horizontal="center" vertical="center"/>
    </xf>
    <xf numFmtId="0" fontId="38" fillId="27" borderId="1" xfId="0" applyFont="1" applyFill="1" applyBorder="1" applyAlignment="1">
      <alignment vertical="center" wrapText="1"/>
    </xf>
    <xf numFmtId="0" fontId="38" fillId="27" borderId="1" xfId="0" applyFont="1" applyFill="1" applyBorder="1" applyAlignment="1">
      <alignment horizontal="center" vertical="center" wrapText="1"/>
    </xf>
    <xf numFmtId="0" fontId="38" fillId="27" borderId="8" xfId="0" applyFont="1" applyFill="1" applyBorder="1" applyAlignment="1">
      <alignment horizontal="center" vertical="center" wrapText="1"/>
    </xf>
    <xf numFmtId="167" fontId="38" fillId="27" borderId="1" xfId="0" applyNumberFormat="1" applyFont="1" applyFill="1" applyBorder="1" applyAlignment="1">
      <alignment vertical="center" wrapText="1"/>
    </xf>
    <xf numFmtId="0" fontId="38" fillId="27" borderId="7" xfId="0" applyFont="1" applyFill="1" applyBorder="1" applyAlignment="1">
      <alignment horizontal="right" vertical="center"/>
    </xf>
    <xf numFmtId="0" fontId="37" fillId="27" borderId="7" xfId="0" applyFont="1" applyFill="1" applyBorder="1" applyAlignment="1">
      <alignment horizontal="right" vertical="center"/>
    </xf>
    <xf numFmtId="0" fontId="37" fillId="27" borderId="7" xfId="0" applyFont="1" applyFill="1" applyBorder="1" applyAlignment="1">
      <alignment horizontal="center" vertical="center" wrapText="1"/>
    </xf>
    <xf numFmtId="0" fontId="38" fillId="27" borderId="2" xfId="0" applyFont="1" applyFill="1" applyBorder="1" applyAlignment="1">
      <alignment horizontal="right" vertical="center"/>
    </xf>
    <xf numFmtId="49" fontId="37" fillId="27" borderId="8" xfId="0" applyNumberFormat="1" applyFont="1" applyFill="1" applyBorder="1" applyAlignment="1">
      <alignment horizontal="center" vertical="center"/>
    </xf>
    <xf numFmtId="49" fontId="38" fillId="27" borderId="8" xfId="0" applyNumberFormat="1" applyFont="1" applyFill="1" applyBorder="1" applyAlignment="1">
      <alignment vertical="center"/>
    </xf>
    <xf numFmtId="0" fontId="38" fillId="27" borderId="1" xfId="0" applyFont="1" applyFill="1" applyBorder="1"/>
    <xf numFmtId="0" fontId="38" fillId="27" borderId="8" xfId="0" applyFont="1" applyFill="1" applyBorder="1" applyAlignment="1">
      <alignment vertical="center" wrapText="1"/>
    </xf>
    <xf numFmtId="167" fontId="37" fillId="27" borderId="1" xfId="0" applyNumberFormat="1" applyFont="1" applyFill="1" applyBorder="1" applyAlignment="1">
      <alignment horizontal="center" vertical="center" wrapText="1"/>
    </xf>
    <xf numFmtId="0" fontId="37" fillId="27" borderId="1" xfId="0" applyFont="1" applyFill="1" applyBorder="1" applyAlignment="1">
      <alignment horizontal="center" vertical="center" wrapText="1"/>
    </xf>
    <xf numFmtId="49" fontId="29" fillId="0" borderId="1" xfId="0" applyNumberFormat="1" applyFont="1" applyFill="1" applyBorder="1" applyAlignment="1">
      <alignment horizontal="center" vertical="center" wrapText="1"/>
    </xf>
    <xf numFmtId="0" fontId="29" fillId="0" borderId="7" xfId="0" applyFont="1" applyFill="1" applyBorder="1" applyAlignment="1">
      <alignment horizontal="center" vertical="center" wrapText="1"/>
    </xf>
    <xf numFmtId="167" fontId="38" fillId="3" borderId="1" xfId="157" applyNumberFormat="1" applyFont="1" applyFill="1" applyBorder="1" applyAlignment="1">
      <alignment wrapText="1"/>
    </xf>
    <xf numFmtId="167" fontId="38" fillId="27" borderId="1" xfId="0" applyNumberFormat="1" applyFont="1" applyFill="1" applyBorder="1" applyAlignment="1">
      <alignment horizontal="center" vertical="center" wrapText="1"/>
    </xf>
    <xf numFmtId="167" fontId="37" fillId="27" borderId="7" xfId="0" applyNumberFormat="1" applyFont="1" applyFill="1" applyBorder="1" applyAlignment="1">
      <alignment horizontal="center" vertical="center" wrapText="1"/>
    </xf>
    <xf numFmtId="167" fontId="37" fillId="27" borderId="25" xfId="0" applyNumberFormat="1" applyFont="1" applyFill="1" applyBorder="1" applyAlignment="1">
      <alignment horizontal="center" vertical="center" wrapText="1"/>
    </xf>
    <xf numFmtId="167" fontId="38" fillId="27" borderId="8" xfId="0" applyNumberFormat="1" applyFont="1" applyFill="1" applyBorder="1" applyAlignment="1">
      <alignment horizontal="center" vertical="center" wrapText="1"/>
    </xf>
    <xf numFmtId="167" fontId="30" fillId="3" borderId="25" xfId="7" applyNumberFormat="1" applyFont="1" applyFill="1" applyBorder="1" applyAlignment="1">
      <alignment horizontal="center" vertical="center" wrapText="1"/>
    </xf>
    <xf numFmtId="0" fontId="30" fillId="3" borderId="1" xfId="2" applyFont="1" applyFill="1" applyBorder="1" applyAlignment="1">
      <alignment horizontal="center" vertical="center" wrapText="1"/>
    </xf>
    <xf numFmtId="1" fontId="29" fillId="2" borderId="1" xfId="0" applyNumberFormat="1" applyFont="1" applyFill="1" applyBorder="1" applyAlignment="1">
      <alignment horizontal="center" vertical="center"/>
    </xf>
    <xf numFmtId="49" fontId="29" fillId="2" borderId="25" xfId="0" applyNumberFormat="1" applyFont="1" applyFill="1" applyBorder="1" applyAlignment="1">
      <alignment horizontal="center" vertical="center"/>
    </xf>
    <xf numFmtId="1" fontId="29" fillId="2" borderId="7" xfId="0" applyNumberFormat="1" applyFont="1" applyFill="1" applyBorder="1" applyAlignment="1">
      <alignment horizontal="right" vertical="center"/>
    </xf>
    <xf numFmtId="0" fontId="40" fillId="2" borderId="7" xfId="0" applyFont="1" applyFill="1" applyBorder="1" applyAlignment="1">
      <alignment horizontal="right" vertical="center"/>
    </xf>
    <xf numFmtId="0" fontId="40" fillId="2" borderId="7" xfId="0" applyFont="1" applyFill="1" applyBorder="1" applyAlignment="1">
      <alignment horizontal="center" vertical="center" wrapText="1"/>
    </xf>
    <xf numFmtId="0" fontId="35" fillId="2" borderId="7" xfId="0" applyFont="1" applyFill="1" applyBorder="1" applyAlignment="1">
      <alignment horizontal="center" vertical="center"/>
    </xf>
    <xf numFmtId="0" fontId="35" fillId="2" borderId="1" xfId="0" applyFont="1" applyFill="1" applyBorder="1" applyAlignment="1">
      <alignment horizontal="center" vertical="center" wrapText="1"/>
    </xf>
    <xf numFmtId="0" fontId="40" fillId="2" borderId="1" xfId="0" applyFont="1" applyFill="1" applyBorder="1" applyAlignment="1">
      <alignment horizontal="center" vertical="center" wrapText="1"/>
    </xf>
    <xf numFmtId="0" fontId="35" fillId="0" borderId="1" xfId="0" applyFont="1" applyBorder="1" applyAlignment="1">
      <alignment horizontal="center"/>
    </xf>
    <xf numFmtId="0" fontId="34" fillId="2" borderId="1" xfId="5" applyFont="1" applyFill="1" applyBorder="1" applyAlignment="1">
      <alignment vertical="center" wrapText="1"/>
    </xf>
    <xf numFmtId="0" fontId="30" fillId="0" borderId="1" xfId="5" applyFont="1" applyBorder="1" applyAlignment="1">
      <alignment horizontal="center" vertical="center"/>
    </xf>
    <xf numFmtId="0" fontId="29" fillId="0" borderId="8" xfId="5" applyFont="1" applyBorder="1" applyAlignment="1">
      <alignment horizontal="center" vertical="center"/>
    </xf>
    <xf numFmtId="49" fontId="30" fillId="0" borderId="1" xfId="5" applyNumberFormat="1" applyFont="1" applyBorder="1" applyAlignment="1">
      <alignment horizontal="center" vertical="center"/>
    </xf>
    <xf numFmtId="49" fontId="29" fillId="0" borderId="1" xfId="5" applyNumberFormat="1" applyFont="1" applyBorder="1" applyAlignment="1">
      <alignment horizontal="center" vertical="center"/>
    </xf>
    <xf numFmtId="0" fontId="33" fillId="2" borderId="1" xfId="5" applyFont="1" applyFill="1" applyBorder="1" applyAlignment="1">
      <alignment vertical="center" wrapText="1"/>
    </xf>
    <xf numFmtId="0" fontId="34" fillId="2" borderId="1" xfId="0" applyFont="1" applyFill="1" applyBorder="1" applyAlignment="1">
      <alignment wrapText="1"/>
    </xf>
    <xf numFmtId="49" fontId="35" fillId="2" borderId="1" xfId="0" applyNumberFormat="1" applyFont="1" applyFill="1" applyBorder="1" applyAlignment="1">
      <alignment horizontal="center" vertical="center"/>
    </xf>
    <xf numFmtId="167" fontId="34" fillId="2" borderId="1" xfId="0" applyNumberFormat="1" applyFont="1" applyFill="1" applyBorder="1" applyAlignment="1">
      <alignment vertical="center" wrapText="1"/>
    </xf>
    <xf numFmtId="49" fontId="35" fillId="2" borderId="8" xfId="0" applyNumberFormat="1" applyFont="1" applyFill="1" applyBorder="1" applyAlignment="1">
      <alignment horizontal="center" vertical="center"/>
    </xf>
    <xf numFmtId="49" fontId="30" fillId="0" borderId="8" xfId="5" applyNumberFormat="1" applyFont="1" applyBorder="1" applyAlignment="1">
      <alignment horizontal="center" vertical="center"/>
    </xf>
    <xf numFmtId="49" fontId="29" fillId="0" borderId="8" xfId="5" applyNumberFormat="1" applyFont="1" applyBorder="1" applyAlignment="1">
      <alignment horizontal="center" vertical="center"/>
    </xf>
    <xf numFmtId="167" fontId="34" fillId="2" borderId="8" xfId="0" applyNumberFormat="1" applyFont="1" applyFill="1" applyBorder="1" applyAlignment="1">
      <alignment vertical="center" wrapText="1"/>
    </xf>
    <xf numFmtId="49" fontId="33" fillId="2" borderId="1" xfId="0" applyNumberFormat="1" applyFont="1" applyFill="1" applyBorder="1" applyAlignment="1">
      <alignment vertical="center"/>
    </xf>
    <xf numFmtId="168" fontId="34" fillId="2" borderId="1" xfId="0" applyNumberFormat="1" applyFont="1" applyFill="1" applyBorder="1" applyAlignment="1">
      <alignment vertical="center"/>
    </xf>
    <xf numFmtId="1" fontId="33" fillId="2" borderId="1" xfId="0" applyNumberFormat="1" applyFont="1" applyFill="1" applyBorder="1" applyAlignment="1">
      <alignment horizontal="center" vertical="center"/>
    </xf>
    <xf numFmtId="0" fontId="38" fillId="2" borderId="1" xfId="0" applyFont="1" applyFill="1" applyBorder="1" applyAlignment="1">
      <alignment horizontal="left" vertical="center" wrapText="1"/>
    </xf>
    <xf numFmtId="1" fontId="34" fillId="2" borderId="1" xfId="0" applyNumberFormat="1" applyFont="1" applyFill="1" applyBorder="1" applyAlignment="1">
      <alignment horizontal="right" vertical="center"/>
    </xf>
    <xf numFmtId="1" fontId="34" fillId="2" borderId="8" xfId="0" applyNumberFormat="1" applyFont="1" applyFill="1" applyBorder="1" applyAlignment="1">
      <alignment vertical="center" wrapText="1"/>
    </xf>
    <xf numFmtId="9" fontId="29" fillId="2" borderId="1" xfId="0" applyNumberFormat="1" applyFont="1" applyFill="1" applyBorder="1" applyAlignment="1">
      <alignment horizontal="center" vertical="center" wrapText="1"/>
    </xf>
    <xf numFmtId="1" fontId="34" fillId="2" borderId="1" xfId="0" applyNumberFormat="1" applyFont="1" applyFill="1" applyBorder="1" applyAlignment="1">
      <alignment vertical="center"/>
    </xf>
    <xf numFmtId="0" fontId="38" fillId="2" borderId="1" xfId="0" applyFont="1" applyFill="1" applyBorder="1" applyAlignment="1">
      <alignment horizontal="center" vertical="center" wrapText="1"/>
    </xf>
    <xf numFmtId="167" fontId="38" fillId="2" borderId="1" xfId="5" applyNumberFormat="1" applyFont="1" applyFill="1" applyBorder="1" applyAlignment="1">
      <alignment horizontal="center" vertical="center" wrapText="1"/>
    </xf>
    <xf numFmtId="1" fontId="34" fillId="2" borderId="7" xfId="0" applyNumberFormat="1" applyFont="1" applyFill="1" applyBorder="1" applyAlignment="1">
      <alignment horizontal="right" vertical="center"/>
    </xf>
    <xf numFmtId="0" fontId="38" fillId="2" borderId="1" xfId="0" applyFont="1" applyFill="1" applyBorder="1" applyAlignment="1">
      <alignment vertical="center" wrapText="1"/>
    </xf>
    <xf numFmtId="166" fontId="38" fillId="2" borderId="1" xfId="0" applyNumberFormat="1" applyFont="1" applyFill="1" applyBorder="1" applyAlignment="1">
      <alignment horizontal="center" vertical="center" wrapText="1"/>
    </xf>
    <xf numFmtId="166" fontId="34" fillId="2" borderId="1" xfId="0" applyNumberFormat="1" applyFont="1" applyFill="1" applyBorder="1" applyAlignment="1">
      <alignment horizontal="center" vertical="center" wrapText="1"/>
    </xf>
    <xf numFmtId="0" fontId="34" fillId="2" borderId="1" xfId="0" applyFont="1" applyFill="1" applyBorder="1" applyAlignment="1">
      <alignment horizontal="right" vertical="center" wrapText="1"/>
    </xf>
    <xf numFmtId="1" fontId="34" fillId="2" borderId="7" xfId="0" applyNumberFormat="1" applyFont="1" applyFill="1" applyBorder="1" applyAlignment="1">
      <alignment vertical="center" wrapText="1"/>
    </xf>
    <xf numFmtId="166" fontId="33" fillId="2" borderId="1" xfId="0" applyNumberFormat="1" applyFont="1" applyFill="1" applyBorder="1" applyAlignment="1">
      <alignment horizontal="center" vertical="center" wrapText="1"/>
    </xf>
    <xf numFmtId="0" fontId="29" fillId="2" borderId="1" xfId="0" applyFont="1" applyFill="1" applyBorder="1" applyAlignment="1">
      <alignment horizontal="right" vertical="center" wrapText="1" indent="1"/>
    </xf>
    <xf numFmtId="9" fontId="34" fillId="2" borderId="7" xfId="0" applyNumberFormat="1" applyFont="1" applyFill="1" applyBorder="1" applyAlignment="1">
      <alignment horizontal="center" vertical="center" wrapText="1"/>
    </xf>
    <xf numFmtId="0" fontId="34" fillId="2" borderId="0" xfId="0" applyFont="1" applyFill="1"/>
    <xf numFmtId="1" fontId="34" fillId="2" borderId="8" xfId="0" applyNumberFormat="1" applyFont="1" applyFill="1" applyBorder="1" applyAlignment="1">
      <alignment horizontal="center" vertical="center" wrapText="1"/>
    </xf>
    <xf numFmtId="169" fontId="34" fillId="2" borderId="7" xfId="0" applyNumberFormat="1" applyFont="1" applyFill="1" applyBorder="1" applyAlignment="1">
      <alignment horizontal="center" vertical="center" wrapText="1"/>
    </xf>
    <xf numFmtId="1" fontId="34" fillId="2" borderId="1" xfId="0" applyNumberFormat="1" applyFont="1" applyFill="1" applyBorder="1" applyAlignment="1">
      <alignment horizontal="center" vertical="center" wrapText="1"/>
    </xf>
    <xf numFmtId="1" fontId="34" fillId="2" borderId="2" xfId="0" applyNumberFormat="1" applyFont="1" applyFill="1" applyBorder="1" applyAlignment="1">
      <alignment horizontal="right" vertical="center"/>
    </xf>
    <xf numFmtId="0" fontId="37" fillId="2" borderId="8" xfId="0" applyFont="1" applyFill="1" applyBorder="1" applyAlignment="1">
      <alignment horizontal="center" vertical="center" wrapText="1"/>
    </xf>
    <xf numFmtId="166" fontId="37" fillId="2" borderId="8" xfId="0" applyNumberFormat="1" applyFont="1" applyFill="1" applyBorder="1" applyAlignment="1">
      <alignment horizontal="center" vertical="center" wrapText="1"/>
    </xf>
    <xf numFmtId="0" fontId="37" fillId="2" borderId="1" xfId="0" applyFont="1" applyFill="1" applyBorder="1" applyAlignment="1">
      <alignment horizontal="left" vertical="center" wrapText="1"/>
    </xf>
    <xf numFmtId="0" fontId="37" fillId="2" borderId="1" xfId="0" applyFont="1" applyFill="1" applyBorder="1" applyAlignment="1">
      <alignment horizontal="center" vertical="center" wrapText="1"/>
    </xf>
    <xf numFmtId="166" fontId="37" fillId="2" borderId="1" xfId="0" applyNumberFormat="1" applyFont="1" applyFill="1" applyBorder="1" applyAlignment="1">
      <alignment horizontal="center" vertical="center" wrapText="1"/>
    </xf>
    <xf numFmtId="9" fontId="34" fillId="0" borderId="1" xfId="0" applyNumberFormat="1" applyFont="1" applyFill="1" applyBorder="1" applyAlignment="1">
      <alignment horizontal="center" vertical="center" wrapText="1"/>
    </xf>
    <xf numFmtId="0" fontId="34" fillId="2" borderId="1" xfId="0" applyFont="1" applyFill="1" applyBorder="1"/>
    <xf numFmtId="49" fontId="34" fillId="2" borderId="1" xfId="0" applyNumberFormat="1" applyFont="1" applyFill="1" applyBorder="1"/>
    <xf numFmtId="0" fontId="34" fillId="0" borderId="1" xfId="0" applyFont="1" applyFill="1" applyBorder="1" applyAlignment="1">
      <alignment horizontal="center"/>
    </xf>
    <xf numFmtId="0" fontId="34" fillId="0" borderId="1" xfId="0" applyFont="1" applyFill="1" applyBorder="1" applyAlignment="1">
      <alignment horizontal="right"/>
    </xf>
    <xf numFmtId="0" fontId="34" fillId="2" borderId="1" xfId="0" applyFont="1" applyFill="1" applyBorder="1" applyAlignment="1"/>
    <xf numFmtId="0" fontId="34" fillId="0" borderId="8" xfId="0" applyFont="1" applyFill="1" applyBorder="1"/>
    <xf numFmtId="0" fontId="34" fillId="2" borderId="8" xfId="0" applyFont="1" applyFill="1" applyBorder="1" applyAlignment="1"/>
    <xf numFmtId="0" fontId="34" fillId="2" borderId="8" xfId="0" applyFont="1" applyFill="1" applyBorder="1"/>
    <xf numFmtId="0" fontId="34" fillId="2" borderId="11" xfId="0" applyFont="1" applyFill="1" applyBorder="1"/>
    <xf numFmtId="0" fontId="34" fillId="2" borderId="1" xfId="0" applyFont="1" applyFill="1" applyBorder="1" applyAlignment="1">
      <alignment horizontal="right"/>
    </xf>
    <xf numFmtId="49" fontId="34" fillId="0" borderId="1" xfId="0" applyNumberFormat="1" applyFont="1" applyFill="1" applyBorder="1" applyAlignment="1">
      <alignment horizontal="left" vertical="center" wrapText="1"/>
    </xf>
    <xf numFmtId="0" fontId="34" fillId="0" borderId="0" xfId="0" applyFont="1"/>
    <xf numFmtId="0" fontId="33" fillId="2" borderId="0" xfId="0" applyFont="1" applyFill="1"/>
    <xf numFmtId="169" fontId="29" fillId="0" borderId="25" xfId="0" applyNumberFormat="1" applyFont="1" applyFill="1" applyBorder="1" applyAlignment="1">
      <alignment horizontal="center" vertical="center"/>
    </xf>
    <xf numFmtId="174" fontId="34" fillId="2" borderId="8" xfId="0" applyNumberFormat="1" applyFont="1" applyFill="1" applyBorder="1" applyAlignment="1">
      <alignment horizontal="center" vertical="center" wrapText="1"/>
    </xf>
    <xf numFmtId="174" fontId="34" fillId="2" borderId="1" xfId="0" applyNumberFormat="1" applyFont="1" applyFill="1" applyBorder="1" applyAlignment="1">
      <alignment vertical="center" wrapText="1"/>
    </xf>
    <xf numFmtId="169" fontId="38" fillId="2" borderId="8" xfId="0" applyNumberFormat="1" applyFont="1" applyFill="1" applyBorder="1" applyAlignment="1">
      <alignment horizontal="right" vertical="center"/>
    </xf>
    <xf numFmtId="169" fontId="33" fillId="2" borderId="7" xfId="0" applyNumberFormat="1" applyFont="1" applyFill="1" applyBorder="1" applyAlignment="1">
      <alignment horizontal="center" vertical="center"/>
    </xf>
    <xf numFmtId="167" fontId="30" fillId="2" borderId="8" xfId="0" applyNumberFormat="1" applyFont="1" applyFill="1" applyBorder="1" applyAlignment="1">
      <alignment horizontal="center" vertical="center" wrapText="1"/>
    </xf>
    <xf numFmtId="167" fontId="34" fillId="0" borderId="1" xfId="0" applyNumberFormat="1" applyFont="1" applyBorder="1" applyAlignment="1">
      <alignment horizontal="center" vertical="center" wrapText="1"/>
    </xf>
    <xf numFmtId="167" fontId="37" fillId="3" borderId="1" xfId="0" applyNumberFormat="1" applyFont="1" applyFill="1" applyBorder="1" applyAlignment="1">
      <alignment horizontal="center" vertical="center" wrapText="1"/>
    </xf>
    <xf numFmtId="169" fontId="33" fillId="2" borderId="1" xfId="0" applyNumberFormat="1" applyFont="1" applyFill="1" applyBorder="1" applyAlignment="1">
      <alignment vertical="center"/>
    </xf>
    <xf numFmtId="168" fontId="34" fillId="2" borderId="25" xfId="0" applyNumberFormat="1" applyFont="1" applyFill="1" applyBorder="1" applyAlignment="1">
      <alignment vertical="center"/>
    </xf>
    <xf numFmtId="174" fontId="34" fillId="2" borderId="8" xfId="0" applyNumberFormat="1" applyFont="1" applyFill="1" applyBorder="1" applyAlignment="1">
      <alignment vertical="center" wrapText="1"/>
    </xf>
    <xf numFmtId="174" fontId="34" fillId="2" borderId="25" xfId="0" applyNumberFormat="1" applyFont="1" applyFill="1" applyBorder="1" applyAlignment="1">
      <alignment vertical="center" wrapText="1"/>
    </xf>
    <xf numFmtId="1" fontId="34" fillId="2" borderId="25" xfId="0" applyNumberFormat="1" applyFont="1" applyFill="1" applyBorder="1" applyAlignment="1">
      <alignment vertical="center"/>
    </xf>
    <xf numFmtId="1" fontId="34" fillId="2" borderId="7" xfId="0" applyNumberFormat="1" applyFont="1" applyFill="1" applyBorder="1" applyAlignment="1">
      <alignment vertical="center"/>
    </xf>
    <xf numFmtId="167" fontId="29" fillId="0" borderId="6" xfId="7" applyNumberFormat="1" applyFont="1" applyFill="1" applyBorder="1" applyAlignment="1">
      <alignment horizontal="center" vertical="center" wrapText="1"/>
    </xf>
    <xf numFmtId="167" fontId="29" fillId="0" borderId="28" xfId="7" applyNumberFormat="1" applyFont="1" applyFill="1" applyBorder="1" applyAlignment="1">
      <alignment horizontal="center" vertical="center" wrapText="1"/>
    </xf>
    <xf numFmtId="167" fontId="30" fillId="0" borderId="1" xfId="1" applyNumberFormat="1" applyFont="1" applyFill="1" applyBorder="1" applyAlignment="1">
      <alignment horizontal="center" vertical="center"/>
    </xf>
    <xf numFmtId="167" fontId="29" fillId="0" borderId="1" xfId="1" applyNumberFormat="1" applyFont="1" applyFill="1" applyBorder="1" applyAlignment="1">
      <alignment horizontal="center" vertical="center"/>
    </xf>
    <xf numFmtId="175" fontId="29" fillId="0" borderId="2" xfId="16" applyNumberFormat="1" applyFont="1" applyFill="1" applyBorder="1" applyAlignment="1">
      <alignment horizontal="center" vertical="center" wrapText="1"/>
    </xf>
    <xf numFmtId="175" fontId="29" fillId="0" borderId="8" xfId="16" applyNumberFormat="1" applyFont="1" applyFill="1" applyBorder="1" applyAlignment="1">
      <alignment vertical="center" wrapText="1"/>
    </xf>
    <xf numFmtId="0" fontId="30" fillId="0" borderId="1" xfId="0" applyFont="1" applyFill="1" applyBorder="1" applyAlignment="1">
      <alignment horizontal="left" vertical="top" wrapText="1"/>
    </xf>
    <xf numFmtId="0" fontId="34" fillId="0" borderId="25" xfId="0" applyFont="1" applyFill="1" applyBorder="1" applyAlignment="1">
      <alignment horizontal="center" vertical="center" wrapText="1"/>
    </xf>
    <xf numFmtId="3" fontId="34" fillId="0" borderId="25" xfId="0" applyNumberFormat="1" applyFont="1" applyFill="1" applyBorder="1" applyAlignment="1">
      <alignment horizontal="center" vertical="center" wrapText="1"/>
    </xf>
    <xf numFmtId="167" fontId="30" fillId="3" borderId="1" xfId="1" applyNumberFormat="1" applyFont="1" applyFill="1" applyBorder="1" applyAlignment="1">
      <alignment horizontal="center" vertical="center" wrapText="1"/>
    </xf>
    <xf numFmtId="0" fontId="34" fillId="2" borderId="2" xfId="0" applyFont="1" applyFill="1" applyBorder="1" applyAlignment="1">
      <alignment horizontal="center" vertical="center" wrapText="1"/>
    </xf>
    <xf numFmtId="0" fontId="29" fillId="0" borderId="7" xfId="0" applyFont="1" applyFill="1" applyBorder="1" applyAlignment="1">
      <alignment horizontal="center" vertical="center"/>
    </xf>
    <xf numFmtId="49" fontId="29" fillId="28" borderId="0" xfId="0" applyNumberFormat="1" applyFont="1" applyFill="1"/>
    <xf numFmtId="169" fontId="38" fillId="0" borderId="4" xfId="0" applyNumberFormat="1" applyFont="1" applyBorder="1" applyAlignment="1">
      <alignment horizontal="center" vertical="center"/>
    </xf>
    <xf numFmtId="49" fontId="38" fillId="27" borderId="1" xfId="0" applyNumberFormat="1" applyFont="1" applyFill="1" applyBorder="1" applyAlignment="1">
      <alignment horizontal="center" vertical="center"/>
    </xf>
    <xf numFmtId="0" fontId="38" fillId="3" borderId="1" xfId="0" applyFont="1" applyFill="1" applyBorder="1"/>
    <xf numFmtId="166" fontId="34" fillId="0" borderId="1" xfId="0" applyNumberFormat="1" applyFont="1" applyFill="1" applyBorder="1" applyAlignment="1">
      <alignment horizontal="center" vertical="center" wrapText="1"/>
    </xf>
    <xf numFmtId="168" fontId="33" fillId="2" borderId="1" xfId="0" applyNumberFormat="1" applyFont="1" applyFill="1" applyBorder="1" applyAlignment="1">
      <alignment horizontal="center" vertical="center"/>
    </xf>
    <xf numFmtId="9" fontId="34" fillId="2" borderId="1" xfId="0" applyNumberFormat="1" applyFont="1" applyFill="1" applyBorder="1" applyAlignment="1">
      <alignment horizontal="center" vertical="center" wrapText="1"/>
    </xf>
    <xf numFmtId="0" fontId="34" fillId="2" borderId="1" xfId="0" applyNumberFormat="1" applyFont="1" applyFill="1" applyBorder="1" applyAlignment="1">
      <alignment horizontal="center" vertical="center" wrapText="1"/>
    </xf>
    <xf numFmtId="49" fontId="33" fillId="2" borderId="1" xfId="0" applyNumberFormat="1" applyFont="1" applyFill="1" applyBorder="1" applyAlignment="1">
      <alignment horizontal="center" vertical="center" wrapText="1"/>
    </xf>
    <xf numFmtId="168" fontId="33" fillId="2" borderId="25" xfId="0" applyNumberFormat="1" applyFont="1" applyFill="1" applyBorder="1" applyAlignment="1">
      <alignment horizontal="center" vertical="center"/>
    </xf>
    <xf numFmtId="0" fontId="33" fillId="2" borderId="1" xfId="0" applyFont="1" applyFill="1" applyBorder="1" applyAlignment="1">
      <alignment vertical="center"/>
    </xf>
    <xf numFmtId="0" fontId="29" fillId="4" borderId="7" xfId="0" applyFont="1" applyFill="1" applyBorder="1"/>
    <xf numFmtId="168" fontId="37" fillId="0" borderId="1" xfId="0" applyNumberFormat="1" applyFont="1" applyBorder="1" applyAlignment="1">
      <alignment horizontal="center" vertical="center"/>
    </xf>
    <xf numFmtId="0" fontId="38" fillId="27" borderId="1" xfId="0" applyFont="1" applyFill="1" applyBorder="1" applyAlignment="1">
      <alignment horizontal="right" vertical="center"/>
    </xf>
    <xf numFmtId="49" fontId="37" fillId="27" borderId="1" xfId="0" applyNumberFormat="1" applyFont="1" applyFill="1" applyBorder="1" applyAlignment="1">
      <alignment horizontal="center" vertical="center"/>
    </xf>
    <xf numFmtId="0" fontId="29" fillId="27" borderId="1" xfId="0" applyFont="1" applyFill="1" applyBorder="1" applyAlignment="1">
      <alignment horizontal="left" vertical="center" wrapText="1"/>
    </xf>
    <xf numFmtId="49" fontId="30" fillId="27" borderId="8" xfId="0" applyNumberFormat="1" applyFont="1" applyFill="1" applyBorder="1" applyAlignment="1">
      <alignment horizontal="center" vertical="center"/>
    </xf>
    <xf numFmtId="0" fontId="30" fillId="27" borderId="1" xfId="0" applyFont="1" applyFill="1" applyBorder="1" applyAlignment="1">
      <alignment horizontal="left" vertical="center" wrapText="1"/>
    </xf>
    <xf numFmtId="49" fontId="29" fillId="27" borderId="8" xfId="0" applyNumberFormat="1" applyFont="1" applyFill="1" applyBorder="1" applyAlignment="1">
      <alignment horizontal="center" vertical="center"/>
    </xf>
    <xf numFmtId="0" fontId="29" fillId="2" borderId="8" xfId="0" applyFont="1" applyFill="1" applyBorder="1" applyAlignment="1">
      <alignment vertical="center" wrapText="1"/>
    </xf>
    <xf numFmtId="168" fontId="37" fillId="0" borderId="8" xfId="0" applyNumberFormat="1" applyFont="1" applyBorder="1" applyAlignment="1">
      <alignment horizontal="center" vertical="center"/>
    </xf>
    <xf numFmtId="49" fontId="38" fillId="27" borderId="8" xfId="0" applyNumberFormat="1" applyFont="1" applyFill="1" applyBorder="1" applyAlignment="1">
      <alignment horizontal="center" vertical="center"/>
    </xf>
    <xf numFmtId="167" fontId="29" fillId="2" borderId="8" xfId="1" applyNumberFormat="1" applyFont="1" applyFill="1" applyBorder="1" applyAlignment="1">
      <alignment horizontal="center" vertical="center" wrapText="1"/>
    </xf>
    <xf numFmtId="169" fontId="29" fillId="0" borderId="8" xfId="0" applyNumberFormat="1" applyFont="1" applyBorder="1" applyAlignment="1">
      <alignment horizontal="center"/>
    </xf>
    <xf numFmtId="0" fontId="30" fillId="4" borderId="0" xfId="0" applyFont="1" applyFill="1" applyBorder="1" applyAlignment="1">
      <alignment horizontal="left" vertical="center"/>
    </xf>
    <xf numFmtId="0" fontId="30" fillId="2" borderId="8" xfId="0" applyFont="1" applyFill="1" applyBorder="1" applyAlignment="1">
      <alignment vertical="center" wrapText="1"/>
    </xf>
    <xf numFmtId="49" fontId="29" fillId="2" borderId="1" xfId="0" applyNumberFormat="1" applyFont="1" applyFill="1" applyBorder="1" applyAlignment="1">
      <alignment vertical="center" wrapText="1"/>
    </xf>
    <xf numFmtId="49" fontId="29" fillId="2" borderId="25" xfId="0" applyNumberFormat="1" applyFont="1" applyFill="1" applyBorder="1" applyAlignment="1">
      <alignment horizontal="center" vertical="center" wrapText="1"/>
    </xf>
    <xf numFmtId="167" fontId="30" fillId="3" borderId="1" xfId="150" applyNumberFormat="1" applyFont="1" applyFill="1" applyBorder="1" applyAlignment="1">
      <alignment horizontal="center" vertical="center"/>
    </xf>
    <xf numFmtId="0" fontId="38" fillId="0" borderId="7" xfId="0" applyFont="1" applyBorder="1"/>
    <xf numFmtId="0" fontId="29" fillId="27" borderId="7" xfId="0" applyFont="1" applyFill="1" applyBorder="1" applyAlignment="1">
      <alignment horizontal="center" vertical="center"/>
    </xf>
    <xf numFmtId="49" fontId="29" fillId="27" borderId="25" xfId="0" applyNumberFormat="1" applyFont="1" applyFill="1" applyBorder="1" applyAlignment="1">
      <alignment horizontal="center" vertical="center"/>
    </xf>
    <xf numFmtId="49" fontId="30" fillId="27" borderId="25" xfId="0" applyNumberFormat="1" applyFont="1" applyFill="1" applyBorder="1" applyAlignment="1">
      <alignment horizontal="center" vertical="center"/>
    </xf>
    <xf numFmtId="0" fontId="29" fillId="3" borderId="1" xfId="0" applyFont="1" applyFill="1" applyBorder="1" applyAlignment="1">
      <alignment horizontal="center"/>
    </xf>
    <xf numFmtId="167" fontId="30" fillId="0" borderId="7" xfId="0" applyNumberFormat="1" applyFont="1" applyBorder="1" applyAlignment="1">
      <alignment horizontal="center" vertical="center"/>
    </xf>
    <xf numFmtId="49" fontId="30" fillId="2" borderId="8" xfId="0" applyNumberFormat="1" applyFont="1" applyFill="1" applyBorder="1" applyAlignment="1">
      <alignment horizontal="center" vertical="center"/>
    </xf>
    <xf numFmtId="168" fontId="29" fillId="0" borderId="25" xfId="0" applyNumberFormat="1" applyFont="1" applyBorder="1" applyAlignment="1">
      <alignment horizontal="center" vertical="center"/>
    </xf>
    <xf numFmtId="168" fontId="29" fillId="0" borderId="8" xfId="0" applyNumberFormat="1" applyFont="1" applyBorder="1" applyAlignment="1">
      <alignment horizontal="center" vertical="center"/>
    </xf>
    <xf numFmtId="0" fontId="29" fillId="0" borderId="26" xfId="0" applyFont="1" applyFill="1" applyBorder="1" applyAlignment="1">
      <alignment horizontal="left" vertical="center" wrapText="1"/>
    </xf>
    <xf numFmtId="167" fontId="29" fillId="2" borderId="8" xfId="0" applyNumberFormat="1" applyFont="1" applyFill="1" applyBorder="1" applyAlignment="1">
      <alignment vertical="center" wrapText="1"/>
    </xf>
    <xf numFmtId="168" fontId="33" fillId="2" borderId="1" xfId="0" applyNumberFormat="1" applyFont="1" applyFill="1" applyBorder="1" applyAlignment="1">
      <alignment vertical="center"/>
    </xf>
    <xf numFmtId="169" fontId="34" fillId="2" borderId="8" xfId="0" applyNumberFormat="1" applyFont="1" applyFill="1" applyBorder="1" applyAlignment="1">
      <alignment horizontal="center" vertical="center" wrapText="1"/>
    </xf>
    <xf numFmtId="169" fontId="34" fillId="2" borderId="4" xfId="0" applyNumberFormat="1" applyFont="1" applyFill="1" applyBorder="1" applyAlignment="1">
      <alignment horizontal="center" vertical="center"/>
    </xf>
    <xf numFmtId="0" fontId="29" fillId="2" borderId="1" xfId="2" applyNumberFormat="1" applyFont="1" applyFill="1" applyBorder="1" applyAlignment="1">
      <alignment horizontal="center" wrapText="1"/>
    </xf>
    <xf numFmtId="49" fontId="29" fillId="0" borderId="8" xfId="0" applyNumberFormat="1" applyFont="1" applyFill="1" applyBorder="1" applyAlignment="1">
      <alignment vertical="center"/>
    </xf>
    <xf numFmtId="167" fontId="30" fillId="0" borderId="1" xfId="2" applyNumberFormat="1" applyFont="1" applyFill="1" applyBorder="1" applyAlignment="1">
      <alignment horizontal="center" vertical="center" wrapText="1"/>
    </xf>
    <xf numFmtId="0" fontId="30" fillId="0" borderId="8" xfId="2" applyFont="1" applyFill="1" applyBorder="1" applyAlignment="1">
      <alignment horizontal="left" vertical="center" wrapText="1"/>
    </xf>
    <xf numFmtId="0" fontId="32" fillId="0" borderId="1" xfId="0" applyFont="1" applyFill="1" applyBorder="1" applyAlignment="1">
      <alignment horizontal="left" vertical="top" wrapText="1"/>
    </xf>
    <xf numFmtId="0" fontId="37" fillId="27" borderId="8" xfId="0" applyFont="1" applyFill="1" applyBorder="1" applyAlignment="1">
      <alignment horizontal="center" vertical="center" wrapText="1"/>
    </xf>
    <xf numFmtId="49" fontId="29" fillId="0" borderId="1" xfId="0" applyNumberFormat="1" applyFont="1" applyBorder="1" applyAlignment="1">
      <alignment horizontal="center" vertical="center"/>
    </xf>
    <xf numFmtId="0" fontId="34" fillId="2" borderId="25" xfId="0" applyFont="1" applyFill="1" applyBorder="1" applyAlignment="1">
      <alignment horizontal="center" vertical="center" wrapText="1"/>
    </xf>
    <xf numFmtId="0" fontId="33" fillId="2" borderId="25" xfId="0" applyFont="1" applyFill="1" applyBorder="1" applyAlignment="1">
      <alignment horizontal="center" vertical="center" wrapText="1"/>
    </xf>
    <xf numFmtId="167" fontId="30" fillId="4" borderId="7" xfId="0" applyNumberFormat="1" applyFont="1" applyFill="1" applyBorder="1" applyAlignment="1">
      <alignment horizontal="center" vertical="center"/>
    </xf>
    <xf numFmtId="166" fontId="37" fillId="27" borderId="8" xfId="0" applyNumberFormat="1" applyFont="1" applyFill="1" applyBorder="1" applyAlignment="1">
      <alignment horizontal="center" vertical="center" wrapText="1"/>
    </xf>
    <xf numFmtId="166" fontId="38" fillId="2" borderId="8" xfId="0" applyNumberFormat="1" applyFont="1" applyFill="1" applyBorder="1" applyAlignment="1">
      <alignment horizontal="center" vertical="center" wrapText="1"/>
    </xf>
    <xf numFmtId="166" fontId="38" fillId="27" borderId="8" xfId="0" applyNumberFormat="1" applyFont="1" applyFill="1" applyBorder="1" applyAlignment="1">
      <alignment horizontal="center" vertical="center" wrapText="1"/>
    </xf>
    <xf numFmtId="0" fontId="38" fillId="27" borderId="1" xfId="0" applyFont="1" applyFill="1" applyBorder="1" applyAlignment="1">
      <alignment horizontal="center" vertical="center"/>
    </xf>
    <xf numFmtId="166" fontId="38" fillId="27" borderId="1" xfId="0" applyNumberFormat="1" applyFont="1" applyFill="1" applyBorder="1" applyAlignment="1">
      <alignment horizontal="center" vertical="center" wrapText="1"/>
    </xf>
    <xf numFmtId="166" fontId="37" fillId="27" borderId="1" xfId="0" applyNumberFormat="1" applyFont="1" applyFill="1" applyBorder="1" applyAlignment="1">
      <alignment horizontal="center" vertical="center" wrapText="1"/>
    </xf>
    <xf numFmtId="0" fontId="29" fillId="28" borderId="0" xfId="0" applyFont="1" applyFill="1" applyAlignment="1">
      <alignment horizontal="left"/>
    </xf>
    <xf numFmtId="166" fontId="29" fillId="28" borderId="0" xfId="7" applyNumberFormat="1" applyFont="1" applyFill="1" applyAlignment="1">
      <alignment horizontal="left" vertical="center"/>
    </xf>
    <xf numFmtId="0" fontId="30" fillId="4" borderId="4" xfId="0" applyFont="1" applyFill="1" applyBorder="1" applyAlignment="1"/>
    <xf numFmtId="0" fontId="30" fillId="4" borderId="5" xfId="0" applyFont="1" applyFill="1" applyBorder="1" applyAlignment="1"/>
    <xf numFmtId="0" fontId="30" fillId="4" borderId="6" xfId="0" applyFont="1" applyFill="1" applyBorder="1" applyAlignment="1"/>
    <xf numFmtId="167" fontId="38" fillId="27" borderId="25" xfId="0" applyNumberFormat="1" applyFont="1" applyFill="1" applyBorder="1" applyAlignment="1">
      <alignment horizontal="center" vertical="center" wrapText="1"/>
    </xf>
    <xf numFmtId="0" fontId="29" fillId="0" borderId="5" xfId="0" applyFont="1" applyFill="1" applyBorder="1" applyAlignment="1">
      <alignment horizontal="center" vertical="center" wrapText="1"/>
    </xf>
    <xf numFmtId="0" fontId="29" fillId="0" borderId="6" xfId="0" applyFont="1" applyFill="1" applyBorder="1" applyAlignment="1">
      <alignment horizontal="center" vertical="center" wrapText="1"/>
    </xf>
    <xf numFmtId="0" fontId="42" fillId="29" borderId="32" xfId="0" applyNumberFormat="1" applyFont="1" applyFill="1" applyBorder="1" applyAlignment="1" applyProtection="1">
      <alignment horizontal="left" vertical="center" wrapText="1"/>
    </xf>
    <xf numFmtId="170" fontId="33" fillId="0" borderId="0" xfId="0" applyNumberFormat="1" applyFont="1" applyFill="1" applyBorder="1" applyAlignment="1">
      <alignment horizontal="left" vertical="center"/>
    </xf>
    <xf numFmtId="170" fontId="33" fillId="0" borderId="1" xfId="0" applyNumberFormat="1" applyFont="1" applyFill="1" applyBorder="1" applyAlignment="1">
      <alignment horizontal="left" vertical="center"/>
    </xf>
    <xf numFmtId="49" fontId="29" fillId="0" borderId="25" xfId="0" applyNumberFormat="1" applyFont="1" applyBorder="1" applyAlignment="1">
      <alignment horizontal="center" vertical="center"/>
    </xf>
    <xf numFmtId="169" fontId="29" fillId="2" borderId="0" xfId="0" applyNumberFormat="1" applyFont="1" applyFill="1" applyAlignment="1">
      <alignment horizontal="center"/>
    </xf>
    <xf numFmtId="0" fontId="29" fillId="2" borderId="0" xfId="0" applyFont="1" applyFill="1"/>
    <xf numFmtId="167" fontId="34" fillId="2" borderId="6" xfId="0" applyNumberFormat="1" applyFont="1" applyFill="1" applyBorder="1" applyAlignment="1">
      <alignment horizontal="center" vertical="center" wrapText="1"/>
    </xf>
    <xf numFmtId="0" fontId="34" fillId="2" borderId="11" xfId="0" applyFont="1" applyFill="1" applyBorder="1" applyAlignment="1">
      <alignment horizontal="center" vertical="center" wrapText="1"/>
    </xf>
    <xf numFmtId="16" fontId="34" fillId="2" borderId="8" xfId="0" applyNumberFormat="1" applyFont="1" applyFill="1" applyBorder="1" applyAlignment="1">
      <alignment horizontal="center" vertical="center" wrapText="1"/>
    </xf>
    <xf numFmtId="0" fontId="34" fillId="2" borderId="26" xfId="0" applyFont="1" applyFill="1" applyBorder="1" applyAlignment="1">
      <alignment horizontal="center" vertical="center" wrapText="1"/>
    </xf>
    <xf numFmtId="0" fontId="34" fillId="2" borderId="8" xfId="0" applyFont="1" applyFill="1" applyBorder="1" applyAlignment="1">
      <alignment horizontal="center"/>
    </xf>
    <xf numFmtId="0" fontId="34" fillId="2" borderId="7" xfId="0" applyFont="1" applyFill="1" applyBorder="1" applyAlignment="1">
      <alignment horizontal="center"/>
    </xf>
    <xf numFmtId="49" fontId="33" fillId="0" borderId="1" xfId="0" applyNumberFormat="1" applyFont="1" applyFill="1" applyBorder="1" applyAlignment="1">
      <alignment horizontal="center" vertical="center" wrapText="1"/>
    </xf>
    <xf numFmtId="0" fontId="33" fillId="0" borderId="11" xfId="0" applyFont="1" applyFill="1" applyBorder="1"/>
    <xf numFmtId="0" fontId="33" fillId="0" borderId="8" xfId="0" applyFont="1" applyFill="1" applyBorder="1"/>
    <xf numFmtId="0" fontId="34" fillId="0" borderId="11" xfId="0" applyFont="1" applyFill="1" applyBorder="1"/>
    <xf numFmtId="0" fontId="34" fillId="0" borderId="1" xfId="0" applyFont="1" applyFill="1" applyBorder="1" applyAlignment="1">
      <alignment horizontal="right" vertical="center" wrapText="1"/>
    </xf>
    <xf numFmtId="0" fontId="34" fillId="0" borderId="26" xfId="0" applyFont="1" applyFill="1" applyBorder="1"/>
    <xf numFmtId="49" fontId="33" fillId="0" borderId="7" xfId="0" applyNumberFormat="1" applyFont="1" applyFill="1" applyBorder="1" applyAlignment="1">
      <alignment horizontal="center" vertical="center" wrapText="1"/>
    </xf>
    <xf numFmtId="49" fontId="29" fillId="0" borderId="11" xfId="0" applyNumberFormat="1" applyFont="1" applyFill="1" applyBorder="1" applyAlignment="1">
      <alignment horizontal="center" vertical="top"/>
    </xf>
    <xf numFmtId="167" fontId="30" fillId="0" borderId="13" xfId="7" applyNumberFormat="1" applyFont="1" applyFill="1" applyBorder="1" applyAlignment="1">
      <alignment horizontal="center" vertical="center" wrapText="1"/>
    </xf>
    <xf numFmtId="0" fontId="33" fillId="3" borderId="1" xfId="0" applyFont="1" applyFill="1" applyBorder="1" applyAlignment="1">
      <alignment vertical="center"/>
    </xf>
    <xf numFmtId="49" fontId="34" fillId="2" borderId="1" xfId="0" applyNumberFormat="1" applyFont="1" applyFill="1" applyBorder="1" applyAlignment="1">
      <alignment horizontal="center" vertical="center" wrapText="1"/>
    </xf>
    <xf numFmtId="49" fontId="34" fillId="2" borderId="1" xfId="0" applyNumberFormat="1" applyFont="1" applyFill="1" applyBorder="1" applyAlignment="1">
      <alignment horizontal="center" vertical="center"/>
    </xf>
    <xf numFmtId="0" fontId="34" fillId="2" borderId="6" xfId="0" applyFont="1" applyFill="1" applyBorder="1" applyAlignment="1">
      <alignment horizontal="center" vertical="center" wrapText="1"/>
    </xf>
    <xf numFmtId="0" fontId="29" fillId="2" borderId="8" xfId="0" applyFont="1" applyFill="1" applyBorder="1" applyAlignment="1">
      <alignment horizontal="center" vertical="center" wrapText="1"/>
    </xf>
    <xf numFmtId="0" fontId="34" fillId="2" borderId="1" xfId="0" applyFont="1" applyFill="1" applyBorder="1" applyAlignment="1">
      <alignment horizontal="center" vertical="center"/>
    </xf>
    <xf numFmtId="167" fontId="38" fillId="2" borderId="8" xfId="0" applyNumberFormat="1" applyFont="1" applyFill="1" applyBorder="1" applyAlignment="1">
      <alignment horizontal="center" vertical="center" wrapText="1"/>
    </xf>
    <xf numFmtId="0" fontId="38" fillId="2" borderId="8" xfId="0" applyFont="1" applyFill="1" applyBorder="1" applyAlignment="1">
      <alignment horizontal="center" vertical="center" wrapText="1"/>
    </xf>
    <xf numFmtId="167" fontId="37" fillId="2" borderId="1" xfId="0" applyNumberFormat="1" applyFont="1" applyFill="1" applyBorder="1" applyAlignment="1">
      <alignment horizontal="center" vertical="center" wrapText="1"/>
    </xf>
    <xf numFmtId="167" fontId="30" fillId="2" borderId="1" xfId="0" applyNumberFormat="1" applyFont="1" applyFill="1" applyBorder="1" applyAlignment="1">
      <alignment horizontal="center" vertical="center" wrapText="1"/>
    </xf>
    <xf numFmtId="167" fontId="38" fillId="2" borderId="1" xfId="0" applyNumberFormat="1" applyFont="1" applyFill="1" applyBorder="1" applyAlignment="1">
      <alignment horizontal="center" vertical="center" wrapText="1"/>
    </xf>
    <xf numFmtId="0" fontId="34" fillId="2" borderId="7" xfId="0" applyFont="1" applyFill="1" applyBorder="1" applyAlignment="1">
      <alignment horizontal="right" vertical="center"/>
    </xf>
    <xf numFmtId="169" fontId="34" fillId="0" borderId="4" xfId="0" applyNumberFormat="1" applyFont="1" applyBorder="1" applyAlignment="1">
      <alignment horizontal="center" vertical="center"/>
    </xf>
    <xf numFmtId="169" fontId="34" fillId="0" borderId="1" xfId="0" applyNumberFormat="1" applyFont="1" applyBorder="1" applyAlignment="1">
      <alignment horizontal="center" vertical="center"/>
    </xf>
    <xf numFmtId="49" fontId="33" fillId="2" borderId="8" xfId="0" applyNumberFormat="1" applyFont="1" applyFill="1" applyBorder="1" applyAlignment="1">
      <alignment vertical="center"/>
    </xf>
    <xf numFmtId="0" fontId="34" fillId="2" borderId="8" xfId="0" applyFont="1" applyFill="1" applyBorder="1" applyAlignment="1">
      <alignment vertical="center" wrapText="1"/>
    </xf>
    <xf numFmtId="0" fontId="34" fillId="2" borderId="7" xfId="0" applyFont="1" applyFill="1" applyBorder="1" applyAlignment="1">
      <alignment vertical="center" wrapText="1"/>
    </xf>
    <xf numFmtId="49" fontId="33" fillId="2" borderId="1" xfId="0" applyNumberFormat="1" applyFont="1" applyFill="1" applyBorder="1" applyAlignment="1">
      <alignment horizontal="center" vertical="center"/>
    </xf>
    <xf numFmtId="49" fontId="34" fillId="2" borderId="1" xfId="0" applyNumberFormat="1" applyFont="1" applyFill="1" applyBorder="1" applyAlignment="1">
      <alignment vertical="center"/>
    </xf>
    <xf numFmtId="167" fontId="33" fillId="2" borderId="1" xfId="0" applyNumberFormat="1" applyFont="1" applyFill="1" applyBorder="1" applyAlignment="1">
      <alignment horizontal="center" vertical="center" wrapText="1"/>
    </xf>
    <xf numFmtId="167" fontId="34" fillId="2" borderId="1" xfId="0" applyNumberFormat="1" applyFont="1" applyFill="1" applyBorder="1" applyAlignment="1">
      <alignment horizontal="center" vertical="center"/>
    </xf>
    <xf numFmtId="168" fontId="29" fillId="2" borderId="1" xfId="0" applyNumberFormat="1" applyFont="1" applyFill="1" applyBorder="1" applyAlignment="1">
      <alignment horizontal="center" vertical="center" wrapText="1"/>
    </xf>
    <xf numFmtId="168" fontId="30" fillId="2" borderId="1" xfId="0" applyNumberFormat="1" applyFont="1" applyFill="1" applyBorder="1" applyAlignment="1">
      <alignment horizontal="center" vertical="center" wrapText="1"/>
    </xf>
    <xf numFmtId="0" fontId="29" fillId="2" borderId="8" xfId="2" applyFont="1" applyFill="1" applyBorder="1" applyAlignment="1">
      <alignment horizontal="center" vertical="center" wrapText="1"/>
    </xf>
    <xf numFmtId="0" fontId="29" fillId="2" borderId="7" xfId="2" applyFont="1" applyFill="1" applyBorder="1" applyAlignment="1">
      <alignment horizontal="center" vertical="center" wrapText="1"/>
    </xf>
    <xf numFmtId="0" fontId="34" fillId="2" borderId="1" xfId="0" applyFont="1" applyFill="1" applyBorder="1" applyAlignment="1">
      <alignment vertical="center"/>
    </xf>
    <xf numFmtId="0" fontId="30" fillId="3" borderId="1" xfId="0" applyFont="1" applyFill="1" applyBorder="1" applyAlignment="1">
      <alignment vertical="center"/>
    </xf>
    <xf numFmtId="0" fontId="29" fillId="2" borderId="7" xfId="0" applyFont="1" applyFill="1" applyBorder="1" applyAlignment="1">
      <alignment horizontal="center" vertical="center"/>
    </xf>
    <xf numFmtId="49" fontId="30" fillId="2" borderId="1" xfId="0" applyNumberFormat="1" applyFont="1" applyFill="1" applyBorder="1" applyAlignment="1">
      <alignment horizontal="center" vertical="center"/>
    </xf>
    <xf numFmtId="0" fontId="29" fillId="2" borderId="8" xfId="0" applyFont="1" applyFill="1" applyBorder="1" applyAlignment="1">
      <alignment vertical="top" wrapText="1"/>
    </xf>
    <xf numFmtId="3" fontId="29" fillId="2" borderId="8" xfId="0" applyNumberFormat="1" applyFont="1" applyFill="1" applyBorder="1" applyAlignment="1">
      <alignment horizontal="center" vertical="center" wrapText="1"/>
    </xf>
    <xf numFmtId="49" fontId="34" fillId="0" borderId="1" xfId="0" applyNumberFormat="1" applyFont="1" applyFill="1" applyBorder="1" applyAlignment="1">
      <alignment horizontal="center" vertical="center" wrapText="1"/>
    </xf>
    <xf numFmtId="167" fontId="34" fillId="0" borderId="1" xfId="0" applyNumberFormat="1" applyFont="1" applyFill="1" applyBorder="1" applyAlignment="1">
      <alignment horizontal="center" vertical="center" wrapText="1"/>
    </xf>
    <xf numFmtId="0" fontId="33" fillId="3" borderId="1" xfId="0" applyFont="1" applyFill="1" applyBorder="1" applyAlignment="1">
      <alignment vertical="center" wrapText="1"/>
    </xf>
    <xf numFmtId="0" fontId="34" fillId="0" borderId="7" xfId="0" applyFont="1" applyFill="1" applyBorder="1" applyAlignment="1">
      <alignment horizontal="right" vertical="center"/>
    </xf>
    <xf numFmtId="0" fontId="33" fillId="0" borderId="7" xfId="0" applyFont="1" applyFill="1" applyBorder="1" applyAlignment="1">
      <alignment horizontal="right" vertical="center"/>
    </xf>
    <xf numFmtId="49" fontId="34" fillId="0" borderId="8" xfId="0" applyNumberFormat="1" applyFont="1" applyFill="1" applyBorder="1" applyAlignment="1">
      <alignment horizontal="center" vertical="center"/>
    </xf>
    <xf numFmtId="167" fontId="33" fillId="0" borderId="1" xfId="0" applyNumberFormat="1" applyFont="1" applyFill="1" applyBorder="1" applyAlignment="1">
      <alignment horizontal="center" vertical="center" wrapText="1"/>
    </xf>
    <xf numFmtId="0" fontId="33" fillId="0" borderId="7" xfId="0" applyFont="1" applyFill="1" applyBorder="1" applyAlignment="1">
      <alignment horizontal="left" vertical="center" wrapText="1"/>
    </xf>
    <xf numFmtId="49" fontId="34" fillId="0" borderId="1" xfId="0" applyNumberFormat="1" applyFont="1" applyFill="1" applyBorder="1" applyAlignment="1">
      <alignment horizontal="center" vertical="center"/>
    </xf>
    <xf numFmtId="0" fontId="42" fillId="29" borderId="1" xfId="0" applyNumberFormat="1" applyFont="1" applyFill="1" applyBorder="1" applyAlignment="1" applyProtection="1">
      <alignment horizontal="left" vertical="center" wrapText="1"/>
    </xf>
    <xf numFmtId="0" fontId="29" fillId="0" borderId="1" xfId="5" applyFont="1" applyBorder="1" applyAlignment="1">
      <alignment horizontal="center" vertical="center"/>
    </xf>
    <xf numFmtId="167" fontId="29" fillId="0" borderId="1" xfId="0" applyNumberFormat="1" applyFont="1" applyBorder="1" applyAlignment="1">
      <alignment horizontal="center" vertical="center"/>
    </xf>
    <xf numFmtId="0" fontId="38" fillId="27" borderId="7" xfId="0" applyFont="1" applyFill="1" applyBorder="1" applyAlignment="1">
      <alignment horizontal="center" vertical="center" wrapText="1"/>
    </xf>
    <xf numFmtId="167" fontId="33" fillId="2" borderId="2" xfId="0" applyNumberFormat="1" applyFont="1" applyFill="1" applyBorder="1" applyAlignment="1">
      <alignment horizontal="center" vertical="center" wrapText="1"/>
    </xf>
    <xf numFmtId="167" fontId="33" fillId="0" borderId="2" xfId="0" applyNumberFormat="1" applyFont="1" applyFill="1" applyBorder="1" applyAlignment="1">
      <alignment horizontal="center" vertical="center" wrapText="1"/>
    </xf>
    <xf numFmtId="180" fontId="33" fillId="0" borderId="1" xfId="0" applyNumberFormat="1" applyFont="1" applyFill="1" applyBorder="1" applyAlignment="1">
      <alignment horizontal="center" vertical="center"/>
    </xf>
    <xf numFmtId="0" fontId="30" fillId="2" borderId="1" xfId="0" applyFont="1" applyFill="1" applyBorder="1" applyAlignment="1">
      <alignment horizontal="left" wrapText="1"/>
    </xf>
    <xf numFmtId="4" fontId="42" fillId="29" borderId="1" xfId="0" applyNumberFormat="1" applyFont="1" applyFill="1" applyBorder="1" applyAlignment="1" applyProtection="1">
      <alignment horizontal="center" vertical="center" wrapText="1"/>
    </xf>
    <xf numFmtId="167" fontId="33" fillId="0" borderId="1" xfId="0" applyNumberFormat="1" applyFont="1" applyFill="1" applyBorder="1" applyAlignment="1">
      <alignment horizontal="center" vertical="center"/>
    </xf>
    <xf numFmtId="167" fontId="34" fillId="0" borderId="8" xfId="0" applyNumberFormat="1" applyFont="1" applyFill="1" applyBorder="1" applyAlignment="1">
      <alignment horizontal="center" vertical="center"/>
    </xf>
    <xf numFmtId="167" fontId="30" fillId="4" borderId="1" xfId="0" applyNumberFormat="1" applyFont="1" applyFill="1" applyBorder="1" applyAlignment="1">
      <alignment horizontal="center" vertical="center"/>
    </xf>
    <xf numFmtId="167" fontId="37" fillId="3" borderId="1" xfId="0" applyNumberFormat="1" applyFont="1" applyFill="1" applyBorder="1" applyAlignment="1">
      <alignment horizontal="center" vertical="center"/>
    </xf>
    <xf numFmtId="167" fontId="29" fillId="28" borderId="0" xfId="0" applyNumberFormat="1" applyFont="1" applyFill="1" applyAlignment="1">
      <alignment horizontal="center" vertical="center"/>
    </xf>
    <xf numFmtId="167" fontId="29" fillId="28" borderId="0" xfId="7" applyNumberFormat="1" applyFont="1" applyFill="1" applyAlignment="1">
      <alignment horizontal="center" vertical="center"/>
    </xf>
    <xf numFmtId="0" fontId="29" fillId="0" borderId="0" xfId="0" applyFont="1" applyFill="1" applyAlignment="1">
      <alignment horizontal="center" vertical="center"/>
    </xf>
    <xf numFmtId="1" fontId="30" fillId="2" borderId="7" xfId="0" applyNumberFormat="1" applyFont="1" applyFill="1" applyBorder="1" applyAlignment="1">
      <alignment horizontal="center" vertical="center" wrapText="1"/>
    </xf>
    <xf numFmtId="168" fontId="33" fillId="0" borderId="2" xfId="0" applyNumberFormat="1" applyFont="1" applyFill="1" applyBorder="1" applyAlignment="1">
      <alignment vertical="center"/>
    </xf>
    <xf numFmtId="168" fontId="33" fillId="0" borderId="25" xfId="0" applyNumberFormat="1" applyFont="1" applyBorder="1" applyAlignment="1">
      <alignment vertical="center"/>
    </xf>
    <xf numFmtId="0" fontId="34" fillId="2" borderId="25" xfId="0" applyFont="1" applyFill="1" applyBorder="1" applyAlignment="1">
      <alignment vertical="center"/>
    </xf>
    <xf numFmtId="168" fontId="33" fillId="0" borderId="25" xfId="0" applyNumberFormat="1" applyFont="1" applyFill="1" applyBorder="1" applyAlignment="1">
      <alignment vertical="center"/>
    </xf>
    <xf numFmtId="0" fontId="34" fillId="0" borderId="0" xfId="0" applyFont="1" applyFill="1"/>
    <xf numFmtId="169" fontId="34" fillId="0" borderId="1" xfId="0" applyNumberFormat="1" applyFont="1" applyFill="1" applyBorder="1" applyAlignment="1">
      <alignment horizontal="right" vertical="center"/>
    </xf>
    <xf numFmtId="169" fontId="34" fillId="0" borderId="1" xfId="0" applyNumberFormat="1" applyFont="1" applyBorder="1" applyAlignment="1">
      <alignment horizontal="right" vertical="center"/>
    </xf>
    <xf numFmtId="169" fontId="34" fillId="0" borderId="25" xfId="0" applyNumberFormat="1" applyFont="1" applyFill="1" applyBorder="1" applyAlignment="1">
      <alignment horizontal="right" vertical="center"/>
    </xf>
    <xf numFmtId="0" fontId="29" fillId="0" borderId="8" xfId="0" applyFont="1" applyFill="1" applyBorder="1" applyAlignment="1">
      <alignment horizontal="left" vertical="center" wrapText="1"/>
    </xf>
    <xf numFmtId="0" fontId="30" fillId="2" borderId="7" xfId="0" applyFont="1" applyFill="1" applyBorder="1" applyAlignment="1">
      <alignment horizontal="left" vertical="center" wrapText="1"/>
    </xf>
    <xf numFmtId="169" fontId="29" fillId="0" borderId="8" xfId="0" applyNumberFormat="1" applyFont="1" applyBorder="1" applyAlignment="1">
      <alignment horizontal="center" vertical="center"/>
    </xf>
    <xf numFmtId="0" fontId="29" fillId="0" borderId="8" xfId="2" applyFont="1" applyFill="1" applyBorder="1" applyAlignment="1">
      <alignment horizontal="left" vertical="center" wrapText="1"/>
    </xf>
    <xf numFmtId="0" fontId="29" fillId="0" borderId="2" xfId="2" applyFont="1" applyFill="1" applyBorder="1" applyAlignment="1">
      <alignment horizontal="left" vertical="center" wrapText="1"/>
    </xf>
    <xf numFmtId="0" fontId="29" fillId="0" borderId="7" xfId="2" applyFont="1" applyFill="1" applyBorder="1" applyAlignment="1">
      <alignment horizontal="left" vertical="center" wrapText="1"/>
    </xf>
    <xf numFmtId="169" fontId="29" fillId="0" borderId="1" xfId="0" applyNumberFormat="1" applyFont="1" applyBorder="1" applyAlignment="1">
      <alignment horizontal="center" vertical="center"/>
    </xf>
    <xf numFmtId="0" fontId="29" fillId="0" borderId="1" xfId="0" applyFont="1" applyFill="1" applyBorder="1" applyAlignment="1">
      <alignment horizontal="center"/>
    </xf>
    <xf numFmtId="0" fontId="30" fillId="0" borderId="7" xfId="0" applyFont="1" applyFill="1" applyBorder="1" applyAlignment="1">
      <alignment horizontal="center" vertical="center" wrapText="1"/>
    </xf>
    <xf numFmtId="0" fontId="29" fillId="0" borderId="7" xfId="0" applyFont="1" applyFill="1" applyBorder="1" applyAlignment="1">
      <alignment horizontal="left" vertical="top" wrapText="1"/>
    </xf>
    <xf numFmtId="0" fontId="30" fillId="2" borderId="1" xfId="0" applyFont="1" applyFill="1" applyBorder="1" applyAlignment="1">
      <alignment vertical="center" wrapText="1"/>
    </xf>
    <xf numFmtId="0" fontId="34" fillId="2" borderId="1" xfId="0" applyFont="1" applyFill="1" applyBorder="1" applyAlignment="1">
      <alignment horizontal="center"/>
    </xf>
    <xf numFmtId="0" fontId="34" fillId="0" borderId="1" xfId="0" applyFont="1" applyFill="1" applyBorder="1" applyAlignment="1">
      <alignment horizontal="left" wrapText="1"/>
    </xf>
    <xf numFmtId="0" fontId="38" fillId="0" borderId="1" xfId="0" applyFont="1" applyFill="1" applyBorder="1" applyAlignment="1">
      <alignment horizontal="left" vertical="center" wrapText="1"/>
    </xf>
    <xf numFmtId="0" fontId="30" fillId="0" borderId="5" xfId="0" applyFont="1" applyFill="1" applyBorder="1" applyAlignment="1">
      <alignment horizontal="left" vertical="center" wrapText="1"/>
    </xf>
    <xf numFmtId="49" fontId="29" fillId="4" borderId="0" xfId="0" applyNumberFormat="1" applyFont="1" applyFill="1"/>
    <xf numFmtId="0" fontId="33" fillId="0" borderId="1" xfId="0" applyFont="1" applyBorder="1" applyAlignment="1">
      <alignment horizontal="left" vertical="center" wrapText="1"/>
    </xf>
    <xf numFmtId="0" fontId="33" fillId="0" borderId="1" xfId="0" applyFont="1" applyFill="1" applyBorder="1" applyAlignment="1">
      <alignment vertical="center" wrapText="1"/>
    </xf>
    <xf numFmtId="0" fontId="34" fillId="2" borderId="1" xfId="2" applyFont="1" applyFill="1" applyBorder="1" applyAlignment="1">
      <alignment horizontal="left" vertical="center" wrapText="1"/>
    </xf>
    <xf numFmtId="0" fontId="34" fillId="2" borderId="1" xfId="0" applyFont="1" applyFill="1" applyBorder="1" applyAlignment="1">
      <alignment vertical="center" wrapText="1"/>
    </xf>
    <xf numFmtId="0" fontId="33" fillId="2" borderId="1" xfId="0" applyFont="1" applyFill="1" applyBorder="1" applyAlignment="1">
      <alignment vertical="center" wrapText="1"/>
    </xf>
    <xf numFmtId="49" fontId="34" fillId="2" borderId="1" xfId="0" applyNumberFormat="1" applyFont="1" applyFill="1" applyBorder="1" applyAlignment="1">
      <alignment horizontal="left" vertical="center" wrapText="1"/>
    </xf>
    <xf numFmtId="170" fontId="33" fillId="2" borderId="1" xfId="0" applyNumberFormat="1" applyFont="1" applyFill="1" applyBorder="1" applyAlignment="1">
      <alignment horizontal="left" vertical="center"/>
    </xf>
    <xf numFmtId="0" fontId="33" fillId="0" borderId="1" xfId="0" applyFont="1" applyBorder="1" applyAlignment="1">
      <alignment vertical="center" wrapText="1"/>
    </xf>
    <xf numFmtId="0" fontId="30" fillId="0" borderId="1" xfId="0" applyFont="1" applyBorder="1" applyAlignment="1">
      <alignment horizontal="left" vertical="center" wrapText="1"/>
    </xf>
    <xf numFmtId="49" fontId="33" fillId="0" borderId="1" xfId="0" applyNumberFormat="1" applyFont="1" applyBorder="1" applyAlignment="1">
      <alignment horizontal="left" vertical="center" wrapText="1"/>
    </xf>
    <xf numFmtId="0" fontId="29" fillId="27" borderId="1" xfId="2" applyFont="1" applyFill="1" applyBorder="1" applyAlignment="1">
      <alignment horizontal="left" vertical="center" wrapText="1"/>
    </xf>
    <xf numFmtId="0" fontId="33" fillId="0" borderId="1" xfId="2" applyFont="1" applyFill="1" applyBorder="1" applyAlignment="1">
      <alignment horizontal="left" vertical="center" wrapText="1"/>
    </xf>
    <xf numFmtId="0" fontId="37" fillId="0" borderId="1" xfId="0" applyFont="1" applyFill="1" applyBorder="1" applyAlignment="1">
      <alignment horizontal="left" vertical="center" wrapText="1"/>
    </xf>
    <xf numFmtId="17" fontId="29" fillId="2" borderId="1" xfId="0" applyNumberFormat="1" applyFont="1" applyFill="1" applyBorder="1" applyAlignment="1">
      <alignment horizontal="left" vertical="top" wrapText="1"/>
    </xf>
    <xf numFmtId="0" fontId="30" fillId="2" borderId="1" xfId="0" applyFont="1" applyFill="1" applyBorder="1" applyAlignment="1">
      <alignment horizontal="left" vertical="top" wrapText="1"/>
    </xf>
    <xf numFmtId="0" fontId="30" fillId="0" borderId="1" xfId="152" applyFont="1" applyFill="1" applyBorder="1" applyAlignment="1">
      <alignment horizontal="left" vertical="center" wrapText="1"/>
    </xf>
    <xf numFmtId="49" fontId="36" fillId="0" borderId="1" xfId="2" applyNumberFormat="1" applyFont="1" applyFill="1" applyBorder="1" applyAlignment="1">
      <alignment horizontal="left" vertical="center" wrapText="1"/>
    </xf>
    <xf numFmtId="49" fontId="30" fillId="0" borderId="1" xfId="0" applyNumberFormat="1" applyFont="1" applyFill="1" applyBorder="1" applyAlignment="1">
      <alignment horizontal="left" vertical="center" wrapText="1"/>
    </xf>
    <xf numFmtId="49" fontId="30" fillId="0" borderId="1" xfId="0" applyNumberFormat="1" applyFont="1" applyBorder="1" applyAlignment="1">
      <alignment horizontal="left" vertical="center" wrapText="1"/>
    </xf>
    <xf numFmtId="0" fontId="34" fillId="2" borderId="1" xfId="0" applyFont="1" applyFill="1" applyBorder="1" applyAlignment="1">
      <alignment horizontal="center" vertical="center" wrapText="1"/>
    </xf>
    <xf numFmtId="0" fontId="34" fillId="0" borderId="1" xfId="0" applyFont="1" applyFill="1" applyBorder="1" applyAlignment="1">
      <alignment horizontal="center" vertical="center" wrapText="1"/>
    </xf>
    <xf numFmtId="16" fontId="34" fillId="2" borderId="1" xfId="0" applyNumberFormat="1" applyFont="1" applyFill="1" applyBorder="1" applyAlignment="1">
      <alignment horizontal="right" vertical="center" wrapText="1"/>
    </xf>
    <xf numFmtId="0" fontId="29" fillId="0" borderId="1" xfId="0" applyFont="1" applyBorder="1" applyAlignment="1">
      <alignment horizontal="center"/>
    </xf>
    <xf numFmtId="49" fontId="29" fillId="0" borderId="1" xfId="0" applyNumberFormat="1" applyFont="1" applyFill="1" applyBorder="1" applyAlignment="1">
      <alignment horizontal="center" vertical="center"/>
    </xf>
    <xf numFmtId="167" fontId="29" fillId="0" borderId="7" xfId="7" applyNumberFormat="1" applyFont="1" applyFill="1" applyBorder="1" applyAlignment="1">
      <alignment horizontal="center" vertical="center"/>
    </xf>
    <xf numFmtId="167" fontId="29" fillId="0" borderId="8" xfId="7" applyNumberFormat="1" applyFont="1" applyFill="1" applyBorder="1" applyAlignment="1">
      <alignment horizontal="center" vertical="center" wrapText="1"/>
    </xf>
    <xf numFmtId="167" fontId="29" fillId="0" borderId="2" xfId="7" applyNumberFormat="1" applyFont="1" applyFill="1" applyBorder="1" applyAlignment="1">
      <alignment horizontal="center" vertical="center" wrapText="1"/>
    </xf>
    <xf numFmtId="167" fontId="29" fillId="0" borderId="7" xfId="7" applyNumberFormat="1" applyFont="1" applyFill="1" applyBorder="1" applyAlignment="1">
      <alignment horizontal="center" vertical="center" wrapText="1"/>
    </xf>
    <xf numFmtId="167" fontId="30" fillId="0" borderId="8" xfId="7" applyNumberFormat="1" applyFont="1" applyFill="1" applyBorder="1" applyAlignment="1">
      <alignment horizontal="center" vertical="center" wrapText="1"/>
    </xf>
    <xf numFmtId="0" fontId="29" fillId="0" borderId="1" xfId="0" applyFont="1" applyFill="1" applyBorder="1" applyAlignment="1">
      <alignment horizontal="left" vertical="top" wrapText="1"/>
    </xf>
    <xf numFmtId="167" fontId="29" fillId="2" borderId="8" xfId="7" applyNumberFormat="1" applyFont="1" applyFill="1" applyBorder="1" applyAlignment="1">
      <alignment horizontal="center" vertical="center" wrapText="1"/>
    </xf>
    <xf numFmtId="167" fontId="29" fillId="2" borderId="7" xfId="7" applyNumberFormat="1" applyFont="1" applyFill="1" applyBorder="1" applyAlignment="1">
      <alignment horizontal="center" vertical="center" wrapText="1"/>
    </xf>
    <xf numFmtId="49" fontId="30" fillId="0" borderId="8" xfId="0" applyNumberFormat="1" applyFont="1" applyFill="1" applyBorder="1" applyAlignment="1">
      <alignment horizontal="center" vertical="top"/>
    </xf>
    <xf numFmtId="49" fontId="30" fillId="0" borderId="7" xfId="0" applyNumberFormat="1" applyFont="1" applyFill="1" applyBorder="1" applyAlignment="1">
      <alignment horizontal="center" vertical="top"/>
    </xf>
    <xf numFmtId="0" fontId="29" fillId="0" borderId="1" xfId="2" applyFont="1" applyFill="1" applyBorder="1" applyAlignment="1">
      <alignment horizontal="left" vertical="center" wrapText="1"/>
    </xf>
    <xf numFmtId="0" fontId="29" fillId="2" borderId="1" xfId="2" applyFont="1" applyFill="1" applyBorder="1" applyAlignment="1">
      <alignment horizontal="left" vertical="center" wrapText="1"/>
    </xf>
    <xf numFmtId="0" fontId="30" fillId="4" borderId="5" xfId="0" applyFont="1" applyFill="1" applyBorder="1" applyAlignment="1">
      <alignment horizontal="left" vertical="center" wrapText="1"/>
    </xf>
    <xf numFmtId="0" fontId="29" fillId="0" borderId="7" xfId="0" applyFont="1" applyFill="1" applyBorder="1" applyAlignment="1">
      <alignment horizontal="center" vertical="top" wrapText="1"/>
    </xf>
    <xf numFmtId="0" fontId="30" fillId="0" borderId="1" xfId="0" applyFont="1" applyFill="1" applyBorder="1" applyAlignment="1">
      <alignment horizontal="center" vertical="center" wrapText="1"/>
    </xf>
    <xf numFmtId="0" fontId="29" fillId="0" borderId="2" xfId="2" applyFont="1" applyFill="1" applyBorder="1" applyAlignment="1">
      <alignment horizontal="center" vertical="center" wrapText="1"/>
    </xf>
    <xf numFmtId="0" fontId="29" fillId="0" borderId="7" xfId="2" applyFont="1" applyFill="1" applyBorder="1" applyAlignment="1">
      <alignment horizontal="center" vertical="center" wrapText="1"/>
    </xf>
    <xf numFmtId="49" fontId="29" fillId="0" borderId="8" xfId="0" applyNumberFormat="1" applyFont="1" applyFill="1" applyBorder="1" applyAlignment="1">
      <alignment horizontal="center" vertical="center"/>
    </xf>
    <xf numFmtId="49" fontId="29" fillId="0" borderId="2" xfId="0" applyNumberFormat="1" applyFont="1" applyFill="1" applyBorder="1" applyAlignment="1">
      <alignment horizontal="center" vertical="center"/>
    </xf>
    <xf numFmtId="49" fontId="29" fillId="0" borderId="1" xfId="0" applyNumberFormat="1" applyFont="1" applyFill="1" applyBorder="1" applyAlignment="1">
      <alignment horizontal="center" vertical="top"/>
    </xf>
    <xf numFmtId="167" fontId="34" fillId="0" borderId="25" xfId="0" applyNumberFormat="1" applyFont="1" applyFill="1" applyBorder="1" applyAlignment="1">
      <alignment horizontal="center" vertical="center" wrapText="1"/>
    </xf>
    <xf numFmtId="167" fontId="34" fillId="0" borderId="2" xfId="0" applyNumberFormat="1" applyFont="1" applyFill="1" applyBorder="1" applyAlignment="1">
      <alignment horizontal="center" vertical="center" wrapText="1"/>
    </xf>
    <xf numFmtId="167" fontId="34" fillId="0" borderId="7" xfId="0" applyNumberFormat="1" applyFont="1" applyFill="1" applyBorder="1" applyAlignment="1">
      <alignment horizontal="center" vertical="center" wrapText="1"/>
    </xf>
    <xf numFmtId="167" fontId="34" fillId="2" borderId="7" xfId="0" applyNumberFormat="1" applyFont="1" applyFill="1" applyBorder="1" applyAlignment="1">
      <alignment horizontal="center" vertical="center" wrapText="1"/>
    </xf>
    <xf numFmtId="0" fontId="29" fillId="2" borderId="1" xfId="0" applyFont="1" applyFill="1" applyBorder="1" applyAlignment="1">
      <alignment horizontal="center" vertical="center" wrapText="1"/>
    </xf>
    <xf numFmtId="167" fontId="30" fillId="2" borderId="25" xfId="0" applyNumberFormat="1" applyFont="1" applyFill="1" applyBorder="1" applyAlignment="1">
      <alignment horizontal="center" vertical="center" wrapText="1"/>
    </xf>
    <xf numFmtId="167" fontId="30" fillId="2" borderId="7" xfId="0" applyNumberFormat="1" applyFont="1" applyFill="1" applyBorder="1" applyAlignment="1">
      <alignment horizontal="center" vertical="center" wrapText="1"/>
    </xf>
    <xf numFmtId="0" fontId="30" fillId="3" borderId="5" xfId="0" applyFont="1" applyFill="1" applyBorder="1" applyAlignment="1">
      <alignment horizontal="left" vertical="center" wrapText="1"/>
    </xf>
    <xf numFmtId="0" fontId="30" fillId="3" borderId="6" xfId="0" applyFont="1" applyFill="1" applyBorder="1" applyAlignment="1">
      <alignment horizontal="left" vertical="center" wrapText="1"/>
    </xf>
    <xf numFmtId="0" fontId="34" fillId="2" borderId="8" xfId="0" applyFont="1" applyFill="1" applyBorder="1" applyAlignment="1">
      <alignment horizontal="left" vertical="center" wrapText="1"/>
    </xf>
    <xf numFmtId="0" fontId="34" fillId="2" borderId="7" xfId="0" applyFont="1" applyFill="1" applyBorder="1" applyAlignment="1">
      <alignment horizontal="left" vertical="center" wrapText="1"/>
    </xf>
    <xf numFmtId="167" fontId="29" fillId="2" borderId="25" xfId="0" applyNumberFormat="1" applyFont="1" applyFill="1" applyBorder="1" applyAlignment="1">
      <alignment horizontal="center" vertical="center" wrapText="1"/>
    </xf>
    <xf numFmtId="0" fontId="34" fillId="0" borderId="8" xfId="0" applyFont="1" applyFill="1" applyBorder="1" applyAlignment="1">
      <alignment horizontal="center" vertical="center" wrapText="1"/>
    </xf>
    <xf numFmtId="0" fontId="34" fillId="0" borderId="7" xfId="0" applyFont="1" applyFill="1" applyBorder="1" applyAlignment="1">
      <alignment horizontal="center" vertical="center" wrapText="1"/>
    </xf>
    <xf numFmtId="167" fontId="29" fillId="2" borderId="7" xfId="0" applyNumberFormat="1" applyFont="1" applyFill="1" applyBorder="1" applyAlignment="1">
      <alignment horizontal="center" vertical="center" wrapText="1"/>
    </xf>
    <xf numFmtId="168" fontId="30" fillId="0" borderId="25" xfId="0" applyNumberFormat="1" applyFont="1" applyBorder="1" applyAlignment="1">
      <alignment horizontal="center" vertical="center"/>
    </xf>
    <xf numFmtId="0" fontId="29" fillId="0" borderId="7" xfId="0" applyFont="1" applyBorder="1" applyAlignment="1">
      <alignment horizontal="center" vertical="center"/>
    </xf>
    <xf numFmtId="49" fontId="34" fillId="0" borderId="1" xfId="0" applyNumberFormat="1" applyFont="1" applyBorder="1" applyAlignment="1">
      <alignment horizontal="left" vertical="center" wrapText="1"/>
    </xf>
    <xf numFmtId="0" fontId="34" fillId="0" borderId="8" xfId="0" applyFont="1" applyFill="1" applyBorder="1" applyAlignment="1">
      <alignment horizontal="center" vertical="center"/>
    </xf>
    <xf numFmtId="0" fontId="34" fillId="0" borderId="2" xfId="0" applyFont="1" applyFill="1" applyBorder="1" applyAlignment="1">
      <alignment horizontal="center" vertical="center"/>
    </xf>
    <xf numFmtId="167" fontId="29" fillId="2" borderId="2" xfId="0" applyNumberFormat="1" applyFont="1" applyFill="1" applyBorder="1" applyAlignment="1">
      <alignment horizontal="center" vertical="center" wrapText="1"/>
    </xf>
    <xf numFmtId="167" fontId="34" fillId="2" borderId="1" xfId="0" applyNumberFormat="1" applyFont="1" applyFill="1" applyBorder="1" applyAlignment="1">
      <alignment horizontal="center" vertical="center" wrapText="1"/>
    </xf>
    <xf numFmtId="167" fontId="29" fillId="2" borderId="8" xfId="0" applyNumberFormat="1" applyFont="1" applyFill="1" applyBorder="1" applyAlignment="1">
      <alignment horizontal="center" vertical="center" wrapText="1"/>
    </xf>
    <xf numFmtId="167" fontId="34" fillId="2" borderId="8" xfId="0" applyNumberFormat="1" applyFont="1" applyFill="1" applyBorder="1" applyAlignment="1">
      <alignment horizontal="center" vertical="center" wrapText="1"/>
    </xf>
    <xf numFmtId="167" fontId="34" fillId="2" borderId="2" xfId="0" applyNumberFormat="1" applyFont="1" applyFill="1" applyBorder="1" applyAlignment="1">
      <alignment horizontal="center" vertical="center" wrapText="1"/>
    </xf>
    <xf numFmtId="49" fontId="30" fillId="2" borderId="1" xfId="0" applyNumberFormat="1" applyFont="1" applyFill="1" applyBorder="1" applyAlignment="1">
      <alignment horizontal="center" vertical="center" wrapText="1"/>
    </xf>
    <xf numFmtId="0" fontId="29" fillId="2" borderId="1" xfId="0" applyFont="1" applyFill="1" applyBorder="1" applyAlignment="1">
      <alignment vertical="center" wrapText="1"/>
    </xf>
    <xf numFmtId="0" fontId="34" fillId="2" borderId="7" xfId="0" applyFont="1" applyFill="1" applyBorder="1" applyAlignment="1">
      <alignment horizontal="center" vertical="center"/>
    </xf>
    <xf numFmtId="167" fontId="30" fillId="2" borderId="28" xfId="0" applyNumberFormat="1" applyFont="1" applyFill="1" applyBorder="1" applyAlignment="1">
      <alignment horizontal="center" vertical="center" wrapText="1"/>
    </xf>
    <xf numFmtId="0" fontId="29" fillId="0" borderId="1" xfId="0" applyFont="1" applyFill="1" applyBorder="1" applyAlignment="1">
      <alignment horizontal="left" vertical="center" wrapText="1"/>
    </xf>
    <xf numFmtId="168" fontId="33" fillId="0" borderId="2" xfId="0" applyNumberFormat="1" applyFont="1" applyBorder="1" applyAlignment="1">
      <alignment horizontal="center" vertical="center"/>
    </xf>
    <xf numFmtId="0" fontId="30" fillId="3" borderId="1" xfId="0" applyFont="1" applyFill="1" applyBorder="1" applyAlignment="1">
      <alignment horizontal="left" vertical="center" wrapText="1"/>
    </xf>
    <xf numFmtId="0" fontId="30" fillId="0" borderId="1" xfId="2" applyFont="1" applyFill="1" applyBorder="1" applyAlignment="1">
      <alignment horizontal="center" vertical="center" wrapText="1"/>
    </xf>
    <xf numFmtId="0" fontId="30" fillId="0" borderId="10" xfId="0" applyFont="1" applyFill="1" applyBorder="1" applyAlignment="1">
      <alignment horizontal="center" vertical="center" wrapText="1"/>
    </xf>
    <xf numFmtId="0" fontId="30" fillId="0" borderId="12" xfId="0" applyFont="1" applyFill="1" applyBorder="1" applyAlignment="1">
      <alignment horizontal="center" vertical="center" wrapText="1"/>
    </xf>
    <xf numFmtId="0" fontId="30" fillId="0" borderId="9" xfId="0" applyFont="1" applyFill="1" applyBorder="1" applyAlignment="1">
      <alignment horizontal="center" vertical="center" wrapText="1"/>
    </xf>
    <xf numFmtId="49" fontId="30" fillId="0" borderId="2" xfId="0" applyNumberFormat="1" applyFont="1" applyFill="1" applyBorder="1" applyAlignment="1">
      <alignment horizontal="center" vertical="center"/>
    </xf>
    <xf numFmtId="49" fontId="29" fillId="0" borderId="7" xfId="0" applyNumberFormat="1" applyFont="1" applyFill="1" applyBorder="1" applyAlignment="1">
      <alignment horizontal="center" vertical="center"/>
    </xf>
    <xf numFmtId="49" fontId="29" fillId="0" borderId="8" xfId="0" applyNumberFormat="1" applyFont="1" applyFill="1" applyBorder="1" applyAlignment="1">
      <alignment horizontal="center" vertical="top"/>
    </xf>
    <xf numFmtId="0" fontId="30" fillId="3" borderId="1" xfId="0" applyFont="1" applyFill="1" applyBorder="1" applyAlignment="1">
      <alignment horizontal="left" vertical="center"/>
    </xf>
    <xf numFmtId="0" fontId="34" fillId="0" borderId="1" xfId="0" applyFont="1" applyFill="1" applyBorder="1" applyAlignment="1">
      <alignment horizontal="left" vertical="center" wrapText="1"/>
    </xf>
    <xf numFmtId="0" fontId="30" fillId="0" borderId="1" xfId="0" applyFont="1" applyFill="1" applyBorder="1" applyAlignment="1">
      <alignment vertical="center" wrapText="1"/>
    </xf>
    <xf numFmtId="170" fontId="30" fillId="2" borderId="0" xfId="0" applyNumberFormat="1" applyFont="1" applyFill="1" applyBorder="1" applyAlignment="1">
      <alignment horizontal="left" vertical="center" wrapText="1"/>
    </xf>
    <xf numFmtId="169" fontId="30" fillId="0" borderId="8" xfId="0" applyNumberFormat="1" applyFont="1" applyBorder="1" applyAlignment="1">
      <alignment horizontal="center" vertical="center" wrapText="1"/>
    </xf>
    <xf numFmtId="49" fontId="30" fillId="0" borderId="1" xfId="0" applyNumberFormat="1" applyFont="1" applyBorder="1" applyAlignment="1">
      <alignment horizontal="center" vertical="center" wrapText="1"/>
    </xf>
    <xf numFmtId="0" fontId="30" fillId="0" borderId="1" xfId="0" applyFont="1" applyBorder="1" applyAlignment="1">
      <alignment horizontal="center" vertical="center" wrapText="1"/>
    </xf>
    <xf numFmtId="0" fontId="30" fillId="2" borderId="1" xfId="0" applyFont="1" applyFill="1" applyBorder="1" applyAlignment="1">
      <alignment horizontal="left" vertical="center" wrapText="1"/>
    </xf>
    <xf numFmtId="0" fontId="33" fillId="2" borderId="1" xfId="0" applyFont="1" applyFill="1" applyBorder="1" applyAlignment="1">
      <alignment horizontal="center" vertical="center" wrapText="1"/>
    </xf>
    <xf numFmtId="0" fontId="30" fillId="2" borderId="7" xfId="0" applyFont="1" applyFill="1" applyBorder="1" applyAlignment="1">
      <alignment horizontal="center" vertical="center" wrapText="1"/>
    </xf>
    <xf numFmtId="0" fontId="29" fillId="0" borderId="1" xfId="0" applyFont="1" applyFill="1" applyBorder="1" applyAlignment="1">
      <alignment horizontal="center" vertical="top"/>
    </xf>
    <xf numFmtId="167" fontId="29" fillId="2" borderId="8" xfId="7" applyNumberFormat="1" applyFont="1" applyFill="1" applyBorder="1" applyAlignment="1">
      <alignment horizontal="center" vertical="center"/>
    </xf>
    <xf numFmtId="167" fontId="29" fillId="2" borderId="1" xfId="7" applyNumberFormat="1" applyFont="1" applyFill="1" applyBorder="1" applyAlignment="1">
      <alignment horizontal="center" vertical="center" wrapText="1"/>
    </xf>
    <xf numFmtId="167" fontId="30" fillId="0" borderId="1" xfId="7" applyNumberFormat="1" applyFont="1" applyFill="1" applyBorder="1" applyAlignment="1">
      <alignment horizontal="center" vertical="center" wrapText="1"/>
    </xf>
    <xf numFmtId="0" fontId="29" fillId="2" borderId="1" xfId="0" applyFont="1" applyFill="1" applyBorder="1" applyAlignment="1">
      <alignment horizontal="left" vertical="center" wrapText="1"/>
    </xf>
    <xf numFmtId="49" fontId="30" fillId="2" borderId="8" xfId="0" applyNumberFormat="1" applyFont="1" applyFill="1" applyBorder="1" applyAlignment="1">
      <alignment horizontal="center" vertical="top"/>
    </xf>
    <xf numFmtId="49" fontId="30" fillId="2" borderId="7" xfId="0" applyNumberFormat="1" applyFont="1" applyFill="1" applyBorder="1" applyAlignment="1">
      <alignment horizontal="center" vertical="top"/>
    </xf>
    <xf numFmtId="49" fontId="29" fillId="2" borderId="8" xfId="0" applyNumberFormat="1" applyFont="1" applyFill="1" applyBorder="1" applyAlignment="1">
      <alignment horizontal="center" vertical="top"/>
    </xf>
    <xf numFmtId="0" fontId="29" fillId="2" borderId="1" xfId="0" applyFont="1" applyFill="1" applyBorder="1" applyAlignment="1">
      <alignment horizontal="left" vertical="top" wrapText="1"/>
    </xf>
    <xf numFmtId="49" fontId="29" fillId="2" borderId="1" xfId="0" applyNumberFormat="1" applyFont="1" applyFill="1" applyBorder="1" applyAlignment="1">
      <alignment horizontal="center" vertical="top"/>
    </xf>
    <xf numFmtId="167" fontId="29" fillId="0" borderId="7" xfId="2" applyNumberFormat="1" applyFont="1" applyFill="1" applyBorder="1" applyAlignment="1">
      <alignment horizontal="center" vertical="center" wrapText="1"/>
    </xf>
    <xf numFmtId="167" fontId="29" fillId="0" borderId="1" xfId="7" applyNumberFormat="1" applyFont="1" applyFill="1" applyBorder="1" applyAlignment="1">
      <alignment horizontal="center" vertical="center" wrapText="1"/>
    </xf>
    <xf numFmtId="0" fontId="34" fillId="0" borderId="1" xfId="2" applyFont="1" applyFill="1" applyBorder="1" applyAlignment="1">
      <alignment horizontal="left" vertical="center" wrapText="1"/>
    </xf>
    <xf numFmtId="0" fontId="30" fillId="3" borderId="12" xfId="0" applyFont="1" applyFill="1" applyBorder="1" applyAlignment="1">
      <alignment horizontal="left" vertical="center" wrapText="1"/>
    </xf>
    <xf numFmtId="168" fontId="33" fillId="2" borderId="8" xfId="0" applyNumberFormat="1" applyFont="1" applyFill="1" applyBorder="1" applyAlignment="1">
      <alignment horizontal="center" vertical="center"/>
    </xf>
    <xf numFmtId="168" fontId="33" fillId="2" borderId="2" xfId="0" applyNumberFormat="1" applyFont="1" applyFill="1" applyBorder="1" applyAlignment="1">
      <alignment horizontal="center" vertical="center"/>
    </xf>
    <xf numFmtId="168" fontId="33" fillId="2" borderId="7" xfId="0" applyNumberFormat="1" applyFont="1" applyFill="1" applyBorder="1" applyAlignment="1">
      <alignment horizontal="center" vertical="center"/>
    </xf>
    <xf numFmtId="167" fontId="29" fillId="0" borderId="8" xfId="0" applyNumberFormat="1" applyFont="1" applyFill="1" applyBorder="1" applyAlignment="1">
      <alignment horizontal="center" vertical="center" wrapText="1"/>
    </xf>
    <xf numFmtId="0" fontId="33" fillId="0" borderId="8" xfId="0" applyFont="1" applyFill="1" applyBorder="1" applyAlignment="1">
      <alignment horizontal="center" vertical="center" wrapText="1"/>
    </xf>
    <xf numFmtId="0" fontId="33" fillId="0" borderId="7" xfId="0" applyFont="1" applyFill="1" applyBorder="1" applyAlignment="1">
      <alignment horizontal="center" vertical="center" wrapText="1"/>
    </xf>
    <xf numFmtId="0" fontId="34" fillId="0" borderId="7" xfId="2" applyFont="1" applyFill="1" applyBorder="1" applyAlignment="1">
      <alignment horizontal="center" vertical="center" wrapText="1"/>
    </xf>
    <xf numFmtId="167" fontId="34" fillId="0" borderId="8" xfId="0" applyNumberFormat="1" applyFont="1" applyFill="1" applyBorder="1" applyAlignment="1">
      <alignment horizontal="center" vertical="center" wrapText="1"/>
    </xf>
    <xf numFmtId="49" fontId="33" fillId="0" borderId="1" xfId="0" applyNumberFormat="1" applyFont="1" applyFill="1" applyBorder="1" applyAlignment="1">
      <alignment horizontal="center" vertical="center"/>
    </xf>
    <xf numFmtId="169" fontId="29" fillId="0" borderId="8" xfId="158" applyNumberFormat="1" applyFont="1" applyFill="1" applyBorder="1" applyAlignment="1">
      <alignment horizontal="center" vertical="center"/>
    </xf>
    <xf numFmtId="168" fontId="30" fillId="0" borderId="8" xfId="0" applyNumberFormat="1" applyFont="1" applyBorder="1" applyAlignment="1">
      <alignment horizontal="center" vertical="center"/>
    </xf>
    <xf numFmtId="168" fontId="30" fillId="0" borderId="2" xfId="0" applyNumberFormat="1" applyFont="1" applyBorder="1" applyAlignment="1">
      <alignment horizontal="center" vertical="center"/>
    </xf>
    <xf numFmtId="0" fontId="29" fillId="0" borderId="1" xfId="158" applyFont="1" applyFill="1" applyBorder="1" applyAlignment="1">
      <alignment horizontal="left" vertical="center" wrapText="1"/>
    </xf>
    <xf numFmtId="0" fontId="29" fillId="0" borderId="7" xfId="158" applyFont="1" applyFill="1" applyBorder="1" applyAlignment="1">
      <alignment horizontal="center" vertical="center"/>
    </xf>
    <xf numFmtId="167" fontId="29" fillId="0" borderId="25" xfId="0" applyNumberFormat="1" applyFont="1" applyFill="1" applyBorder="1" applyAlignment="1">
      <alignment horizontal="center" vertical="center" wrapText="1"/>
    </xf>
    <xf numFmtId="169" fontId="34" fillId="0" borderId="8" xfId="0" applyNumberFormat="1" applyFont="1" applyFill="1" applyBorder="1" applyAlignment="1">
      <alignment vertical="center"/>
    </xf>
    <xf numFmtId="49" fontId="29" fillId="0" borderId="8" xfId="158" applyNumberFormat="1" applyFont="1" applyFill="1" applyBorder="1" applyAlignment="1">
      <alignment horizontal="center" vertical="center"/>
    </xf>
    <xf numFmtId="0" fontId="29" fillId="2" borderId="25" xfId="0" applyFont="1" applyFill="1" applyBorder="1" applyAlignment="1">
      <alignment horizontal="center" vertical="center" wrapText="1"/>
    </xf>
    <xf numFmtId="0" fontId="29" fillId="2" borderId="7" xfId="0" applyFont="1" applyFill="1" applyBorder="1" applyAlignment="1">
      <alignment horizontal="center" vertical="center" wrapText="1"/>
    </xf>
    <xf numFmtId="49" fontId="34" fillId="2" borderId="8" xfId="0" applyNumberFormat="1" applyFont="1" applyFill="1" applyBorder="1" applyAlignment="1">
      <alignment horizontal="center" vertical="center"/>
    </xf>
    <xf numFmtId="49" fontId="34" fillId="2" borderId="7" xfId="0" applyNumberFormat="1" applyFont="1" applyFill="1" applyBorder="1" applyAlignment="1">
      <alignment horizontal="center" vertical="center"/>
    </xf>
    <xf numFmtId="0" fontId="34" fillId="0" borderId="1" xfId="0" applyFont="1" applyBorder="1" applyAlignment="1">
      <alignment horizontal="left" vertical="center" wrapText="1"/>
    </xf>
    <xf numFmtId="49" fontId="33" fillId="0" borderId="1" xfId="0" applyNumberFormat="1" applyFont="1" applyBorder="1" applyAlignment="1">
      <alignment horizontal="center" vertical="center"/>
    </xf>
    <xf numFmtId="169" fontId="29" fillId="0" borderId="1" xfId="0" applyNumberFormat="1" applyFont="1" applyFill="1" applyBorder="1" applyAlignment="1">
      <alignment horizontal="center" vertical="center"/>
    </xf>
    <xf numFmtId="0" fontId="30" fillId="2" borderId="7" xfId="0" applyFont="1" applyFill="1" applyBorder="1" applyAlignment="1">
      <alignment horizontal="center" vertical="center"/>
    </xf>
    <xf numFmtId="169" fontId="34" fillId="0" borderId="25" xfId="0" applyNumberFormat="1" applyFont="1" applyBorder="1" applyAlignment="1">
      <alignment horizontal="center" vertical="center"/>
    </xf>
    <xf numFmtId="0" fontId="29" fillId="0" borderId="1" xfId="0" applyFont="1" applyBorder="1" applyAlignment="1">
      <alignment horizontal="left" vertical="center" wrapText="1"/>
    </xf>
    <xf numFmtId="169" fontId="29" fillId="0" borderId="25" xfId="0" applyNumberFormat="1" applyFont="1" applyBorder="1" applyAlignment="1">
      <alignment horizontal="center" vertical="center"/>
    </xf>
    <xf numFmtId="167" fontId="33" fillId="2" borderId="7" xfId="0" applyNumberFormat="1" applyFont="1" applyFill="1" applyBorder="1" applyAlignment="1">
      <alignment horizontal="center" vertical="center" wrapText="1"/>
    </xf>
    <xf numFmtId="0" fontId="34" fillId="2" borderId="1" xfId="0" applyFont="1" applyFill="1" applyBorder="1" applyAlignment="1">
      <alignment horizontal="left" vertical="center" wrapText="1"/>
    </xf>
    <xf numFmtId="169" fontId="34" fillId="0" borderId="8" xfId="0" applyNumberFormat="1" applyFont="1" applyFill="1" applyBorder="1" applyAlignment="1">
      <alignment horizontal="center" vertical="center"/>
    </xf>
    <xf numFmtId="0" fontId="30" fillId="3" borderId="4" xfId="0" applyFont="1" applyFill="1" applyBorder="1" applyAlignment="1">
      <alignment horizontal="left" vertical="center"/>
    </xf>
    <xf numFmtId="0" fontId="30" fillId="3" borderId="5" xfId="0" applyFont="1" applyFill="1" applyBorder="1" applyAlignment="1">
      <alignment horizontal="left" vertical="center"/>
    </xf>
    <xf numFmtId="0" fontId="30" fillId="3" borderId="6" xfId="0" applyFont="1" applyFill="1" applyBorder="1" applyAlignment="1">
      <alignment horizontal="left" vertical="center"/>
    </xf>
    <xf numFmtId="169" fontId="34" fillId="2" borderId="8" xfId="0" applyNumberFormat="1" applyFont="1" applyFill="1" applyBorder="1" applyAlignment="1">
      <alignment horizontal="center" vertical="center"/>
    </xf>
    <xf numFmtId="169" fontId="34" fillId="2" borderId="7" xfId="0" applyNumberFormat="1" applyFont="1" applyFill="1" applyBorder="1" applyAlignment="1">
      <alignment horizontal="center" vertical="center"/>
    </xf>
    <xf numFmtId="0" fontId="33" fillId="2" borderId="7" xfId="0" applyFont="1" applyFill="1" applyBorder="1" applyAlignment="1">
      <alignment horizontal="center" vertical="center" wrapText="1"/>
    </xf>
    <xf numFmtId="169" fontId="29" fillId="2" borderId="1" xfId="0" applyNumberFormat="1" applyFont="1" applyFill="1" applyBorder="1" applyAlignment="1">
      <alignment horizontal="center" vertical="center"/>
    </xf>
    <xf numFmtId="169" fontId="34" fillId="0" borderId="1" xfId="0" applyNumberFormat="1" applyFont="1" applyFill="1" applyBorder="1" applyAlignment="1">
      <alignment horizontal="center" vertical="center"/>
    </xf>
    <xf numFmtId="0" fontId="33" fillId="2" borderId="7" xfId="0" applyFont="1" applyFill="1" applyBorder="1" applyAlignment="1">
      <alignment horizontal="center" vertical="center"/>
    </xf>
    <xf numFmtId="169" fontId="33" fillId="2" borderId="1" xfId="0" applyNumberFormat="1" applyFont="1" applyFill="1" applyBorder="1" applyAlignment="1">
      <alignment horizontal="center" vertical="center"/>
    </xf>
    <xf numFmtId="49" fontId="33" fillId="0" borderId="7" xfId="0" applyNumberFormat="1" applyFont="1" applyBorder="1" applyAlignment="1">
      <alignment horizontal="center" vertical="center"/>
    </xf>
    <xf numFmtId="49" fontId="34" fillId="2" borderId="8" xfId="0" applyNumberFormat="1" applyFont="1" applyFill="1" applyBorder="1" applyAlignment="1">
      <alignment horizontal="center" vertical="center" wrapText="1"/>
    </xf>
    <xf numFmtId="169" fontId="38" fillId="2" borderId="8" xfId="0" applyNumberFormat="1" applyFont="1" applyFill="1" applyBorder="1" applyAlignment="1">
      <alignment horizontal="center" vertical="center"/>
    </xf>
    <xf numFmtId="1" fontId="38" fillId="2" borderId="7" xfId="0" applyNumberFormat="1" applyFont="1" applyFill="1" applyBorder="1" applyAlignment="1">
      <alignment horizontal="center" vertical="center"/>
    </xf>
    <xf numFmtId="0" fontId="34" fillId="2" borderId="8" xfId="0" applyFont="1" applyFill="1" applyBorder="1" applyAlignment="1">
      <alignment horizontal="center" vertical="center" wrapText="1"/>
    </xf>
    <xf numFmtId="0" fontId="34" fillId="2" borderId="7" xfId="0" applyFont="1" applyFill="1" applyBorder="1" applyAlignment="1">
      <alignment horizontal="center" vertical="center" wrapText="1"/>
    </xf>
    <xf numFmtId="1" fontId="34" fillId="2" borderId="8" xfId="0" applyNumberFormat="1" applyFont="1" applyFill="1" applyBorder="1" applyAlignment="1">
      <alignment horizontal="center" vertical="center"/>
    </xf>
    <xf numFmtId="1" fontId="34" fillId="2" borderId="7" xfId="0" applyNumberFormat="1" applyFont="1" applyFill="1" applyBorder="1" applyAlignment="1">
      <alignment horizontal="center" vertical="center"/>
    </xf>
    <xf numFmtId="169" fontId="34" fillId="2" borderId="25" xfId="0" applyNumberFormat="1" applyFont="1" applyFill="1" applyBorder="1" applyAlignment="1">
      <alignment horizontal="center" vertical="center"/>
    </xf>
    <xf numFmtId="1" fontId="34" fillId="2" borderId="1" xfId="0" applyNumberFormat="1" applyFont="1" applyFill="1" applyBorder="1" applyAlignment="1">
      <alignment horizontal="center" vertical="center"/>
    </xf>
    <xf numFmtId="169" fontId="34" fillId="2" borderId="1" xfId="0" applyNumberFormat="1" applyFont="1" applyFill="1" applyBorder="1" applyAlignment="1">
      <alignment horizontal="center" vertical="center" wrapText="1"/>
    </xf>
    <xf numFmtId="1" fontId="34" fillId="2" borderId="1" xfId="0" applyNumberFormat="1" applyFont="1" applyFill="1" applyBorder="1" applyAlignment="1">
      <alignment vertical="center" wrapText="1"/>
    </xf>
    <xf numFmtId="169" fontId="34" fillId="2" borderId="1" xfId="0" applyNumberFormat="1" applyFont="1" applyFill="1" applyBorder="1" applyAlignment="1">
      <alignment horizontal="center" vertical="center"/>
    </xf>
    <xf numFmtId="0" fontId="30" fillId="0" borderId="1" xfId="0" applyFont="1" applyFill="1" applyBorder="1" applyAlignment="1">
      <alignment horizontal="left" vertical="center" wrapText="1"/>
    </xf>
    <xf numFmtId="167" fontId="37" fillId="3" borderId="1" xfId="0" applyNumberFormat="1" applyFont="1" applyFill="1" applyBorder="1"/>
    <xf numFmtId="49" fontId="29" fillId="2" borderId="1" xfId="0" applyNumberFormat="1" applyFont="1" applyFill="1" applyBorder="1" applyAlignment="1">
      <alignment horizontal="center" vertical="center"/>
    </xf>
    <xf numFmtId="167" fontId="29" fillId="0" borderId="1" xfId="2" applyNumberFormat="1" applyFont="1" applyFill="1" applyBorder="1" applyAlignment="1">
      <alignment horizontal="center" vertical="center" wrapText="1"/>
    </xf>
    <xf numFmtId="49" fontId="30" fillId="0" borderId="1" xfId="0" applyNumberFormat="1" applyFont="1" applyFill="1" applyBorder="1" applyAlignment="1">
      <alignment horizontal="center" vertical="center"/>
    </xf>
    <xf numFmtId="0" fontId="33" fillId="2" borderId="1" xfId="0" applyFont="1" applyFill="1" applyBorder="1" applyAlignment="1">
      <alignment horizontal="left" vertical="center" wrapText="1"/>
    </xf>
    <xf numFmtId="0" fontId="30" fillId="0" borderId="1" xfId="2" applyFont="1" applyFill="1" applyBorder="1" applyAlignment="1">
      <alignment horizontal="left" vertical="center" wrapText="1"/>
    </xf>
    <xf numFmtId="0" fontId="30" fillId="2" borderId="1" xfId="0" applyFont="1" applyFill="1" applyBorder="1" applyAlignment="1">
      <alignment horizontal="center" vertical="center" wrapText="1"/>
    </xf>
    <xf numFmtId="49" fontId="30" fillId="2" borderId="1" xfId="0" applyNumberFormat="1" applyFont="1" applyFill="1" applyBorder="1" applyAlignment="1">
      <alignment horizontal="left" vertical="center" wrapText="1"/>
    </xf>
    <xf numFmtId="3" fontId="30" fillId="2" borderId="1" xfId="0" applyNumberFormat="1" applyFont="1" applyFill="1" applyBorder="1" applyAlignment="1">
      <alignment horizontal="center" vertical="center" wrapText="1"/>
    </xf>
    <xf numFmtId="0" fontId="34" fillId="2" borderId="1" xfId="2" applyFont="1" applyFill="1" applyBorder="1" applyAlignment="1">
      <alignment vertical="center" wrapText="1"/>
    </xf>
    <xf numFmtId="49" fontId="29" fillId="2" borderId="1" xfId="0" applyNumberFormat="1" applyFont="1" applyFill="1" applyBorder="1" applyAlignment="1">
      <alignment horizontal="center" vertical="center" wrapText="1"/>
    </xf>
    <xf numFmtId="167" fontId="30" fillId="2" borderId="1" xfId="7" applyNumberFormat="1" applyFont="1" applyFill="1" applyBorder="1" applyAlignment="1">
      <alignment horizontal="center" vertical="center" wrapText="1"/>
    </xf>
    <xf numFmtId="168" fontId="29" fillId="2" borderId="1" xfId="151" applyNumberFormat="1" applyFont="1" applyFill="1" applyBorder="1" applyAlignment="1">
      <alignment horizontal="left" vertical="center" wrapText="1"/>
    </xf>
    <xf numFmtId="0" fontId="44" fillId="29" borderId="33" xfId="0" applyNumberFormat="1" applyFont="1" applyFill="1" applyBorder="1" applyAlignment="1" applyProtection="1">
      <alignment horizontal="left" vertical="center" wrapText="1"/>
    </xf>
    <xf numFmtId="167" fontId="30" fillId="2" borderId="13" xfId="7" applyNumberFormat="1" applyFont="1" applyFill="1" applyBorder="1" applyAlignment="1">
      <alignment horizontal="center" vertical="center" wrapText="1"/>
    </xf>
    <xf numFmtId="167" fontId="30" fillId="2" borderId="8" xfId="7" applyNumberFormat="1" applyFont="1" applyFill="1" applyBorder="1" applyAlignment="1">
      <alignment horizontal="center" vertical="center" wrapText="1"/>
    </xf>
    <xf numFmtId="167" fontId="30" fillId="2" borderId="6" xfId="7" applyNumberFormat="1" applyFont="1" applyFill="1" applyBorder="1" applyAlignment="1">
      <alignment horizontal="center" vertical="center" wrapText="1"/>
    </xf>
    <xf numFmtId="0" fontId="42" fillId="2" borderId="1" xfId="0" applyNumberFormat="1" applyFont="1" applyFill="1" applyBorder="1" applyAlignment="1" applyProtection="1">
      <alignment horizontal="left" vertical="center" wrapText="1"/>
    </xf>
    <xf numFmtId="0" fontId="44" fillId="29" borderId="1" xfId="0" applyNumberFormat="1" applyFont="1" applyFill="1" applyBorder="1" applyAlignment="1" applyProtection="1">
      <alignment horizontal="left" vertical="center" wrapText="1"/>
    </xf>
    <xf numFmtId="0" fontId="30" fillId="3" borderId="1" xfId="0" applyFont="1" applyFill="1" applyBorder="1" applyAlignment="1">
      <alignment horizontal="center" vertical="center" wrapText="1"/>
    </xf>
    <xf numFmtId="168" fontId="37" fillId="0" borderId="23" xfId="0" applyNumberFormat="1" applyFont="1" applyBorder="1" applyAlignment="1">
      <alignment horizontal="right" vertical="center"/>
    </xf>
    <xf numFmtId="168" fontId="37" fillId="0" borderId="8" xfId="0" applyNumberFormat="1" applyFont="1" applyBorder="1" applyAlignment="1">
      <alignment horizontal="right" vertical="center"/>
    </xf>
    <xf numFmtId="169" fontId="38" fillId="0" borderId="8" xfId="0" applyNumberFormat="1" applyFont="1" applyBorder="1" applyAlignment="1">
      <alignment horizontal="right" vertical="center"/>
    </xf>
    <xf numFmtId="169" fontId="38" fillId="0" borderId="4" xfId="0" applyNumberFormat="1" applyFont="1" applyBorder="1" applyAlignment="1">
      <alignment horizontal="right" vertical="center"/>
    </xf>
    <xf numFmtId="0" fontId="37" fillId="27" borderId="1" xfId="2" applyFont="1" applyFill="1" applyBorder="1" applyAlignment="1">
      <alignment horizontal="left" vertical="center" wrapText="1"/>
    </xf>
    <xf numFmtId="0" fontId="38" fillId="27" borderId="1" xfId="0" applyFont="1" applyFill="1" applyBorder="1" applyAlignment="1">
      <alignment horizontal="left" vertical="center" wrapText="1"/>
    </xf>
    <xf numFmtId="0" fontId="38" fillId="27" borderId="1" xfId="2" applyFont="1" applyFill="1" applyBorder="1" applyAlignment="1">
      <alignment horizontal="left" vertical="center" wrapText="1"/>
    </xf>
    <xf numFmtId="169" fontId="38" fillId="0" borderId="1" xfId="0" applyNumberFormat="1" applyFont="1" applyBorder="1" applyAlignment="1">
      <alignment horizontal="right" vertical="center"/>
    </xf>
    <xf numFmtId="0" fontId="37" fillId="27" borderId="1" xfId="0" applyFont="1" applyFill="1" applyBorder="1" applyAlignment="1">
      <alignment horizontal="left" vertical="center" wrapText="1"/>
    </xf>
    <xf numFmtId="3" fontId="38" fillId="27" borderId="1" xfId="0" applyNumberFormat="1" applyFont="1" applyFill="1" applyBorder="1" applyAlignment="1">
      <alignment horizontal="center" vertical="center" wrapText="1"/>
    </xf>
    <xf numFmtId="49" fontId="37" fillId="27" borderId="8" xfId="0" applyNumberFormat="1" applyFont="1" applyFill="1" applyBorder="1" applyAlignment="1">
      <alignment vertical="center"/>
    </xf>
    <xf numFmtId="167" fontId="37" fillId="3" borderId="1" xfId="0" applyNumberFormat="1" applyFont="1" applyFill="1" applyBorder="1" applyAlignment="1">
      <alignment horizontal="center"/>
    </xf>
    <xf numFmtId="167" fontId="30" fillId="3" borderId="1" xfId="0" applyNumberFormat="1" applyFont="1" applyFill="1" applyBorder="1" applyAlignment="1">
      <alignment horizontal="center"/>
    </xf>
    <xf numFmtId="168" fontId="37" fillId="0" borderId="23" xfId="0" applyNumberFormat="1" applyFont="1" applyBorder="1" applyAlignment="1">
      <alignment horizontal="center" vertical="center"/>
    </xf>
    <xf numFmtId="167" fontId="33" fillId="27" borderId="7" xfId="41" applyNumberFormat="1" applyFont="1" applyFill="1" applyBorder="1" applyAlignment="1">
      <alignment horizontal="center" vertical="center" wrapText="1"/>
    </xf>
    <xf numFmtId="167" fontId="37" fillId="27" borderId="7" xfId="41" applyNumberFormat="1" applyFont="1" applyFill="1" applyBorder="1" applyAlignment="1">
      <alignment horizontal="center" vertical="center" wrapText="1"/>
    </xf>
    <xf numFmtId="169" fontId="29" fillId="0" borderId="8" xfId="0" applyNumberFormat="1" applyFont="1" applyBorder="1" applyAlignment="1">
      <alignment horizontal="center" vertical="center" wrapText="1"/>
    </xf>
    <xf numFmtId="169" fontId="38" fillId="0" borderId="8" xfId="0" applyNumberFormat="1" applyFont="1" applyBorder="1" applyAlignment="1">
      <alignment horizontal="center" vertical="center"/>
    </xf>
    <xf numFmtId="167" fontId="34" fillId="27" borderId="1" xfId="0" applyNumberFormat="1" applyFont="1" applyFill="1" applyBorder="1" applyAlignment="1">
      <alignment horizontal="center" vertical="center" wrapText="1"/>
    </xf>
    <xf numFmtId="0" fontId="37" fillId="27" borderId="7" xfId="0" applyFont="1" applyFill="1" applyBorder="1" applyAlignment="1">
      <alignment horizontal="center" vertical="top" wrapText="1"/>
    </xf>
    <xf numFmtId="169" fontId="38" fillId="0" borderId="11" xfId="0" applyNumberFormat="1" applyFont="1" applyBorder="1" applyAlignment="1">
      <alignment horizontal="center" vertical="center"/>
    </xf>
    <xf numFmtId="167" fontId="34" fillId="27" borderId="8" xfId="0" applyNumberFormat="1" applyFont="1" applyFill="1" applyBorder="1" applyAlignment="1">
      <alignment horizontal="center" vertical="center" wrapText="1"/>
    </xf>
    <xf numFmtId="167" fontId="30" fillId="3" borderId="1" xfId="0" applyNumberFormat="1" applyFont="1" applyFill="1" applyBorder="1" applyAlignment="1"/>
    <xf numFmtId="0" fontId="30" fillId="4" borderId="1" xfId="0" applyFont="1" applyFill="1" applyBorder="1" applyAlignment="1">
      <alignment horizontal="left"/>
    </xf>
    <xf numFmtId="0" fontId="29" fillId="2" borderId="1" xfId="3" applyFont="1" applyFill="1" applyBorder="1" applyAlignment="1">
      <alignment horizontal="right" vertical="center" wrapText="1"/>
    </xf>
    <xf numFmtId="0" fontId="29" fillId="2" borderId="1" xfId="3" applyFont="1" applyFill="1" applyBorder="1" applyAlignment="1">
      <alignment horizontal="right" vertical="center"/>
    </xf>
    <xf numFmtId="0" fontId="29" fillId="2" borderId="4" xfId="3" applyFont="1" applyFill="1" applyBorder="1" applyAlignment="1">
      <alignment horizontal="right" vertical="center"/>
    </xf>
    <xf numFmtId="168" fontId="30" fillId="0" borderId="8" xfId="0" applyNumberFormat="1" applyFont="1" applyBorder="1" applyAlignment="1">
      <alignment horizontal="right" vertical="center"/>
    </xf>
    <xf numFmtId="169" fontId="29" fillId="0" borderId="8" xfId="0" applyNumberFormat="1" applyFont="1" applyBorder="1" applyAlignment="1">
      <alignment horizontal="right" vertical="center"/>
    </xf>
    <xf numFmtId="168" fontId="30" fillId="0" borderId="2" xfId="0" applyNumberFormat="1" applyFont="1" applyBorder="1" applyAlignment="1">
      <alignment horizontal="right" vertical="center"/>
    </xf>
    <xf numFmtId="0" fontId="29" fillId="2" borderId="1" xfId="3" applyFont="1" applyFill="1" applyBorder="1" applyAlignment="1">
      <alignment horizontal="center" vertical="top" wrapText="1"/>
    </xf>
    <xf numFmtId="0" fontId="30" fillId="2" borderId="1" xfId="3" applyFont="1" applyFill="1" applyBorder="1" applyAlignment="1">
      <alignment horizontal="left" vertical="top" wrapText="1"/>
    </xf>
    <xf numFmtId="0" fontId="30" fillId="2" borderId="1" xfId="3" applyFont="1" applyFill="1" applyBorder="1" applyAlignment="1">
      <alignment horizontal="center" vertical="top" wrapText="1"/>
    </xf>
    <xf numFmtId="168" fontId="30" fillId="0" borderId="34" xfId="0" applyNumberFormat="1" applyFont="1" applyBorder="1" applyAlignment="1">
      <alignment vertical="center"/>
    </xf>
    <xf numFmtId="0" fontId="30" fillId="2" borderId="1" xfId="3" applyFont="1" applyFill="1" applyBorder="1" applyAlignment="1">
      <alignment horizontal="right" vertical="center" wrapText="1"/>
    </xf>
    <xf numFmtId="169" fontId="29" fillId="2" borderId="8" xfId="0" applyNumberFormat="1" applyFont="1" applyFill="1" applyBorder="1" applyAlignment="1">
      <alignment horizontal="right" vertical="center"/>
    </xf>
    <xf numFmtId="0" fontId="29" fillId="2" borderId="1" xfId="3" applyFont="1" applyFill="1" applyBorder="1" applyAlignment="1">
      <alignment horizontal="left" vertical="center" wrapText="1"/>
    </xf>
    <xf numFmtId="0" fontId="29" fillId="2" borderId="1" xfId="3" applyFont="1" applyFill="1" applyBorder="1" applyAlignment="1">
      <alignment horizontal="left" vertical="top" wrapText="1"/>
    </xf>
    <xf numFmtId="0" fontId="29" fillId="2" borderId="1" xfId="3" applyFont="1" applyFill="1" applyBorder="1" applyAlignment="1">
      <alignment horizontal="center" vertical="center" wrapText="1"/>
    </xf>
    <xf numFmtId="167" fontId="29" fillId="2" borderId="1" xfId="3" applyNumberFormat="1" applyFont="1" applyFill="1" applyBorder="1" applyAlignment="1">
      <alignment horizontal="right" vertical="center" wrapText="1"/>
    </xf>
    <xf numFmtId="0" fontId="29" fillId="2" borderId="4" xfId="3" applyFont="1" applyFill="1" applyBorder="1" applyAlignment="1">
      <alignment horizontal="right" vertical="center" wrapText="1"/>
    </xf>
    <xf numFmtId="0" fontId="29" fillId="2" borderId="8" xfId="3" applyFont="1" applyFill="1" applyBorder="1" applyAlignment="1">
      <alignment horizontal="center" vertical="center" wrapText="1"/>
    </xf>
    <xf numFmtId="0" fontId="29" fillId="2" borderId="0" xfId="0" applyFont="1" applyFill="1" applyAlignment="1">
      <alignment vertical="center"/>
    </xf>
    <xf numFmtId="168" fontId="30" fillId="2" borderId="34" xfId="0" applyNumberFormat="1" applyFont="1" applyFill="1" applyBorder="1" applyAlignment="1">
      <alignment vertical="center"/>
    </xf>
    <xf numFmtId="169" fontId="29" fillId="2" borderId="1" xfId="0" applyNumberFormat="1" applyFont="1" applyFill="1" applyBorder="1" applyAlignment="1">
      <alignment vertical="center"/>
    </xf>
    <xf numFmtId="0" fontId="29" fillId="2" borderId="7" xfId="0" applyFont="1" applyFill="1" applyBorder="1" applyAlignment="1">
      <alignment horizontal="left" vertical="center" wrapText="1"/>
    </xf>
    <xf numFmtId="3" fontId="29" fillId="2" borderId="1" xfId="3" applyNumberFormat="1" applyFont="1" applyFill="1" applyBorder="1" applyAlignment="1">
      <alignment horizontal="right" vertical="center" wrapText="1"/>
    </xf>
    <xf numFmtId="3" fontId="29" fillId="2" borderId="4" xfId="3" applyNumberFormat="1" applyFont="1" applyFill="1" applyBorder="1" applyAlignment="1">
      <alignment horizontal="right" vertical="center" wrapText="1"/>
    </xf>
    <xf numFmtId="167" fontId="29" fillId="2" borderId="0" xfId="0" applyNumberFormat="1" applyFont="1" applyFill="1" applyAlignment="1">
      <alignment horizontal="center" vertical="center"/>
    </xf>
    <xf numFmtId="167" fontId="29" fillId="2" borderId="1" xfId="0" applyNumberFormat="1" applyFont="1" applyFill="1" applyBorder="1" applyAlignment="1">
      <alignment horizontal="center" vertical="center"/>
    </xf>
    <xf numFmtId="0" fontId="29" fillId="2" borderId="7" xfId="0" applyFont="1" applyFill="1" applyBorder="1" applyAlignment="1">
      <alignment horizontal="right" vertical="center"/>
    </xf>
    <xf numFmtId="168" fontId="30" fillId="2" borderId="1" xfId="0" applyNumberFormat="1" applyFont="1" applyFill="1" applyBorder="1" applyAlignment="1">
      <alignment vertical="center"/>
    </xf>
    <xf numFmtId="167" fontId="30" fillId="2" borderId="1" xfId="3" applyNumberFormat="1" applyFont="1" applyFill="1" applyBorder="1" applyAlignment="1">
      <alignment horizontal="center" vertical="center" wrapText="1"/>
    </xf>
    <xf numFmtId="0" fontId="30" fillId="2" borderId="4" xfId="3" applyFont="1" applyFill="1" applyBorder="1" applyAlignment="1">
      <alignment horizontal="right" vertical="center" wrapText="1"/>
    </xf>
    <xf numFmtId="0" fontId="29" fillId="2" borderId="1" xfId="0" applyFont="1" applyFill="1" applyBorder="1" applyAlignment="1">
      <alignment vertical="center"/>
    </xf>
    <xf numFmtId="167" fontId="29" fillId="2" borderId="1" xfId="0" applyNumberFormat="1" applyFont="1" applyFill="1" applyBorder="1" applyAlignment="1">
      <alignment horizontal="center" vertical="center" wrapText="1"/>
    </xf>
    <xf numFmtId="0" fontId="29" fillId="2" borderId="1" xfId="3" applyNumberFormat="1" applyFont="1" applyFill="1" applyBorder="1" applyAlignment="1">
      <alignment horizontal="center" vertical="center" wrapText="1"/>
    </xf>
    <xf numFmtId="1" fontId="29" fillId="2" borderId="8" xfId="10" applyNumberFormat="1" applyFont="1" applyFill="1" applyBorder="1" applyAlignment="1">
      <alignment horizontal="center" vertical="center" wrapText="1"/>
    </xf>
    <xf numFmtId="1" fontId="29" fillId="2" borderId="8" xfId="3" applyNumberFormat="1" applyFont="1" applyFill="1" applyBorder="1" applyAlignment="1">
      <alignment horizontal="center" vertical="center" wrapText="1"/>
    </xf>
    <xf numFmtId="168" fontId="30" fillId="2" borderId="1" xfId="0" applyNumberFormat="1" applyFont="1" applyFill="1" applyBorder="1" applyAlignment="1">
      <alignment horizontal="center" vertical="center"/>
    </xf>
    <xf numFmtId="167" fontId="29" fillId="2" borderId="1" xfId="12" applyNumberFormat="1" applyFont="1" applyFill="1" applyBorder="1" applyAlignment="1">
      <alignment horizontal="center" vertical="center"/>
    </xf>
    <xf numFmtId="3" fontId="29" fillId="2" borderId="1" xfId="3" applyNumberFormat="1" applyFont="1" applyFill="1" applyBorder="1" applyAlignment="1">
      <alignment horizontal="center" vertical="center" wrapText="1"/>
    </xf>
    <xf numFmtId="167" fontId="29" fillId="2" borderId="1" xfId="7" applyNumberFormat="1" applyFont="1" applyFill="1" applyBorder="1" applyAlignment="1">
      <alignment horizontal="center" vertical="center"/>
    </xf>
    <xf numFmtId="9" fontId="29" fillId="2" borderId="1" xfId="3" applyNumberFormat="1" applyFont="1" applyFill="1" applyBorder="1" applyAlignment="1">
      <alignment horizontal="right" vertical="center" wrapText="1"/>
    </xf>
    <xf numFmtId="9" fontId="29" fillId="2" borderId="4" xfId="3" applyNumberFormat="1" applyFont="1" applyFill="1" applyBorder="1" applyAlignment="1">
      <alignment horizontal="right" vertical="center" wrapText="1"/>
    </xf>
    <xf numFmtId="0" fontId="29" fillId="2" borderId="1" xfId="3" applyFont="1" applyFill="1" applyBorder="1" applyAlignment="1">
      <alignment horizontal="center"/>
    </xf>
    <xf numFmtId="0" fontId="29" fillId="2" borderId="1" xfId="3" applyFont="1" applyFill="1" applyBorder="1" applyAlignment="1">
      <alignment horizontal="center" vertical="center"/>
    </xf>
    <xf numFmtId="0" fontId="29" fillId="2" borderId="4" xfId="3" applyFont="1" applyFill="1" applyBorder="1" applyAlignment="1">
      <alignment horizontal="center" vertical="center"/>
    </xf>
    <xf numFmtId="0" fontId="30" fillId="0" borderId="1" xfId="3" applyFont="1" applyFill="1" applyBorder="1" applyAlignment="1">
      <alignment horizontal="left" vertical="top" wrapText="1"/>
    </xf>
    <xf numFmtId="0" fontId="29" fillId="0" borderId="1" xfId="3" applyFont="1" applyFill="1" applyBorder="1" applyAlignment="1">
      <alignment horizontal="center"/>
    </xf>
    <xf numFmtId="0" fontId="29" fillId="0" borderId="1" xfId="3" applyFont="1" applyFill="1" applyBorder="1" applyAlignment="1">
      <alignment horizontal="right" vertical="center"/>
    </xf>
    <xf numFmtId="0" fontId="30" fillId="3" borderId="0" xfId="0" applyFont="1" applyFill="1" applyBorder="1" applyAlignment="1">
      <alignment horizontal="left" vertical="center"/>
    </xf>
    <xf numFmtId="167" fontId="30" fillId="3" borderId="8" xfId="7" applyNumberFormat="1" applyFont="1" applyFill="1" applyBorder="1" applyAlignment="1">
      <alignment horizontal="center" vertical="center" wrapText="1"/>
    </xf>
    <xf numFmtId="0" fontId="30" fillId="3" borderId="8" xfId="3" applyFont="1" applyFill="1" applyBorder="1" applyAlignment="1">
      <alignment horizontal="center" vertical="top" wrapText="1"/>
    </xf>
    <xf numFmtId="0" fontId="29" fillId="3" borderId="8" xfId="3" applyFont="1" applyFill="1" applyBorder="1" applyAlignment="1">
      <alignment horizontal="right" vertical="center" wrapText="1"/>
    </xf>
    <xf numFmtId="0" fontId="29" fillId="3" borderId="8" xfId="3" applyFont="1" applyFill="1" applyBorder="1" applyAlignment="1">
      <alignment horizontal="right" vertical="center"/>
    </xf>
    <xf numFmtId="0" fontId="29" fillId="3" borderId="11" xfId="3" applyFont="1" applyFill="1" applyBorder="1" applyAlignment="1">
      <alignment horizontal="right" vertical="center"/>
    </xf>
    <xf numFmtId="0" fontId="29" fillId="4" borderId="0" xfId="0" applyFont="1" applyFill="1"/>
    <xf numFmtId="168" fontId="30" fillId="2" borderId="7" xfId="151" applyNumberFormat="1" applyFont="1" applyFill="1" applyBorder="1" applyAlignment="1">
      <alignment horizontal="center" vertical="center"/>
    </xf>
    <xf numFmtId="49" fontId="29" fillId="2" borderId="7" xfId="135" applyNumberFormat="1" applyFont="1" applyFill="1" applyBorder="1" applyAlignment="1">
      <alignment horizontal="center" vertical="top"/>
    </xf>
    <xf numFmtId="181" fontId="29" fillId="2" borderId="7" xfId="151" applyNumberFormat="1" applyFont="1" applyFill="1" applyBorder="1"/>
    <xf numFmtId="0" fontId="30" fillId="2" borderId="1" xfId="3" applyFont="1" applyFill="1" applyBorder="1" applyAlignment="1">
      <alignment horizontal="left" vertical="center" wrapText="1"/>
    </xf>
    <xf numFmtId="167" fontId="30" fillId="2" borderId="7" xfId="135" applyNumberFormat="1" applyFont="1" applyFill="1" applyBorder="1" applyAlignment="1">
      <alignment horizontal="center" vertical="center" wrapText="1"/>
    </xf>
    <xf numFmtId="0" fontId="29" fillId="2" borderId="1" xfId="151" applyFont="1" applyFill="1" applyBorder="1" applyAlignment="1">
      <alignment horizontal="center" vertical="center" wrapText="1"/>
    </xf>
    <xf numFmtId="49" fontId="29" fillId="2" borderId="1" xfId="0" applyNumberFormat="1" applyFont="1" applyFill="1" applyBorder="1"/>
    <xf numFmtId="0" fontId="34" fillId="2" borderId="1" xfId="0" applyFont="1" applyFill="1" applyBorder="1" applyAlignment="1">
      <alignment vertical="top" wrapText="1"/>
    </xf>
    <xf numFmtId="167" fontId="29" fillId="2" borderId="1" xfId="135" applyNumberFormat="1" applyFont="1" applyFill="1" applyBorder="1" applyAlignment="1">
      <alignment horizontal="center" vertical="center" wrapText="1"/>
    </xf>
    <xf numFmtId="167" fontId="29" fillId="2" borderId="1" xfId="135" applyNumberFormat="1" applyFont="1" applyFill="1" applyBorder="1" applyAlignment="1">
      <alignment horizontal="center" vertical="center"/>
    </xf>
    <xf numFmtId="0" fontId="29" fillId="2" borderId="1" xfId="0" applyFont="1" applyFill="1" applyBorder="1" applyAlignment="1">
      <alignment horizontal="right" vertical="center"/>
    </xf>
    <xf numFmtId="168" fontId="30" fillId="2" borderId="8" xfId="151" applyNumberFormat="1" applyFont="1" applyFill="1" applyBorder="1" applyAlignment="1">
      <alignment horizontal="center" vertical="top"/>
    </xf>
    <xf numFmtId="0" fontId="29" fillId="2" borderId="1" xfId="151" applyFont="1" applyFill="1" applyBorder="1" applyAlignment="1">
      <alignment horizontal="left" vertical="center" wrapText="1"/>
    </xf>
    <xf numFmtId="49" fontId="29" fillId="2" borderId="8" xfId="0" applyNumberFormat="1" applyFont="1" applyFill="1" applyBorder="1" applyAlignment="1"/>
    <xf numFmtId="167" fontId="29" fillId="2" borderId="8" xfId="135" applyNumberFormat="1" applyFont="1" applyFill="1" applyBorder="1" applyAlignment="1">
      <alignment horizontal="center" vertical="center"/>
    </xf>
    <xf numFmtId="49" fontId="29" fillId="2" borderId="8" xfId="0" applyNumberFormat="1" applyFont="1" applyFill="1" applyBorder="1" applyAlignment="1">
      <alignment horizontal="center" vertical="center"/>
    </xf>
    <xf numFmtId="49" fontId="29" fillId="2" borderId="7" xfId="0" applyNumberFormat="1" applyFont="1" applyFill="1" applyBorder="1" applyAlignment="1">
      <alignment horizontal="center" vertical="center"/>
    </xf>
    <xf numFmtId="0" fontId="34" fillId="2" borderId="1" xfId="0" applyFont="1" applyFill="1" applyBorder="1" applyAlignment="1">
      <alignment horizontal="left" vertical="top" wrapText="1"/>
    </xf>
    <xf numFmtId="49" fontId="29" fillId="2" borderId="2" xfId="0" applyNumberFormat="1" applyFont="1" applyFill="1" applyBorder="1" applyAlignment="1">
      <alignment horizontal="center" vertical="center"/>
    </xf>
    <xf numFmtId="49" fontId="29" fillId="2" borderId="8" xfId="0" applyNumberFormat="1" applyFont="1" applyFill="1" applyBorder="1"/>
    <xf numFmtId="0" fontId="33" fillId="2" borderId="1" xfId="0" applyFont="1" applyFill="1" applyBorder="1" applyAlignment="1">
      <alignment horizontal="left" vertical="top" wrapText="1"/>
    </xf>
    <xf numFmtId="167" fontId="30" fillId="2" borderId="8" xfId="135" applyNumberFormat="1" applyFont="1" applyFill="1" applyBorder="1" applyAlignment="1">
      <alignment horizontal="center" vertical="center" wrapText="1"/>
    </xf>
    <xf numFmtId="0" fontId="30" fillId="2" borderId="8" xfId="0" applyFont="1" applyFill="1" applyBorder="1" applyAlignment="1">
      <alignment wrapText="1"/>
    </xf>
    <xf numFmtId="0" fontId="29" fillId="2" borderId="8" xfId="0" applyFont="1" applyFill="1" applyBorder="1" applyAlignment="1">
      <alignment horizontal="right" vertical="center"/>
    </xf>
    <xf numFmtId="167" fontId="29" fillId="2" borderId="8" xfId="135" applyNumberFormat="1" applyFont="1" applyFill="1" applyBorder="1" applyAlignment="1">
      <alignment horizontal="center" vertical="center" wrapText="1"/>
    </xf>
    <xf numFmtId="49" fontId="34" fillId="2" borderId="1" xfId="0" applyNumberFormat="1" applyFont="1" applyFill="1" applyBorder="1" applyAlignment="1">
      <alignment horizontal="left" vertical="top" wrapText="1"/>
    </xf>
    <xf numFmtId="0" fontId="29" fillId="2" borderId="1" xfId="0" applyFont="1" applyFill="1" applyBorder="1" applyAlignment="1">
      <alignment horizontal="center" vertical="top" wrapText="1"/>
    </xf>
    <xf numFmtId="0" fontId="29" fillId="2" borderId="1" xfId="0" applyFont="1" applyFill="1" applyBorder="1" applyAlignment="1">
      <alignment horizontal="right" vertical="top"/>
    </xf>
    <xf numFmtId="49" fontId="29" fillId="2" borderId="11" xfId="0" applyNumberFormat="1" applyFont="1" applyFill="1" applyBorder="1" applyAlignment="1">
      <alignment horizontal="center" vertical="top"/>
    </xf>
    <xf numFmtId="0" fontId="29" fillId="2" borderId="1" xfId="0" applyFont="1" applyFill="1" applyBorder="1" applyAlignment="1">
      <alignment horizontal="center"/>
    </xf>
    <xf numFmtId="167" fontId="29" fillId="2" borderId="2" xfId="135" applyNumberFormat="1" applyFont="1" applyFill="1" applyBorder="1" applyAlignment="1">
      <alignment horizontal="center" vertical="center" wrapText="1"/>
    </xf>
    <xf numFmtId="49" fontId="29" fillId="2" borderId="1" xfId="0" applyNumberFormat="1" applyFont="1" applyFill="1" applyBorder="1" applyAlignment="1">
      <alignment horizontal="center" vertical="top" wrapText="1"/>
    </xf>
    <xf numFmtId="0" fontId="29" fillId="2" borderId="8" xfId="0" applyFont="1" applyFill="1" applyBorder="1" applyAlignment="1">
      <alignment horizontal="center" vertical="top" wrapText="1"/>
    </xf>
    <xf numFmtId="0" fontId="29" fillId="2" borderId="8" xfId="0" applyFont="1" applyFill="1" applyBorder="1" applyAlignment="1">
      <alignment horizontal="right" vertical="top"/>
    </xf>
    <xf numFmtId="0" fontId="29" fillId="2" borderId="7" xfId="0" applyFont="1" applyFill="1" applyBorder="1" applyAlignment="1">
      <alignment horizontal="center" vertical="top" wrapText="1"/>
    </xf>
    <xf numFmtId="0" fontId="29" fillId="2" borderId="7" xfId="0" applyFont="1" applyFill="1" applyBorder="1" applyAlignment="1">
      <alignment horizontal="right" vertical="top"/>
    </xf>
    <xf numFmtId="0" fontId="29" fillId="2" borderId="1" xfId="0" applyFont="1" applyFill="1" applyBorder="1" applyAlignment="1">
      <alignment horizontal="right"/>
    </xf>
    <xf numFmtId="0" fontId="29" fillId="2" borderId="1" xfId="0" applyFont="1" applyFill="1" applyBorder="1" applyAlignment="1">
      <alignment horizontal="center" wrapText="1"/>
    </xf>
    <xf numFmtId="167" fontId="30" fillId="2" borderId="1" xfId="135" applyNumberFormat="1" applyFont="1" applyFill="1" applyBorder="1" applyAlignment="1">
      <alignment horizontal="center" vertical="center" wrapText="1"/>
    </xf>
    <xf numFmtId="0" fontId="29" fillId="2" borderId="4" xfId="0" applyFont="1" applyFill="1" applyBorder="1" applyAlignment="1">
      <alignment vertical="center" wrapText="1"/>
    </xf>
    <xf numFmtId="0" fontId="30" fillId="2" borderId="1" xfId="0" applyFont="1" applyFill="1" applyBorder="1" applyAlignment="1">
      <alignment vertical="center"/>
    </xf>
    <xf numFmtId="49" fontId="29" fillId="2" borderId="1" xfId="0" applyNumberFormat="1" applyFont="1" applyFill="1" applyBorder="1" applyAlignment="1">
      <alignment vertical="top"/>
    </xf>
    <xf numFmtId="183" fontId="29" fillId="2" borderId="1" xfId="0" applyNumberFormat="1" applyFont="1" applyFill="1" applyBorder="1" applyAlignment="1">
      <alignment horizontal="center"/>
    </xf>
    <xf numFmtId="183" fontId="29" fillId="2" borderId="4" xfId="0" applyNumberFormat="1" applyFont="1" applyFill="1" applyBorder="1" applyAlignment="1">
      <alignment horizontal="center"/>
    </xf>
    <xf numFmtId="168" fontId="30" fillId="2" borderId="1" xfId="151" applyNumberFormat="1" applyFont="1" applyFill="1" applyBorder="1" applyAlignment="1">
      <alignment horizontal="center" vertical="center"/>
    </xf>
    <xf numFmtId="49" fontId="29" fillId="2" borderId="1" xfId="0" applyNumberFormat="1" applyFont="1" applyFill="1" applyBorder="1" applyAlignment="1">
      <alignment vertical="center"/>
    </xf>
    <xf numFmtId="183" fontId="29" fillId="2" borderId="1" xfId="0" applyNumberFormat="1" applyFont="1" applyFill="1" applyBorder="1" applyAlignment="1">
      <alignment horizontal="center" vertical="center"/>
    </xf>
    <xf numFmtId="183" fontId="29" fillId="2" borderId="4" xfId="0" applyNumberFormat="1" applyFont="1" applyFill="1" applyBorder="1" applyAlignment="1">
      <alignment horizontal="center" vertical="center"/>
    </xf>
    <xf numFmtId="167" fontId="30" fillId="3" borderId="1" xfId="135" applyNumberFormat="1" applyFont="1" applyFill="1" applyBorder="1" applyAlignment="1">
      <alignment horizontal="center" vertical="center"/>
    </xf>
    <xf numFmtId="0" fontId="30" fillId="3" borderId="1" xfId="0" applyFont="1" applyFill="1" applyBorder="1"/>
    <xf numFmtId="0" fontId="30" fillId="3" borderId="4" xfId="0" applyFont="1" applyFill="1" applyBorder="1"/>
    <xf numFmtId="0" fontId="29" fillId="0" borderId="0" xfId="0" applyFont="1" applyAlignment="1">
      <alignment horizontal="left" wrapText="1"/>
    </xf>
    <xf numFmtId="0" fontId="29" fillId="2" borderId="8" xfId="2" applyFont="1" applyFill="1" applyBorder="1" applyAlignment="1">
      <alignment horizontal="left" vertical="center" wrapText="1"/>
    </xf>
    <xf numFmtId="0" fontId="29" fillId="2" borderId="1" xfId="158" applyFont="1" applyFill="1" applyBorder="1" applyAlignment="1">
      <alignment horizontal="left" vertical="center" wrapText="1"/>
    </xf>
    <xf numFmtId="0" fontId="29" fillId="0" borderId="1" xfId="0" applyFont="1" applyBorder="1" applyAlignment="1">
      <alignment horizontal="left" wrapText="1"/>
    </xf>
    <xf numFmtId="0" fontId="29" fillId="0" borderId="1" xfId="0" applyFont="1" applyBorder="1" applyAlignment="1">
      <alignment horizontal="left" vertical="top" wrapText="1"/>
    </xf>
    <xf numFmtId="0" fontId="29" fillId="0" borderId="1" xfId="0" applyFont="1" applyFill="1" applyBorder="1" applyAlignment="1">
      <alignment horizontal="left" wrapText="1"/>
    </xf>
    <xf numFmtId="0" fontId="30" fillId="0" borderId="1" xfId="0" applyFont="1" applyFill="1" applyBorder="1" applyAlignment="1">
      <alignment horizontal="left" wrapText="1"/>
    </xf>
    <xf numFmtId="0" fontId="33" fillId="0" borderId="10" xfId="0" applyFont="1" applyFill="1" applyBorder="1" applyAlignment="1">
      <alignment horizontal="left" vertical="center" wrapText="1"/>
    </xf>
    <xf numFmtId="0" fontId="30" fillId="4" borderId="5" xfId="0" applyFont="1" applyFill="1" applyBorder="1" applyAlignment="1">
      <alignment horizontal="left"/>
    </xf>
    <xf numFmtId="0" fontId="30" fillId="2" borderId="8" xfId="0" applyFont="1" applyFill="1" applyBorder="1" applyAlignment="1">
      <alignment horizontal="left" vertical="center" wrapText="1"/>
    </xf>
    <xf numFmtId="0" fontId="32" fillId="2" borderId="1" xfId="0" applyFont="1" applyFill="1" applyBorder="1" applyAlignment="1">
      <alignment horizontal="left" vertical="center" wrapText="1"/>
    </xf>
    <xf numFmtId="0" fontId="34" fillId="2" borderId="1" xfId="5" applyFont="1" applyFill="1" applyBorder="1" applyAlignment="1">
      <alignment horizontal="left" vertical="center" wrapText="1"/>
    </xf>
    <xf numFmtId="0" fontId="33" fillId="2" borderId="1" xfId="5" applyFont="1" applyFill="1" applyBorder="1" applyAlignment="1">
      <alignment horizontal="left" vertical="center" wrapText="1"/>
    </xf>
    <xf numFmtId="0" fontId="30" fillId="0" borderId="1" xfId="5" applyFont="1" applyFill="1" applyBorder="1" applyAlignment="1">
      <alignment horizontal="left" vertical="center" wrapText="1"/>
    </xf>
    <xf numFmtId="0" fontId="29" fillId="0" borderId="1" xfId="5" applyFont="1" applyBorder="1" applyAlignment="1">
      <alignment horizontal="left" vertical="center" wrapText="1"/>
    </xf>
    <xf numFmtId="0" fontId="30" fillId="0" borderId="1" xfId="5" applyFont="1" applyBorder="1" applyAlignment="1">
      <alignment horizontal="left" vertical="center" wrapText="1"/>
    </xf>
    <xf numFmtId="0" fontId="34" fillId="30" borderId="1" xfId="0" applyFont="1" applyFill="1" applyBorder="1" applyAlignment="1">
      <alignment horizontal="left" vertical="center" wrapText="1"/>
    </xf>
    <xf numFmtId="0" fontId="38" fillId="0" borderId="1" xfId="2" applyFont="1" applyFill="1" applyBorder="1" applyAlignment="1">
      <alignment horizontal="left" vertical="center" wrapText="1"/>
    </xf>
    <xf numFmtId="0" fontId="30" fillId="0" borderId="1" xfId="3" applyFont="1" applyFill="1" applyBorder="1" applyAlignment="1">
      <alignment horizontal="left" vertical="center" wrapText="1"/>
    </xf>
    <xf numFmtId="0" fontId="34" fillId="3" borderId="1" xfId="0" applyFont="1" applyFill="1" applyBorder="1" applyAlignment="1"/>
    <xf numFmtId="0" fontId="34" fillId="0" borderId="1" xfId="0" applyFont="1" applyBorder="1" applyAlignment="1">
      <alignment vertical="center" wrapText="1"/>
    </xf>
    <xf numFmtId="0" fontId="30" fillId="2" borderId="7" xfId="0" applyFont="1" applyFill="1" applyBorder="1" applyAlignment="1">
      <alignment vertical="center" wrapText="1"/>
    </xf>
    <xf numFmtId="0" fontId="30" fillId="27" borderId="1" xfId="0" applyFont="1" applyFill="1" applyBorder="1" applyAlignment="1">
      <alignment vertical="center" wrapText="1"/>
    </xf>
    <xf numFmtId="0" fontId="37" fillId="2" borderId="1" xfId="0" applyFont="1" applyFill="1" applyBorder="1" applyAlignment="1">
      <alignment vertical="center" wrapText="1"/>
    </xf>
    <xf numFmtId="0" fontId="38" fillId="3" borderId="1" xfId="0" applyFont="1" applyFill="1" applyBorder="1" applyAlignment="1"/>
    <xf numFmtId="0" fontId="29" fillId="2" borderId="1" xfId="0" applyFont="1" applyFill="1" applyBorder="1" applyAlignment="1">
      <alignment wrapText="1"/>
    </xf>
    <xf numFmtId="0" fontId="29" fillId="2" borderId="1" xfId="151" applyFont="1" applyFill="1" applyBorder="1" applyAlignment="1">
      <alignment vertical="top" wrapText="1"/>
    </xf>
    <xf numFmtId="0" fontId="29" fillId="2" borderId="1" xfId="151" applyFont="1" applyFill="1" applyBorder="1" applyAlignment="1">
      <alignment vertical="center" wrapText="1"/>
    </xf>
    <xf numFmtId="0" fontId="30" fillId="3" borderId="1" xfId="0" applyFont="1" applyFill="1" applyBorder="1" applyAlignment="1"/>
    <xf numFmtId="0" fontId="34" fillId="3" borderId="1" xfId="0" applyFont="1" applyFill="1" applyBorder="1" applyAlignment="1">
      <alignment horizontal="left"/>
    </xf>
    <xf numFmtId="0" fontId="29" fillId="3" borderId="1" xfId="0" applyFont="1" applyFill="1" applyBorder="1" applyAlignment="1">
      <alignment horizontal="left"/>
    </xf>
    <xf numFmtId="177" fontId="33" fillId="3" borderId="1" xfId="0" applyNumberFormat="1" applyFont="1" applyFill="1" applyBorder="1" applyAlignment="1">
      <alignment horizontal="left" vertical="center" wrapText="1"/>
    </xf>
    <xf numFmtId="168" fontId="34" fillId="0" borderId="1" xfId="0" applyNumberFormat="1" applyFont="1" applyFill="1" applyBorder="1" applyAlignment="1">
      <alignment horizontal="left" vertical="center"/>
    </xf>
    <xf numFmtId="0" fontId="34" fillId="0" borderId="1" xfId="0" applyFont="1" applyFill="1" applyBorder="1" applyAlignment="1">
      <alignment horizontal="left" vertical="center"/>
    </xf>
    <xf numFmtId="0" fontId="33" fillId="3" borderId="1" xfId="0" applyFont="1" applyFill="1" applyBorder="1" applyAlignment="1">
      <alignment horizontal="left" vertical="center" wrapText="1"/>
    </xf>
    <xf numFmtId="0" fontId="29" fillId="3" borderId="1" xfId="0" applyFont="1" applyFill="1" applyBorder="1" applyAlignment="1">
      <alignment horizontal="left" vertical="center" wrapText="1"/>
    </xf>
    <xf numFmtId="0" fontId="42" fillId="0" borderId="1" xfId="0" applyFont="1" applyFill="1" applyBorder="1" applyAlignment="1">
      <alignment horizontal="left" vertical="center" wrapText="1"/>
    </xf>
    <xf numFmtId="174" fontId="37" fillId="2" borderId="1" xfId="0" applyNumberFormat="1" applyFont="1" applyFill="1" applyBorder="1" applyAlignment="1">
      <alignment horizontal="left" vertical="center" wrapText="1"/>
    </xf>
    <xf numFmtId="0" fontId="30" fillId="3" borderId="1" xfId="2" applyFont="1" applyFill="1" applyBorder="1" applyAlignment="1">
      <alignment horizontal="left" vertical="center" wrapText="1"/>
    </xf>
    <xf numFmtId="0" fontId="29" fillId="0" borderId="4" xfId="0" applyFont="1" applyFill="1" applyBorder="1" applyAlignment="1">
      <alignment horizontal="left" vertical="center" wrapText="1"/>
    </xf>
    <xf numFmtId="0" fontId="30" fillId="0" borderId="7" xfId="0" applyFont="1" applyFill="1" applyBorder="1" applyAlignment="1">
      <alignment horizontal="left" vertical="center" wrapText="1"/>
    </xf>
    <xf numFmtId="0" fontId="34" fillId="2" borderId="1" xfId="0" applyFont="1" applyFill="1" applyBorder="1" applyAlignment="1">
      <alignment horizontal="left" wrapText="1"/>
    </xf>
    <xf numFmtId="182" fontId="29" fillId="2" borderId="1" xfId="0" applyNumberFormat="1" applyFont="1" applyFill="1" applyBorder="1" applyAlignment="1">
      <alignment horizontal="left" vertical="center" wrapText="1"/>
    </xf>
    <xf numFmtId="0" fontId="29" fillId="0" borderId="0" xfId="0" applyFont="1" applyAlignment="1">
      <alignment horizontal="left" vertical="center"/>
    </xf>
    <xf numFmtId="0" fontId="34" fillId="3" borderId="1" xfId="0" applyFont="1" applyFill="1" applyBorder="1" applyAlignment="1">
      <alignment horizontal="left" vertical="center"/>
    </xf>
    <xf numFmtId="0" fontId="29" fillId="4" borderId="7" xfId="0" applyFont="1" applyFill="1" applyBorder="1" applyAlignment="1">
      <alignment horizontal="left" vertical="center"/>
    </xf>
    <xf numFmtId="0" fontId="29" fillId="3" borderId="25" xfId="0" applyFont="1" applyFill="1" applyBorder="1" applyAlignment="1">
      <alignment horizontal="left" vertical="center"/>
    </xf>
    <xf numFmtId="167" fontId="38" fillId="3" borderId="6" xfId="157" applyNumberFormat="1" applyFont="1" applyFill="1" applyBorder="1" applyAlignment="1">
      <alignment horizontal="left" vertical="center" wrapText="1"/>
    </xf>
    <xf numFmtId="0" fontId="30" fillId="4" borderId="5" xfId="0" applyFont="1" applyFill="1" applyBorder="1" applyAlignment="1">
      <alignment horizontal="left" vertical="center"/>
    </xf>
    <xf numFmtId="0" fontId="29" fillId="3" borderId="24" xfId="0" applyFont="1" applyFill="1" applyBorder="1" applyAlignment="1">
      <alignment horizontal="left" vertical="center"/>
    </xf>
    <xf numFmtId="0" fontId="30" fillId="3" borderId="23" xfId="0" applyFont="1" applyFill="1" applyBorder="1" applyAlignment="1">
      <alignment horizontal="left" vertical="center"/>
    </xf>
    <xf numFmtId="0" fontId="38" fillId="3" borderId="1" xfId="0" applyFont="1" applyFill="1" applyBorder="1" applyAlignment="1">
      <alignment horizontal="left" vertical="center"/>
    </xf>
    <xf numFmtId="0" fontId="29" fillId="0" borderId="7" xfId="0" applyFont="1" applyFill="1" applyBorder="1" applyAlignment="1">
      <alignment horizontal="left" vertical="center" wrapText="1"/>
    </xf>
    <xf numFmtId="0" fontId="29" fillId="2" borderId="8" xfId="0" applyFont="1" applyFill="1" applyBorder="1" applyAlignment="1">
      <alignment horizontal="left" vertical="center" wrapText="1"/>
    </xf>
    <xf numFmtId="0" fontId="30" fillId="3" borderId="7" xfId="0" applyFont="1" applyFill="1" applyBorder="1" applyAlignment="1">
      <alignment horizontal="left" vertical="center" wrapText="1"/>
    </xf>
    <xf numFmtId="167" fontId="30" fillId="3" borderId="1" xfId="0" applyNumberFormat="1" applyFont="1" applyFill="1" applyBorder="1" applyAlignment="1">
      <alignment horizontal="left" vertical="center"/>
    </xf>
    <xf numFmtId="0" fontId="29" fillId="0" borderId="1" xfId="3" applyFont="1" applyFill="1" applyBorder="1" applyAlignment="1">
      <alignment horizontal="left" vertical="center" wrapText="1"/>
    </xf>
    <xf numFmtId="0" fontId="30" fillId="3" borderId="8" xfId="3" applyFont="1" applyFill="1" applyBorder="1" applyAlignment="1">
      <alignment horizontal="left" vertical="center" wrapText="1"/>
    </xf>
    <xf numFmtId="182" fontId="30" fillId="2" borderId="8" xfId="0" applyNumberFormat="1" applyFont="1" applyFill="1" applyBorder="1" applyAlignment="1">
      <alignment horizontal="left" vertical="center" wrapText="1"/>
    </xf>
    <xf numFmtId="4" fontId="44" fillId="29" borderId="1" xfId="0" applyNumberFormat="1" applyFont="1" applyFill="1" applyBorder="1" applyAlignment="1" applyProtection="1">
      <alignment horizontal="center" vertical="center" wrapText="1"/>
    </xf>
    <xf numFmtId="167" fontId="30" fillId="2" borderId="1" xfId="36" applyNumberFormat="1" applyFont="1" applyFill="1" applyBorder="1" applyAlignment="1">
      <alignment horizontal="center" vertical="center"/>
    </xf>
    <xf numFmtId="0" fontId="29" fillId="2" borderId="1" xfId="0" applyFont="1" applyFill="1" applyBorder="1" applyAlignment="1">
      <alignment horizontal="left" vertical="center"/>
    </xf>
    <xf numFmtId="167" fontId="29" fillId="2" borderId="1" xfId="36" applyNumberFormat="1" applyFont="1" applyFill="1" applyBorder="1" applyAlignment="1">
      <alignment horizontal="center" vertical="center"/>
    </xf>
    <xf numFmtId="167" fontId="29" fillId="2" borderId="1" xfId="36" applyNumberFormat="1" applyFont="1" applyFill="1" applyBorder="1" applyAlignment="1">
      <alignment horizontal="center" vertical="center" wrapText="1"/>
    </xf>
    <xf numFmtId="168" fontId="29" fillId="2" borderId="1" xfId="0" applyNumberFormat="1" applyFont="1" applyFill="1" applyBorder="1" applyAlignment="1">
      <alignment horizontal="center" wrapText="1"/>
    </xf>
    <xf numFmtId="0" fontId="34" fillId="2" borderId="1" xfId="0" applyNumberFormat="1" applyFont="1" applyFill="1" applyBorder="1" applyAlignment="1">
      <alignment horizontal="left" vertical="center" wrapText="1"/>
    </xf>
    <xf numFmtId="168" fontId="29" fillId="2" borderId="0" xfId="0" applyNumberFormat="1" applyFont="1" applyFill="1" applyAlignment="1">
      <alignment horizontal="center"/>
    </xf>
    <xf numFmtId="49" fontId="29" fillId="2" borderId="0" xfId="0" applyNumberFormat="1" applyFont="1" applyFill="1" applyAlignment="1">
      <alignment horizontal="center" vertical="center"/>
    </xf>
    <xf numFmtId="0" fontId="29" fillId="2" borderId="0" xfId="0" applyFont="1" applyFill="1" applyAlignment="1">
      <alignment wrapText="1"/>
    </xf>
    <xf numFmtId="169" fontId="29" fillId="2" borderId="1" xfId="0" applyNumberFormat="1" applyFont="1" applyFill="1" applyBorder="1" applyAlignment="1">
      <alignment horizontal="center"/>
    </xf>
    <xf numFmtId="168" fontId="29" fillId="2" borderId="1" xfId="0" applyNumberFormat="1" applyFont="1" applyFill="1" applyBorder="1" applyAlignment="1">
      <alignment horizontal="center"/>
    </xf>
    <xf numFmtId="168" fontId="29" fillId="0" borderId="1" xfId="0" applyNumberFormat="1" applyFont="1" applyBorder="1" applyAlignment="1">
      <alignment horizontal="center" wrapText="1"/>
    </xf>
    <xf numFmtId="0" fontId="29" fillId="0" borderId="1" xfId="0" applyFont="1" applyBorder="1" applyAlignment="1">
      <alignment horizontal="center" vertical="center" wrapText="1"/>
    </xf>
    <xf numFmtId="0" fontId="29" fillId="3" borderId="1" xfId="0" applyFont="1" applyFill="1" applyBorder="1" applyAlignment="1">
      <alignment wrapText="1"/>
    </xf>
    <xf numFmtId="168" fontId="30" fillId="2" borderId="35" xfId="0" applyNumberFormat="1" applyFont="1" applyFill="1" applyBorder="1" applyAlignment="1">
      <alignment horizontal="right" vertical="center"/>
    </xf>
    <xf numFmtId="0" fontId="30" fillId="2" borderId="1" xfId="0" applyFont="1" applyFill="1" applyBorder="1" applyAlignment="1">
      <alignment horizontal="right" vertical="center"/>
    </xf>
    <xf numFmtId="10" fontId="30" fillId="2" borderId="1" xfId="163" applyNumberFormat="1" applyFont="1" applyFill="1" applyBorder="1" applyAlignment="1">
      <alignment horizontal="center" vertical="center" wrapText="1"/>
    </xf>
    <xf numFmtId="168" fontId="30" fillId="2" borderId="36" xfId="0" applyNumberFormat="1" applyFont="1" applyFill="1" applyBorder="1" applyAlignment="1">
      <alignment horizontal="right" vertical="center"/>
    </xf>
    <xf numFmtId="169" fontId="29" fillId="2" borderId="4" xfId="0" applyNumberFormat="1" applyFont="1" applyFill="1" applyBorder="1" applyAlignment="1">
      <alignment horizontal="right" vertical="center"/>
    </xf>
    <xf numFmtId="169" fontId="29" fillId="2" borderId="1" xfId="0" applyNumberFormat="1" applyFont="1" applyFill="1" applyBorder="1" applyAlignment="1">
      <alignment horizontal="right" vertical="center"/>
    </xf>
    <xf numFmtId="175" fontId="29" fillId="2" borderId="1" xfId="0" applyNumberFormat="1" applyFont="1" applyFill="1" applyBorder="1" applyAlignment="1">
      <alignment horizontal="center" vertical="center" wrapText="1"/>
    </xf>
    <xf numFmtId="10" fontId="29" fillId="2" borderId="1" xfId="0" applyNumberFormat="1" applyFont="1" applyFill="1" applyBorder="1" applyAlignment="1">
      <alignment horizontal="center" vertical="center" wrapText="1"/>
    </xf>
    <xf numFmtId="168" fontId="30" fillId="2" borderId="37" xfId="0" applyNumberFormat="1" applyFont="1" applyFill="1" applyBorder="1" applyAlignment="1">
      <alignment horizontal="right" vertical="center"/>
    </xf>
    <xf numFmtId="10" fontId="29" fillId="2" borderId="1" xfId="163" applyNumberFormat="1" applyFont="1" applyFill="1" applyBorder="1" applyAlignment="1">
      <alignment horizontal="center" vertical="center" wrapText="1"/>
    </xf>
    <xf numFmtId="167" fontId="29" fillId="2" borderId="4" xfId="0" applyNumberFormat="1" applyFont="1" applyFill="1" applyBorder="1" applyAlignment="1">
      <alignment vertical="center" wrapText="1"/>
    </xf>
    <xf numFmtId="10" fontId="29" fillId="2" borderId="4" xfId="0" applyNumberFormat="1" applyFont="1" applyFill="1" applyBorder="1" applyAlignment="1">
      <alignment vertical="center"/>
    </xf>
    <xf numFmtId="10" fontId="29" fillId="2" borderId="1" xfId="163" applyNumberFormat="1" applyFont="1" applyFill="1" applyBorder="1" applyAlignment="1">
      <alignment vertical="center"/>
    </xf>
    <xf numFmtId="0" fontId="29" fillId="2" borderId="4" xfId="0" applyFont="1" applyFill="1" applyBorder="1"/>
    <xf numFmtId="167" fontId="29" fillId="2" borderId="11" xfId="0" applyNumberFormat="1" applyFont="1" applyFill="1" applyBorder="1" applyAlignment="1">
      <alignment vertical="center" wrapText="1"/>
    </xf>
    <xf numFmtId="169" fontId="30" fillId="4" borderId="4" xfId="0" applyNumberFormat="1" applyFont="1" applyFill="1" applyBorder="1" applyAlignment="1">
      <alignment horizontal="center" vertical="center" wrapText="1"/>
    </xf>
    <xf numFmtId="169" fontId="30" fillId="2" borderId="4" xfId="0" applyNumberFormat="1" applyFont="1" applyFill="1" applyBorder="1" applyAlignment="1">
      <alignment horizontal="center" vertical="center" wrapText="1"/>
    </xf>
    <xf numFmtId="166" fontId="30" fillId="2" borderId="1" xfId="0" applyNumberFormat="1" applyFont="1" applyFill="1" applyBorder="1" applyAlignment="1">
      <alignment horizontal="center" vertical="center" wrapText="1"/>
    </xf>
    <xf numFmtId="0" fontId="29" fillId="2" borderId="2" xfId="0" applyFont="1" applyFill="1" applyBorder="1" applyAlignment="1">
      <alignment vertical="center" wrapText="1"/>
    </xf>
    <xf numFmtId="169" fontId="30" fillId="0" borderId="4" xfId="0" applyNumberFormat="1" applyFont="1" applyBorder="1" applyAlignment="1">
      <alignment horizontal="center" vertical="center" wrapText="1"/>
    </xf>
    <xf numFmtId="0" fontId="30" fillId="2" borderId="0" xfId="0" applyFont="1" applyFill="1" applyBorder="1" applyAlignment="1">
      <alignment horizontal="left" vertical="center" wrapText="1"/>
    </xf>
    <xf numFmtId="49" fontId="33" fillId="2" borderId="8" xfId="0" applyNumberFormat="1" applyFont="1" applyFill="1" applyBorder="1" applyAlignment="1">
      <alignment horizontal="center" vertical="center"/>
    </xf>
    <xf numFmtId="0" fontId="33" fillId="2" borderId="8" xfId="0" applyFont="1" applyFill="1" applyBorder="1" applyAlignment="1">
      <alignment vertical="center" wrapText="1"/>
    </xf>
    <xf numFmtId="0" fontId="33" fillId="2" borderId="8" xfId="0" applyFont="1" applyFill="1" applyBorder="1" applyAlignment="1">
      <alignment horizontal="center" vertical="center"/>
    </xf>
    <xf numFmtId="167" fontId="33" fillId="2" borderId="8" xfId="0" applyNumberFormat="1" applyFont="1" applyFill="1" applyBorder="1" applyAlignment="1">
      <alignment horizontal="center" vertical="center" wrapText="1"/>
    </xf>
    <xf numFmtId="0" fontId="34" fillId="2" borderId="1" xfId="0" applyFont="1" applyFill="1" applyBorder="1" applyAlignment="1">
      <alignment horizontal="left"/>
    </xf>
    <xf numFmtId="167" fontId="34" fillId="2" borderId="1" xfId="2" applyNumberFormat="1" applyFont="1" applyFill="1" applyBorder="1" applyAlignment="1">
      <alignment horizontal="center" vertical="center" wrapText="1"/>
    </xf>
    <xf numFmtId="0" fontId="33" fillId="2" borderId="8" xfId="0" applyFont="1" applyFill="1" applyBorder="1" applyAlignment="1">
      <alignment horizontal="left" vertical="center" wrapText="1"/>
    </xf>
    <xf numFmtId="166" fontId="34" fillId="2" borderId="1" xfId="0" applyNumberFormat="1" applyFont="1" applyFill="1" applyBorder="1" applyAlignment="1">
      <alignment horizontal="center"/>
    </xf>
    <xf numFmtId="166" fontId="34" fillId="2" borderId="8" xfId="0" applyNumberFormat="1" applyFont="1" applyFill="1" applyBorder="1" applyAlignment="1">
      <alignment horizontal="center" vertical="center" wrapText="1"/>
    </xf>
    <xf numFmtId="0" fontId="35" fillId="2" borderId="1" xfId="0" applyFont="1" applyFill="1" applyBorder="1" applyAlignment="1">
      <alignment horizontal="left" vertical="center" wrapText="1"/>
    </xf>
    <xf numFmtId="166" fontId="35" fillId="2" borderId="1" xfId="0" applyNumberFormat="1" applyFont="1" applyFill="1" applyBorder="1" applyAlignment="1">
      <alignment horizontal="center" vertical="center" wrapText="1"/>
    </xf>
    <xf numFmtId="1" fontId="34" fillId="2" borderId="7" xfId="0" applyNumberFormat="1" applyFont="1" applyFill="1" applyBorder="1" applyAlignment="1">
      <alignment horizontal="center" vertical="center" wrapText="1"/>
    </xf>
    <xf numFmtId="0" fontId="34" fillId="2" borderId="0" xfId="0" applyFont="1" applyFill="1" applyAlignment="1">
      <alignment horizontal="center"/>
    </xf>
    <xf numFmtId="184" fontId="29" fillId="2" borderId="1" xfId="0" applyNumberFormat="1" applyFont="1" applyFill="1" applyBorder="1" applyAlignment="1">
      <alignment horizontal="center" vertical="center" wrapText="1"/>
    </xf>
    <xf numFmtId="0" fontId="34" fillId="2" borderId="2" xfId="0" applyFont="1" applyFill="1" applyBorder="1" applyAlignment="1">
      <alignment vertical="center" wrapText="1"/>
    </xf>
    <xf numFmtId="166" fontId="34" fillId="2" borderId="1" xfId="0" applyNumberFormat="1" applyFont="1" applyFill="1" applyBorder="1" applyAlignment="1">
      <alignment horizontal="center" vertical="center"/>
    </xf>
    <xf numFmtId="3" fontId="34" fillId="2" borderId="1" xfId="0" applyNumberFormat="1" applyFont="1" applyFill="1" applyBorder="1" applyAlignment="1">
      <alignment horizontal="center" vertical="center" wrapText="1"/>
    </xf>
    <xf numFmtId="167" fontId="34" fillId="2" borderId="1" xfId="0" applyNumberFormat="1" applyFont="1" applyFill="1" applyBorder="1" applyAlignment="1">
      <alignment horizontal="left" vertical="center" wrapText="1"/>
    </xf>
    <xf numFmtId="0" fontId="29" fillId="2" borderId="10" xfId="0" applyFont="1" applyFill="1" applyBorder="1" applyAlignment="1">
      <alignment horizontal="left" vertical="center" wrapText="1"/>
    </xf>
    <xf numFmtId="177" fontId="34" fillId="2" borderId="1" xfId="0" applyNumberFormat="1" applyFont="1" applyFill="1" applyBorder="1" applyAlignment="1">
      <alignment horizontal="center" vertical="center"/>
    </xf>
    <xf numFmtId="177" fontId="29" fillId="2" borderId="7" xfId="0" applyNumberFormat="1" applyFont="1" applyFill="1" applyBorder="1" applyAlignment="1">
      <alignment horizontal="center" vertical="center" wrapText="1"/>
    </xf>
    <xf numFmtId="0" fontId="30" fillId="4" borderId="0" xfId="0" applyFont="1" applyFill="1" applyBorder="1" applyAlignment="1">
      <alignment horizontal="left" vertical="center" wrapText="1"/>
    </xf>
    <xf numFmtId="0" fontId="34" fillId="3" borderId="1" xfId="0" applyFont="1" applyFill="1" applyBorder="1" applyAlignment="1">
      <alignment horizontal="center"/>
    </xf>
    <xf numFmtId="169" fontId="29" fillId="4" borderId="0" xfId="0" applyNumberFormat="1" applyFont="1" applyFill="1" applyAlignment="1">
      <alignment horizontal="center"/>
    </xf>
    <xf numFmtId="49" fontId="30" fillId="2" borderId="1" xfId="0" applyNumberFormat="1" applyFont="1" applyFill="1" applyBorder="1" applyAlignment="1">
      <alignment vertical="center"/>
    </xf>
    <xf numFmtId="0" fontId="29" fillId="2" borderId="1" xfId="0" applyFont="1" applyFill="1" applyBorder="1" applyAlignment="1">
      <alignment horizontal="right" vertical="center" wrapText="1"/>
    </xf>
    <xf numFmtId="0" fontId="30" fillId="2" borderId="4" xfId="0" applyFont="1" applyFill="1" applyBorder="1" applyAlignment="1">
      <alignment vertical="top" wrapText="1"/>
    </xf>
    <xf numFmtId="177" fontId="29" fillId="2" borderId="1" xfId="0" applyNumberFormat="1" applyFont="1" applyFill="1" applyBorder="1"/>
    <xf numFmtId="49" fontId="30" fillId="2" borderId="2" xfId="0" applyNumberFormat="1" applyFont="1" applyFill="1" applyBorder="1" applyAlignment="1">
      <alignment horizontal="center" vertical="center"/>
    </xf>
    <xf numFmtId="0" fontId="30" fillId="2" borderId="5" xfId="0" applyFont="1" applyFill="1" applyBorder="1" applyAlignment="1">
      <alignment vertical="center" wrapText="1"/>
    </xf>
    <xf numFmtId="49" fontId="33" fillId="2" borderId="4" xfId="0" applyNumberFormat="1" applyFont="1" applyFill="1" applyBorder="1" applyAlignment="1">
      <alignment vertical="center" wrapText="1"/>
    </xf>
    <xf numFmtId="169" fontId="29" fillId="31" borderId="0" xfId="0" applyNumberFormat="1" applyFont="1" applyFill="1" applyAlignment="1">
      <alignment horizontal="center"/>
    </xf>
    <xf numFmtId="0" fontId="29" fillId="2" borderId="0" xfId="0" applyFont="1" applyFill="1" applyBorder="1" applyAlignment="1">
      <alignment horizontal="left" vertical="center" wrapText="1"/>
    </xf>
    <xf numFmtId="0" fontId="30" fillId="2" borderId="2" xfId="0" applyFont="1" applyFill="1" applyBorder="1" applyAlignment="1">
      <alignment vertical="center" wrapText="1"/>
    </xf>
    <xf numFmtId="167" fontId="30" fillId="2" borderId="7" xfId="1" applyNumberFormat="1" applyFont="1" applyFill="1" applyBorder="1" applyAlignment="1">
      <alignment horizontal="center" vertical="center" wrapText="1"/>
    </xf>
    <xf numFmtId="168" fontId="29" fillId="2" borderId="1" xfId="0" applyNumberFormat="1" applyFont="1" applyFill="1" applyBorder="1" applyAlignment="1">
      <alignment horizontal="center" vertical="center"/>
    </xf>
    <xf numFmtId="167" fontId="33" fillId="3" borderId="1" xfId="0" applyNumberFormat="1" applyFont="1" applyFill="1" applyBorder="1" applyAlignment="1">
      <alignment horizontal="center"/>
    </xf>
    <xf numFmtId="168" fontId="37" fillId="2" borderId="2" xfId="0" applyNumberFormat="1" applyFont="1" applyFill="1" applyBorder="1" applyAlignment="1">
      <alignment horizontal="center" vertical="center"/>
    </xf>
    <xf numFmtId="0" fontId="38" fillId="2" borderId="7" xfId="0" applyFont="1" applyFill="1" applyBorder="1" applyAlignment="1">
      <alignment horizontal="center" vertical="center"/>
    </xf>
    <xf numFmtId="0" fontId="37" fillId="2" borderId="7" xfId="0" applyFont="1" applyFill="1" applyBorder="1" applyAlignment="1">
      <alignment horizontal="right" vertical="center"/>
    </xf>
    <xf numFmtId="0" fontId="37" fillId="2" borderId="7" xfId="151" applyFont="1" applyFill="1" applyBorder="1" applyAlignment="1">
      <alignment vertical="center" wrapText="1"/>
    </xf>
    <xf numFmtId="167" fontId="37" fillId="2" borderId="7" xfId="0" applyNumberFormat="1" applyFont="1" applyFill="1" applyBorder="1" applyAlignment="1">
      <alignment horizontal="center" vertical="center" wrapText="1"/>
    </xf>
    <xf numFmtId="0" fontId="37" fillId="2" borderId="7" xfId="0" applyFont="1" applyFill="1" applyBorder="1" applyAlignment="1">
      <alignment horizontal="center" vertical="center" wrapText="1"/>
    </xf>
    <xf numFmtId="168" fontId="37" fillId="2" borderId="8" xfId="0" applyNumberFormat="1" applyFont="1" applyFill="1" applyBorder="1" applyAlignment="1">
      <alignment horizontal="right" vertical="center"/>
    </xf>
    <xf numFmtId="0" fontId="38" fillId="2" borderId="7" xfId="0" applyFont="1" applyFill="1" applyBorder="1" applyAlignment="1">
      <alignment horizontal="right" vertical="center"/>
    </xf>
    <xf numFmtId="0" fontId="38" fillId="2" borderId="8" xfId="2" applyFont="1" applyFill="1" applyBorder="1" applyAlignment="1">
      <alignment vertical="center" wrapText="1"/>
    </xf>
    <xf numFmtId="169" fontId="38" fillId="2" borderId="4" xfId="0" applyNumberFormat="1" applyFont="1" applyFill="1" applyBorder="1" applyAlignment="1">
      <alignment horizontal="center" vertical="center"/>
    </xf>
    <xf numFmtId="0" fontId="38" fillId="2" borderId="4" xfId="2" applyFont="1" applyFill="1" applyBorder="1" applyAlignment="1">
      <alignment horizontal="left" vertical="center" wrapText="1"/>
    </xf>
    <xf numFmtId="169" fontId="38" fillId="2" borderId="1" xfId="0" applyNumberFormat="1" applyFont="1" applyFill="1" applyBorder="1" applyAlignment="1">
      <alignment horizontal="center" vertical="center"/>
    </xf>
    <xf numFmtId="0" fontId="38" fillId="2" borderId="1" xfId="151" applyFont="1" applyFill="1" applyBorder="1" applyAlignment="1">
      <alignment vertical="center" wrapText="1"/>
    </xf>
    <xf numFmtId="49" fontId="37" fillId="2" borderId="8" xfId="0" applyNumberFormat="1" applyFont="1" applyFill="1" applyBorder="1" applyAlignment="1">
      <alignment horizontal="center" vertical="center"/>
    </xf>
    <xf numFmtId="49" fontId="38" fillId="2" borderId="8" xfId="0" applyNumberFormat="1" applyFont="1" applyFill="1" applyBorder="1" applyAlignment="1">
      <alignment vertical="center"/>
    </xf>
    <xf numFmtId="0" fontId="38" fillId="2" borderId="1" xfId="0" applyFont="1" applyFill="1" applyBorder="1" applyAlignment="1">
      <alignment horizontal="center"/>
    </xf>
    <xf numFmtId="49" fontId="37" fillId="2" borderId="8" xfId="0" applyNumberFormat="1" applyFont="1" applyFill="1" applyBorder="1" applyAlignment="1">
      <alignment vertical="center"/>
    </xf>
    <xf numFmtId="49" fontId="38" fillId="2" borderId="8" xfId="0" applyNumberFormat="1" applyFont="1" applyFill="1" applyBorder="1" applyAlignment="1">
      <alignment horizontal="center" vertical="center"/>
    </xf>
    <xf numFmtId="3" fontId="38" fillId="2" borderId="1" xfId="0" applyNumberFormat="1" applyFont="1" applyFill="1" applyBorder="1" applyAlignment="1">
      <alignment vertical="center" wrapText="1"/>
    </xf>
    <xf numFmtId="167" fontId="38" fillId="2" borderId="1" xfId="0" applyNumberFormat="1" applyFont="1" applyFill="1" applyBorder="1" applyAlignment="1">
      <alignment vertical="center" wrapText="1"/>
    </xf>
    <xf numFmtId="49" fontId="37" fillId="2" borderId="1" xfId="0" applyNumberFormat="1" applyFont="1" applyFill="1" applyBorder="1" applyAlignment="1">
      <alignment vertical="center"/>
    </xf>
    <xf numFmtId="49" fontId="38" fillId="2" borderId="1" xfId="0" applyNumberFormat="1" applyFont="1" applyFill="1" applyBorder="1" applyAlignment="1">
      <alignment horizontal="center" vertical="center"/>
    </xf>
    <xf numFmtId="49" fontId="38" fillId="2" borderId="1" xfId="0" applyNumberFormat="1" applyFont="1" applyFill="1" applyBorder="1" applyAlignment="1">
      <alignment vertical="center"/>
    </xf>
    <xf numFmtId="0" fontId="34" fillId="2" borderId="1" xfId="0" applyFont="1" applyFill="1" applyBorder="1" applyAlignment="1">
      <alignment horizontal="right" vertical="center"/>
    </xf>
    <xf numFmtId="0" fontId="33" fillId="2" borderId="1" xfId="0" applyFont="1" applyFill="1" applyBorder="1" applyAlignment="1">
      <alignment horizontal="right" vertical="center"/>
    </xf>
    <xf numFmtId="0" fontId="30" fillId="2" borderId="10" xfId="0" applyFont="1" applyFill="1" applyBorder="1" applyAlignment="1">
      <alignment horizontal="left" vertical="center" wrapText="1"/>
    </xf>
    <xf numFmtId="168" fontId="37" fillId="2" borderId="1" xfId="0" applyNumberFormat="1" applyFont="1" applyFill="1" applyBorder="1" applyAlignment="1">
      <alignment horizontal="center" vertical="center"/>
    </xf>
    <xf numFmtId="0" fontId="37" fillId="2" borderId="1" xfId="0" applyFont="1" applyFill="1" applyBorder="1" applyAlignment="1">
      <alignment horizontal="center" vertical="center"/>
    </xf>
    <xf numFmtId="0" fontId="37" fillId="2" borderId="7" xfId="0" applyFont="1" applyFill="1" applyBorder="1" applyAlignment="1">
      <alignment vertical="center" wrapText="1"/>
    </xf>
    <xf numFmtId="168" fontId="38" fillId="2" borderId="1" xfId="0" applyNumberFormat="1" applyFont="1" applyFill="1" applyBorder="1" applyAlignment="1">
      <alignment horizontal="center" vertical="center"/>
    </xf>
    <xf numFmtId="0" fontId="38" fillId="2" borderId="1" xfId="0" applyFont="1" applyFill="1" applyBorder="1" applyAlignment="1">
      <alignment horizontal="center" vertical="center"/>
    </xf>
    <xf numFmtId="167" fontId="38" fillId="2" borderId="1" xfId="0" applyNumberFormat="1" applyFont="1" applyFill="1" applyBorder="1" applyAlignment="1">
      <alignment horizontal="center" vertical="center"/>
    </xf>
    <xf numFmtId="0" fontId="38" fillId="2" borderId="0" xfId="0" applyFont="1" applyFill="1" applyBorder="1" applyAlignment="1">
      <alignment horizontal="left" vertical="center" wrapText="1"/>
    </xf>
    <xf numFmtId="0" fontId="30" fillId="2" borderId="1" xfId="0" applyFont="1" applyFill="1" applyBorder="1" applyAlignment="1">
      <alignment horizontal="center" vertical="center"/>
    </xf>
    <xf numFmtId="0" fontId="59" fillId="2" borderId="1" xfId="0" applyFont="1" applyFill="1" applyBorder="1" applyAlignment="1">
      <alignment horizontal="left" vertical="center" wrapText="1"/>
    </xf>
    <xf numFmtId="167" fontId="29" fillId="2" borderId="1" xfId="41" applyNumberFormat="1" applyFont="1" applyFill="1" applyBorder="1" applyAlignment="1">
      <alignment horizontal="center" vertical="center"/>
    </xf>
    <xf numFmtId="167" fontId="38" fillId="2" borderId="1" xfId="0" applyNumberFormat="1" applyFont="1" applyFill="1" applyBorder="1" applyAlignment="1">
      <alignment horizontal="left" vertical="center" wrapText="1"/>
    </xf>
    <xf numFmtId="2" fontId="29" fillId="2" borderId="1" xfId="0" applyNumberFormat="1" applyFont="1" applyFill="1" applyBorder="1" applyAlignment="1">
      <alignment horizontal="center" vertical="center" wrapText="1"/>
    </xf>
    <xf numFmtId="166" fontId="29" fillId="2" borderId="1" xfId="0" applyNumberFormat="1" applyFont="1" applyFill="1" applyBorder="1" applyAlignment="1">
      <alignment horizontal="center" vertical="center"/>
    </xf>
    <xf numFmtId="0" fontId="38" fillId="2" borderId="8" xfId="0" applyFont="1" applyFill="1" applyBorder="1" applyAlignment="1">
      <alignment vertical="center" wrapText="1"/>
    </xf>
    <xf numFmtId="49" fontId="37" fillId="2" borderId="1" xfId="0" applyNumberFormat="1" applyFont="1" applyFill="1" applyBorder="1" applyAlignment="1">
      <alignment horizontal="center" vertical="center"/>
    </xf>
    <xf numFmtId="167" fontId="30" fillId="3" borderId="1" xfId="41" applyNumberFormat="1" applyFont="1" applyFill="1" applyBorder="1" applyAlignment="1">
      <alignment horizontal="center" vertical="center" wrapText="1"/>
    </xf>
    <xf numFmtId="0" fontId="38" fillId="3" borderId="1" xfId="0" applyFont="1" applyFill="1" applyBorder="1" applyAlignment="1">
      <alignment vertical="center" wrapText="1"/>
    </xf>
    <xf numFmtId="0" fontId="38" fillId="3" borderId="1" xfId="0" applyFont="1" applyFill="1" applyBorder="1" applyAlignment="1">
      <alignment horizontal="center" vertical="center" wrapText="1"/>
    </xf>
    <xf numFmtId="0" fontId="38" fillId="3" borderId="1" xfId="0" applyFont="1" applyFill="1" applyBorder="1" applyAlignment="1">
      <alignment horizontal="center" vertical="center"/>
    </xf>
    <xf numFmtId="168" fontId="33" fillId="2" borderId="23" xfId="0" applyNumberFormat="1" applyFont="1" applyFill="1" applyBorder="1" applyAlignment="1">
      <alignment horizontal="center" vertical="center"/>
    </xf>
    <xf numFmtId="0" fontId="33" fillId="2" borderId="7" xfId="0" applyFont="1" applyFill="1" applyBorder="1" applyAlignment="1">
      <alignment horizontal="right" vertical="center"/>
    </xf>
    <xf numFmtId="168" fontId="33" fillId="2" borderId="8" xfId="0" applyNumberFormat="1" applyFont="1" applyFill="1" applyBorder="1" applyAlignment="1">
      <alignment horizontal="right" vertical="center"/>
    </xf>
    <xf numFmtId="0" fontId="38" fillId="2" borderId="1" xfId="2" applyFont="1" applyFill="1" applyBorder="1" applyAlignment="1">
      <alignment vertical="center" wrapText="1"/>
    </xf>
    <xf numFmtId="0" fontId="38" fillId="2" borderId="1" xfId="2" applyFont="1" applyFill="1" applyBorder="1" applyAlignment="1">
      <alignment horizontal="left" vertical="center" wrapText="1"/>
    </xf>
    <xf numFmtId="49" fontId="34" fillId="2" borderId="8" xfId="0" applyNumberFormat="1" applyFont="1" applyFill="1" applyBorder="1" applyAlignment="1">
      <alignment vertical="center"/>
    </xf>
    <xf numFmtId="0" fontId="34" fillId="3" borderId="24" xfId="0" applyFont="1" applyFill="1" applyBorder="1"/>
    <xf numFmtId="4" fontId="30" fillId="2" borderId="1" xfId="0" applyNumberFormat="1" applyFont="1" applyFill="1" applyBorder="1" applyAlignment="1">
      <alignment vertical="center" wrapText="1"/>
    </xf>
    <xf numFmtId="2" fontId="33" fillId="2" borderId="1" xfId="0" applyNumberFormat="1" applyFont="1" applyFill="1" applyBorder="1" applyAlignment="1">
      <alignment horizontal="center" vertical="center"/>
    </xf>
    <xf numFmtId="166" fontId="33" fillId="2" borderId="1" xfId="0" applyNumberFormat="1" applyFont="1" applyFill="1" applyBorder="1" applyAlignment="1">
      <alignment horizontal="center" vertical="center"/>
    </xf>
    <xf numFmtId="3" fontId="34" fillId="2" borderId="1" xfId="0" applyNumberFormat="1" applyFont="1" applyFill="1" applyBorder="1" applyAlignment="1">
      <alignment horizontal="center" vertical="center"/>
    </xf>
    <xf numFmtId="167" fontId="33" fillId="3" borderId="2" xfId="0" applyNumberFormat="1" applyFont="1" applyFill="1" applyBorder="1" applyAlignment="1">
      <alignment horizontal="center" vertical="center"/>
    </xf>
    <xf numFmtId="0" fontId="34" fillId="3" borderId="2" xfId="0" applyFont="1" applyFill="1" applyBorder="1" applyAlignment="1">
      <alignment horizontal="left"/>
    </xf>
    <xf numFmtId="49" fontId="44" fillId="2" borderId="1" xfId="0" applyNumberFormat="1" applyFont="1" applyFill="1" applyBorder="1" applyAlignment="1">
      <alignment horizontal="center" vertical="center" wrapText="1"/>
    </xf>
    <xf numFmtId="49" fontId="42" fillId="2" borderId="1" xfId="0" applyNumberFormat="1" applyFont="1" applyFill="1" applyBorder="1" applyAlignment="1">
      <alignment horizontal="center" wrapText="1"/>
    </xf>
    <xf numFmtId="167" fontId="44" fillId="2" borderId="8" xfId="0" applyNumberFormat="1" applyFont="1" applyFill="1" applyBorder="1" applyAlignment="1">
      <alignment horizontal="center" vertical="center" wrapText="1"/>
    </xf>
    <xf numFmtId="0" fontId="42" fillId="2" borderId="1" xfId="0" applyFont="1" applyFill="1" applyBorder="1" applyAlignment="1">
      <alignment horizontal="left" wrapText="1"/>
    </xf>
    <xf numFmtId="0" fontId="42" fillId="2" borderId="1" xfId="0" applyFont="1" applyFill="1" applyBorder="1" applyAlignment="1">
      <alignment horizontal="center" wrapText="1"/>
    </xf>
    <xf numFmtId="49" fontId="42" fillId="2" borderId="1" xfId="0" applyNumberFormat="1" applyFont="1" applyFill="1" applyBorder="1" applyAlignment="1">
      <alignment horizontal="center" vertical="center" wrapText="1"/>
    </xf>
    <xf numFmtId="167" fontId="42" fillId="2" borderId="1" xfId="0" applyNumberFormat="1" applyFont="1" applyFill="1" applyBorder="1" applyAlignment="1">
      <alignment horizontal="center" vertical="center" wrapText="1"/>
    </xf>
    <xf numFmtId="0" fontId="44" fillId="2" borderId="11" xfId="0" applyFont="1" applyFill="1" applyBorder="1" applyAlignment="1">
      <alignment horizontal="left" wrapText="1"/>
    </xf>
    <xf numFmtId="0" fontId="60" fillId="2" borderId="10" xfId="0" applyFont="1" applyFill="1" applyBorder="1" applyAlignment="1">
      <alignment horizontal="left" wrapText="1"/>
    </xf>
    <xf numFmtId="49" fontId="42" fillId="2" borderId="1" xfId="0" applyNumberFormat="1" applyFont="1" applyFill="1" applyBorder="1" applyAlignment="1">
      <alignment horizontal="left" wrapText="1"/>
    </xf>
    <xf numFmtId="49" fontId="42" fillId="2" borderId="1" xfId="0" applyNumberFormat="1" applyFont="1" applyFill="1" applyBorder="1" applyAlignment="1">
      <alignment horizontal="right" wrapText="1"/>
    </xf>
    <xf numFmtId="0" fontId="42" fillId="2" borderId="10" xfId="0" applyFont="1" applyFill="1" applyBorder="1" applyAlignment="1">
      <alignment horizontal="left" wrapText="1"/>
    </xf>
    <xf numFmtId="49" fontId="42" fillId="2" borderId="1" xfId="0" applyNumberFormat="1" applyFont="1" applyFill="1" applyBorder="1" applyAlignment="1">
      <alignment horizontal="center" vertical="top" wrapText="1"/>
    </xf>
    <xf numFmtId="0" fontId="42" fillId="2" borderId="4" xfId="0" applyFont="1" applyFill="1" applyBorder="1" applyAlignment="1">
      <alignment horizontal="left" wrapText="1"/>
    </xf>
    <xf numFmtId="0" fontId="34" fillId="2" borderId="4" xfId="0" applyFont="1" applyFill="1" applyBorder="1" applyAlignment="1">
      <alignment horizontal="left" wrapText="1"/>
    </xf>
    <xf numFmtId="9" fontId="34" fillId="2" borderId="1" xfId="0" applyNumberFormat="1" applyFont="1" applyFill="1" applyBorder="1" applyAlignment="1">
      <alignment vertical="center" wrapText="1"/>
    </xf>
    <xf numFmtId="0" fontId="33" fillId="3" borderId="1" xfId="0" applyFont="1" applyFill="1" applyBorder="1" applyAlignment="1">
      <alignment horizontal="left" vertical="center"/>
    </xf>
    <xf numFmtId="173" fontId="33" fillId="3" borderId="1" xfId="7" applyNumberFormat="1" applyFont="1" applyFill="1" applyBorder="1" applyAlignment="1">
      <alignment vertical="center"/>
    </xf>
    <xf numFmtId="0" fontId="33" fillId="3" borderId="1" xfId="0" applyFont="1" applyFill="1" applyBorder="1" applyAlignment="1">
      <alignment horizontal="center"/>
    </xf>
    <xf numFmtId="0" fontId="33" fillId="3" borderId="1" xfId="0" applyFont="1" applyFill="1" applyBorder="1" applyAlignment="1">
      <alignment horizontal="left"/>
    </xf>
    <xf numFmtId="168" fontId="34" fillId="2" borderId="1" xfId="0" applyNumberFormat="1" applyFont="1" applyFill="1" applyBorder="1" applyAlignment="1">
      <alignment horizontal="center" vertical="center"/>
    </xf>
    <xf numFmtId="0" fontId="30" fillId="2" borderId="1" xfId="2" applyFont="1" applyFill="1" applyBorder="1" applyAlignment="1">
      <alignment horizontal="left" vertical="center" wrapText="1"/>
    </xf>
    <xf numFmtId="167" fontId="29" fillId="2" borderId="1" xfId="1" applyNumberFormat="1" applyFont="1" applyFill="1" applyBorder="1" applyAlignment="1">
      <alignment horizontal="center" vertical="center" wrapText="1"/>
    </xf>
    <xf numFmtId="169" fontId="29" fillId="2" borderId="1" xfId="0" applyNumberFormat="1" applyFont="1" applyFill="1" applyBorder="1" applyAlignment="1">
      <alignment horizontal="center" vertical="center" wrapText="1"/>
    </xf>
    <xf numFmtId="170" fontId="29" fillId="2" borderId="1" xfId="0" applyNumberFormat="1" applyFont="1" applyFill="1" applyBorder="1" applyAlignment="1">
      <alignment horizontal="center" vertical="center" wrapText="1"/>
    </xf>
    <xf numFmtId="168" fontId="33" fillId="2" borderId="1" xfId="0" applyNumberFormat="1" applyFont="1" applyFill="1" applyBorder="1" applyAlignment="1">
      <alignment horizontal="center" vertical="center" wrapText="1"/>
    </xf>
    <xf numFmtId="167" fontId="33" fillId="2" borderId="1" xfId="7" applyNumberFormat="1" applyFont="1" applyFill="1" applyBorder="1" applyAlignment="1">
      <alignment horizontal="center" vertical="center" wrapText="1"/>
    </xf>
    <xf numFmtId="168" fontId="34" fillId="2" borderId="1" xfId="0" applyNumberFormat="1" applyFont="1" applyFill="1" applyBorder="1" applyAlignment="1">
      <alignment horizontal="center" vertical="center" wrapText="1"/>
    </xf>
    <xf numFmtId="167" fontId="34" fillId="2" borderId="1" xfId="7" applyNumberFormat="1" applyFont="1" applyFill="1" applyBorder="1" applyAlignment="1">
      <alignment horizontal="center" vertical="center" wrapText="1"/>
    </xf>
    <xf numFmtId="49" fontId="33" fillId="2" borderId="7" xfId="0" applyNumberFormat="1" applyFont="1" applyFill="1" applyBorder="1" applyAlignment="1">
      <alignment horizontal="center" vertical="center"/>
    </xf>
    <xf numFmtId="0" fontId="29" fillId="2" borderId="1" xfId="0" applyNumberFormat="1" applyFont="1" applyFill="1" applyBorder="1" applyAlignment="1">
      <alignment horizontal="left" vertical="center" wrapText="1"/>
    </xf>
    <xf numFmtId="167" fontId="33" fillId="2" borderId="7" xfId="135" applyNumberFormat="1" applyFont="1" applyFill="1" applyBorder="1" applyAlignment="1">
      <alignment horizontal="center" vertical="center" wrapText="1"/>
    </xf>
    <xf numFmtId="168" fontId="33" fillId="0" borderId="1" xfId="0" applyNumberFormat="1" applyFont="1" applyBorder="1" applyAlignment="1">
      <alignment horizontal="center" vertical="center"/>
    </xf>
    <xf numFmtId="167" fontId="34" fillId="2" borderId="1" xfId="135" applyNumberFormat="1" applyFont="1" applyFill="1" applyBorder="1" applyAlignment="1">
      <alignment horizontal="center" vertical="center" wrapText="1"/>
    </xf>
    <xf numFmtId="167" fontId="34" fillId="0" borderId="1" xfId="135" applyNumberFormat="1" applyFont="1" applyFill="1" applyBorder="1" applyAlignment="1">
      <alignment horizontal="center" vertical="center" wrapText="1"/>
    </xf>
    <xf numFmtId="1" fontId="34" fillId="2" borderId="1" xfId="135" applyNumberFormat="1" applyFont="1" applyFill="1" applyBorder="1" applyAlignment="1">
      <alignment vertical="center" wrapText="1"/>
    </xf>
    <xf numFmtId="167" fontId="33" fillId="2" borderId="1" xfId="135" applyNumberFormat="1" applyFont="1" applyFill="1" applyBorder="1" applyAlignment="1">
      <alignment horizontal="center" vertical="center" wrapText="1"/>
    </xf>
    <xf numFmtId="3" fontId="34" fillId="2" borderId="1" xfId="0" applyNumberFormat="1" applyFont="1" applyFill="1" applyBorder="1" applyAlignment="1">
      <alignment vertical="center" wrapText="1"/>
    </xf>
    <xf numFmtId="167" fontId="33" fillId="0" borderId="1" xfId="135" applyNumberFormat="1" applyFont="1" applyFill="1" applyBorder="1" applyAlignment="1">
      <alignment horizontal="center" vertical="center" wrapText="1"/>
    </xf>
    <xf numFmtId="0" fontId="34" fillId="2" borderId="1" xfId="0" applyNumberFormat="1" applyFont="1" applyFill="1" applyBorder="1" applyAlignment="1">
      <alignment vertical="center" wrapText="1"/>
    </xf>
    <xf numFmtId="49" fontId="37" fillId="0" borderId="1" xfId="2" applyNumberFormat="1" applyFont="1" applyBorder="1" applyAlignment="1">
      <alignment horizontal="center" vertical="center"/>
    </xf>
    <xf numFmtId="0" fontId="37" fillId="27" borderId="1" xfId="2" applyFont="1" applyFill="1" applyBorder="1" applyAlignment="1">
      <alignment vertical="center" wrapText="1"/>
    </xf>
    <xf numFmtId="0" fontId="37" fillId="27" borderId="5" xfId="2" applyFont="1" applyFill="1" applyBorder="1" applyAlignment="1">
      <alignment vertical="center" wrapText="1"/>
    </xf>
    <xf numFmtId="0" fontId="37" fillId="27" borderId="4" xfId="0" applyFont="1" applyFill="1" applyBorder="1" applyAlignment="1">
      <alignment vertical="center" wrapText="1"/>
    </xf>
    <xf numFmtId="167" fontId="37" fillId="27" borderId="1" xfId="2" applyNumberFormat="1" applyFont="1" applyFill="1" applyBorder="1" applyAlignment="1">
      <alignment horizontal="center" vertical="center" wrapText="1"/>
    </xf>
    <xf numFmtId="0" fontId="30" fillId="0" borderId="1" xfId="2" applyFont="1" applyBorder="1" applyAlignment="1">
      <alignment horizontal="center" vertical="center" wrapText="1"/>
    </xf>
    <xf numFmtId="175" fontId="30" fillId="0" borderId="1" xfId="16" applyNumberFormat="1" applyFont="1" applyBorder="1" applyAlignment="1">
      <alignment horizontal="center" vertical="center" wrapText="1"/>
    </xf>
    <xf numFmtId="168" fontId="37" fillId="0" borderId="1" xfId="2" applyNumberFormat="1" applyFont="1" applyBorder="1" applyAlignment="1">
      <alignment horizontal="right" vertical="center"/>
    </xf>
    <xf numFmtId="169" fontId="38" fillId="0" borderId="1" xfId="2" applyNumberFormat="1" applyFont="1" applyBorder="1" applyAlignment="1">
      <alignment horizontal="center" vertical="center"/>
    </xf>
    <xf numFmtId="0" fontId="38" fillId="27" borderId="1" xfId="2" applyFont="1" applyFill="1" applyBorder="1" applyAlignment="1">
      <alignment horizontal="right" vertical="center"/>
    </xf>
    <xf numFmtId="0" fontId="38" fillId="27" borderId="1" xfId="2" applyFont="1" applyFill="1" applyBorder="1" applyAlignment="1">
      <alignment vertical="center" wrapText="1"/>
    </xf>
    <xf numFmtId="167" fontId="38" fillId="27" borderId="1" xfId="2" applyNumberFormat="1" applyFont="1" applyFill="1" applyBorder="1" applyAlignment="1">
      <alignment horizontal="center" vertical="center" wrapText="1"/>
    </xf>
    <xf numFmtId="0" fontId="29" fillId="0" borderId="1" xfId="2" applyFont="1" applyBorder="1" applyAlignment="1">
      <alignment horizontal="center" vertical="center" wrapText="1"/>
    </xf>
    <xf numFmtId="175" fontId="29" fillId="0" borderId="1" xfId="2" applyNumberFormat="1" applyFont="1" applyBorder="1" applyAlignment="1">
      <alignment horizontal="center" vertical="center" wrapText="1"/>
    </xf>
    <xf numFmtId="168" fontId="37" fillId="0" borderId="1" xfId="2" applyNumberFormat="1" applyFont="1" applyBorder="1" applyAlignment="1">
      <alignment horizontal="center" vertical="center"/>
    </xf>
    <xf numFmtId="0" fontId="38" fillId="0" borderId="1" xfId="2" applyFont="1" applyBorder="1" applyAlignment="1">
      <alignment horizontal="center" vertical="center"/>
    </xf>
    <xf numFmtId="0" fontId="38" fillId="0" borderId="1" xfId="2" applyFont="1" applyBorder="1" applyAlignment="1">
      <alignment vertical="center" wrapText="1"/>
    </xf>
    <xf numFmtId="167" fontId="38" fillId="0" borderId="1" xfId="2" applyNumberFormat="1" applyFont="1" applyBorder="1" applyAlignment="1">
      <alignment horizontal="center" vertical="center" wrapText="1"/>
    </xf>
    <xf numFmtId="168" fontId="37" fillId="0" borderId="7" xfId="2" applyNumberFormat="1" applyFont="1" applyBorder="1" applyAlignment="1">
      <alignment horizontal="center" vertical="center"/>
    </xf>
    <xf numFmtId="169" fontId="38" fillId="0" borderId="7" xfId="2" applyNumberFormat="1" applyFont="1" applyBorder="1" applyAlignment="1">
      <alignment horizontal="center" vertical="center"/>
    </xf>
    <xf numFmtId="0" fontId="38" fillId="0" borderId="7" xfId="2" applyFont="1" applyBorder="1" applyAlignment="1">
      <alignment horizontal="center" vertical="center"/>
    </xf>
    <xf numFmtId="0" fontId="38" fillId="0" borderId="2" xfId="0" applyFont="1" applyBorder="1" applyAlignment="1">
      <alignment vertical="center" wrapText="1"/>
    </xf>
    <xf numFmtId="167" fontId="38" fillId="0" borderId="7" xfId="2" applyNumberFormat="1" applyFont="1" applyBorder="1" applyAlignment="1">
      <alignment horizontal="center" vertical="center" wrapText="1"/>
    </xf>
    <xf numFmtId="0" fontId="29" fillId="0" borderId="7" xfId="0" applyFont="1" applyBorder="1" applyAlignment="1">
      <alignment horizontal="left" vertical="center" wrapText="1"/>
    </xf>
    <xf numFmtId="0" fontId="29" fillId="0" borderId="7" xfId="2" applyFont="1" applyBorder="1" applyAlignment="1">
      <alignment horizontal="center" vertical="center" wrapText="1"/>
    </xf>
    <xf numFmtId="175" fontId="29" fillId="0" borderId="7" xfId="2" applyNumberFormat="1" applyFont="1" applyBorder="1" applyAlignment="1">
      <alignment horizontal="center" vertical="center" wrapText="1"/>
    </xf>
    <xf numFmtId="168" fontId="37" fillId="2" borderId="1" xfId="2" applyNumberFormat="1" applyFont="1" applyFill="1" applyBorder="1" applyAlignment="1">
      <alignment horizontal="right" vertical="center"/>
    </xf>
    <xf numFmtId="169" fontId="38" fillId="2" borderId="1" xfId="2" applyNumberFormat="1" applyFont="1" applyFill="1" applyBorder="1" applyAlignment="1">
      <alignment horizontal="center" vertical="center"/>
    </xf>
    <xf numFmtId="0" fontId="38" fillId="2" borderId="1" xfId="2" applyFont="1" applyFill="1" applyBorder="1" applyAlignment="1">
      <alignment horizontal="right" vertical="center"/>
    </xf>
    <xf numFmtId="167" fontId="38" fillId="2" borderId="1" xfId="2" applyNumberFormat="1" applyFont="1" applyFill="1" applyBorder="1" applyAlignment="1">
      <alignment horizontal="center" vertical="center" wrapText="1"/>
    </xf>
    <xf numFmtId="167" fontId="38" fillId="2" borderId="7" xfId="2" applyNumberFormat="1" applyFont="1" applyFill="1" applyBorder="1" applyAlignment="1">
      <alignment horizontal="center" vertical="center" wrapText="1"/>
    </xf>
    <xf numFmtId="49" fontId="37" fillId="2" borderId="1" xfId="2" applyNumberFormat="1" applyFont="1" applyFill="1" applyBorder="1" applyAlignment="1">
      <alignment horizontal="center" vertical="center" wrapText="1"/>
    </xf>
    <xf numFmtId="49" fontId="38" fillId="2" borderId="1" xfId="2" applyNumberFormat="1" applyFont="1" applyFill="1" applyBorder="1" applyAlignment="1">
      <alignment horizontal="center" wrapText="1"/>
    </xf>
    <xf numFmtId="167" fontId="37" fillId="2" borderId="1" xfId="2" applyNumberFormat="1" applyFont="1" applyFill="1" applyBorder="1" applyAlignment="1">
      <alignment horizontal="center" vertical="center" wrapText="1"/>
    </xf>
    <xf numFmtId="0" fontId="30" fillId="2" borderId="1" xfId="2" applyFont="1" applyFill="1" applyBorder="1" applyAlignment="1">
      <alignment horizontal="center" vertical="center" wrapText="1"/>
    </xf>
    <xf numFmtId="175" fontId="38" fillId="2" borderId="1" xfId="2" applyNumberFormat="1" applyFont="1" applyFill="1" applyBorder="1" applyAlignment="1">
      <alignment horizontal="center" vertical="center"/>
    </xf>
    <xf numFmtId="0" fontId="38" fillId="2" borderId="1" xfId="2" applyFont="1" applyFill="1" applyBorder="1" applyAlignment="1">
      <alignment horizontal="center" vertical="center"/>
    </xf>
    <xf numFmtId="2" fontId="29" fillId="2" borderId="1" xfId="2" applyNumberFormat="1" applyFont="1" applyFill="1" applyBorder="1" applyAlignment="1">
      <alignment horizontal="center" vertical="center" wrapText="1"/>
    </xf>
    <xf numFmtId="0" fontId="29" fillId="2" borderId="1" xfId="2" applyFont="1" applyFill="1" applyBorder="1" applyAlignment="1">
      <alignment horizontal="center" wrapText="1"/>
    </xf>
    <xf numFmtId="0" fontId="34" fillId="2" borderId="1" xfId="2" applyFont="1" applyFill="1" applyBorder="1" applyAlignment="1">
      <alignment horizontal="center" vertical="center" wrapText="1"/>
    </xf>
    <xf numFmtId="0" fontId="34" fillId="2" borderId="1" xfId="2" applyFont="1" applyFill="1" applyBorder="1" applyAlignment="1">
      <alignment horizontal="center" vertical="center"/>
    </xf>
    <xf numFmtId="175" fontId="34" fillId="2" borderId="1" xfId="2" applyNumberFormat="1" applyFont="1" applyFill="1" applyBorder="1" applyAlignment="1">
      <alignment horizontal="center" vertical="center"/>
    </xf>
    <xf numFmtId="9" fontId="34" fillId="2" borderId="1" xfId="2" applyNumberFormat="1" applyFont="1" applyFill="1" applyBorder="1" applyAlignment="1">
      <alignment horizontal="center" vertical="center"/>
    </xf>
    <xf numFmtId="49" fontId="37" fillId="2" borderId="1" xfId="135" applyNumberFormat="1" applyFont="1" applyFill="1" applyBorder="1" applyAlignment="1">
      <alignment horizontal="center" vertical="center"/>
    </xf>
    <xf numFmtId="49" fontId="38" fillId="2" borderId="1" xfId="2" applyNumberFormat="1" applyFont="1" applyFill="1" applyBorder="1"/>
    <xf numFmtId="0" fontId="29" fillId="2" borderId="1" xfId="2" applyFont="1" applyFill="1" applyBorder="1" applyAlignment="1">
      <alignment horizontal="center" vertical="center"/>
    </xf>
    <xf numFmtId="9" fontId="29" fillId="2" borderId="1" xfId="2" applyNumberFormat="1" applyFont="1" applyFill="1" applyBorder="1" applyAlignment="1">
      <alignment horizontal="center" vertical="center"/>
    </xf>
    <xf numFmtId="175" fontId="29" fillId="2" borderId="1" xfId="2" applyNumberFormat="1" applyFont="1" applyFill="1" applyBorder="1" applyAlignment="1">
      <alignment horizontal="center" vertical="center"/>
    </xf>
    <xf numFmtId="167" fontId="37" fillId="3" borderId="1" xfId="2" applyNumberFormat="1" applyFont="1" applyFill="1" applyBorder="1" applyAlignment="1">
      <alignment horizontal="center" vertical="center"/>
    </xf>
    <xf numFmtId="0" fontId="37" fillId="3" borderId="1" xfId="2" applyFont="1" applyFill="1" applyBorder="1" applyAlignment="1">
      <alignment vertical="center"/>
    </xf>
    <xf numFmtId="0" fontId="37" fillId="3" borderId="1" xfId="2" applyFont="1" applyFill="1" applyBorder="1"/>
    <xf numFmtId="167" fontId="34" fillId="2" borderId="1" xfId="41" applyNumberFormat="1" applyFont="1" applyFill="1" applyBorder="1" applyAlignment="1">
      <alignment horizontal="center" vertical="center"/>
    </xf>
    <xf numFmtId="167" fontId="34" fillId="2" borderId="1" xfId="41" applyNumberFormat="1" applyFont="1" applyFill="1" applyBorder="1" applyAlignment="1">
      <alignment horizontal="center" vertical="center" wrapText="1"/>
    </xf>
    <xf numFmtId="13" fontId="34" fillId="2" borderId="1" xfId="0" applyNumberFormat="1" applyFont="1" applyFill="1" applyBorder="1" applyAlignment="1">
      <alignment horizontal="center" vertical="center" wrapText="1"/>
    </xf>
    <xf numFmtId="49" fontId="33" fillId="2" borderId="1" xfId="0" applyNumberFormat="1" applyFont="1" applyFill="1" applyBorder="1" applyAlignment="1">
      <alignment horizontal="left" vertical="top" wrapText="1"/>
    </xf>
    <xf numFmtId="167" fontId="33" fillId="2" borderId="1" xfId="41" applyNumberFormat="1" applyFont="1" applyFill="1" applyBorder="1" applyAlignment="1">
      <alignment horizontal="center" vertical="center" wrapText="1"/>
    </xf>
    <xf numFmtId="49" fontId="29" fillId="2" borderId="1" xfId="0" applyNumberFormat="1" applyFont="1" applyFill="1" applyBorder="1" applyAlignment="1">
      <alignment vertical="top" wrapText="1"/>
    </xf>
    <xf numFmtId="167" fontId="33" fillId="3" borderId="1" xfId="41" applyNumberFormat="1" applyFont="1" applyFill="1" applyBorder="1" applyAlignment="1">
      <alignment horizontal="center" vertical="center"/>
    </xf>
    <xf numFmtId="0" fontId="33" fillId="2" borderId="7" xfId="0" applyFont="1" applyFill="1" applyBorder="1" applyAlignment="1">
      <alignment vertical="center"/>
    </xf>
    <xf numFmtId="166" fontId="33" fillId="2" borderId="1" xfId="0" applyNumberFormat="1" applyFont="1" applyFill="1" applyBorder="1" applyAlignment="1">
      <alignment vertical="center" wrapText="1"/>
    </xf>
    <xf numFmtId="168" fontId="34" fillId="2" borderId="8" xfId="0" applyNumberFormat="1" applyFont="1" applyFill="1" applyBorder="1" applyAlignment="1">
      <alignment horizontal="center" vertical="center"/>
    </xf>
    <xf numFmtId="0" fontId="34" fillId="2" borderId="7" xfId="0" applyFont="1" applyFill="1" applyBorder="1" applyAlignment="1">
      <alignment vertical="center"/>
    </xf>
    <xf numFmtId="9" fontId="34" fillId="2" borderId="1" xfId="16" applyFont="1" applyFill="1" applyBorder="1" applyAlignment="1">
      <alignment vertical="center" wrapText="1"/>
    </xf>
    <xf numFmtId="0" fontId="34" fillId="2" borderId="4" xfId="0" applyFont="1" applyFill="1" applyBorder="1" applyAlignment="1">
      <alignment vertical="center" wrapText="1"/>
    </xf>
    <xf numFmtId="0" fontId="38" fillId="2" borderId="1" xfId="3" applyFont="1" applyFill="1" applyBorder="1" applyAlignment="1">
      <alignment horizontal="center" vertical="center" wrapText="1"/>
    </xf>
    <xf numFmtId="169" fontId="34" fillId="2" borderId="11" xfId="0" applyNumberFormat="1" applyFont="1" applyFill="1" applyBorder="1" applyAlignment="1">
      <alignment vertical="center"/>
    </xf>
    <xf numFmtId="167" fontId="34" fillId="2" borderId="8" xfId="7" applyNumberFormat="1" applyFont="1" applyFill="1" applyBorder="1" applyAlignment="1">
      <alignment horizontal="center" vertical="center" wrapText="1"/>
    </xf>
    <xf numFmtId="175" fontId="34" fillId="2" borderId="1" xfId="0" applyNumberFormat="1" applyFont="1" applyFill="1" applyBorder="1" applyAlignment="1">
      <alignment vertical="center" wrapText="1"/>
    </xf>
    <xf numFmtId="169" fontId="34" fillId="2" borderId="4" xfId="0" applyNumberFormat="1" applyFont="1" applyFill="1" applyBorder="1" applyAlignment="1">
      <alignment vertical="center"/>
    </xf>
    <xf numFmtId="169" fontId="34" fillId="2" borderId="8" xfId="0" applyNumberFormat="1" applyFont="1" applyFill="1" applyBorder="1" applyAlignment="1">
      <alignment vertical="center"/>
    </xf>
    <xf numFmtId="169" fontId="30" fillId="2" borderId="8" xfId="0" applyNumberFormat="1" applyFont="1" applyFill="1" applyBorder="1" applyAlignment="1">
      <alignment vertical="center"/>
    </xf>
    <xf numFmtId="0" fontId="30" fillId="2" borderId="7" xfId="0" applyFont="1" applyFill="1" applyBorder="1" applyAlignment="1">
      <alignment vertical="center"/>
    </xf>
    <xf numFmtId="0" fontId="30" fillId="2" borderId="1" xfId="3" applyFont="1" applyFill="1" applyBorder="1" applyAlignment="1">
      <alignment horizontal="center" vertical="center" wrapText="1"/>
    </xf>
    <xf numFmtId="169" fontId="34" fillId="2" borderId="1" xfId="0" applyNumberFormat="1" applyFont="1" applyFill="1" applyBorder="1" applyAlignment="1">
      <alignment vertical="center"/>
    </xf>
    <xf numFmtId="0" fontId="37" fillId="2" borderId="1" xfId="3" applyFont="1" applyFill="1" applyBorder="1" applyAlignment="1">
      <alignment horizontal="center" vertical="center" wrapText="1"/>
    </xf>
    <xf numFmtId="1" fontId="37" fillId="2" borderId="1" xfId="3" applyNumberFormat="1" applyFont="1" applyFill="1" applyBorder="1" applyAlignment="1">
      <alignment vertical="center" wrapText="1"/>
    </xf>
    <xf numFmtId="1" fontId="38" fillId="2" borderId="1" xfId="3" applyNumberFormat="1" applyFont="1" applyFill="1" applyBorder="1" applyAlignment="1">
      <alignment vertical="center" wrapText="1"/>
    </xf>
    <xf numFmtId="0" fontId="34" fillId="2" borderId="2" xfId="0" applyFont="1" applyFill="1" applyBorder="1" applyAlignment="1">
      <alignment vertical="center"/>
    </xf>
    <xf numFmtId="1" fontId="29" fillId="2" borderId="8" xfId="3" applyNumberFormat="1" applyFont="1" applyFill="1" applyBorder="1" applyAlignment="1">
      <alignment vertical="center" wrapText="1"/>
    </xf>
    <xf numFmtId="0" fontId="33" fillId="3" borderId="4" xfId="0" applyFont="1" applyFill="1" applyBorder="1" applyAlignment="1">
      <alignment vertical="center"/>
    </xf>
    <xf numFmtId="0" fontId="33" fillId="3" borderId="5" xfId="0" applyFont="1" applyFill="1" applyBorder="1" applyAlignment="1">
      <alignment vertical="center"/>
    </xf>
    <xf numFmtId="0" fontId="33" fillId="3" borderId="6" xfId="0" applyFont="1" applyFill="1" applyBorder="1" applyAlignment="1">
      <alignment vertical="center"/>
    </xf>
    <xf numFmtId="0" fontId="30" fillId="2" borderId="8" xfId="0" applyFont="1" applyFill="1" applyBorder="1" applyAlignment="1">
      <alignment horizontal="left" vertical="top" wrapText="1"/>
    </xf>
    <xf numFmtId="0" fontId="32" fillId="2" borderId="7" xfId="0" applyFont="1" applyFill="1" applyBorder="1" applyAlignment="1">
      <alignment horizontal="left" vertical="top" wrapText="1"/>
    </xf>
    <xf numFmtId="0" fontId="29" fillId="0" borderId="7" xfId="0" applyFont="1" applyFill="1" applyBorder="1" applyAlignment="1">
      <alignment vertical="center" wrapText="1"/>
    </xf>
    <xf numFmtId="167" fontId="34" fillId="2" borderId="8" xfId="1" applyNumberFormat="1" applyFont="1" applyFill="1" applyBorder="1" applyAlignment="1">
      <alignment horizontal="center" vertical="center" wrapText="1"/>
    </xf>
    <xf numFmtId="0" fontId="30" fillId="2" borderId="8" xfId="0" applyFont="1" applyFill="1" applyBorder="1" applyAlignment="1">
      <alignment horizontal="justify" vertical="top"/>
    </xf>
    <xf numFmtId="167" fontId="34" fillId="2" borderId="1" xfId="1" applyNumberFormat="1" applyFont="1" applyFill="1" applyBorder="1" applyAlignment="1">
      <alignment horizontal="center" vertical="center" wrapText="1"/>
    </xf>
    <xf numFmtId="16" fontId="33" fillId="2" borderId="1" xfId="0" applyNumberFormat="1" applyFont="1" applyFill="1" applyBorder="1" applyAlignment="1">
      <alignment horizontal="center" vertical="center" wrapText="1"/>
    </xf>
    <xf numFmtId="0" fontId="33" fillId="2" borderId="1" xfId="0" applyFont="1" applyFill="1" applyBorder="1" applyAlignment="1">
      <alignment horizontal="left" vertical="center"/>
    </xf>
    <xf numFmtId="167" fontId="33" fillId="2" borderId="1" xfId="0" applyNumberFormat="1" applyFont="1" applyFill="1" applyBorder="1" applyAlignment="1">
      <alignment horizontal="center" vertical="center"/>
    </xf>
    <xf numFmtId="0" fontId="34" fillId="2" borderId="1" xfId="0" applyFont="1" applyFill="1" applyBorder="1" applyAlignment="1">
      <alignment horizontal="left" vertical="center"/>
    </xf>
    <xf numFmtId="0" fontId="29" fillId="2" borderId="3" xfId="0" applyFont="1" applyFill="1" applyBorder="1" applyAlignment="1">
      <alignment horizontal="left" vertical="center" wrapText="1"/>
    </xf>
    <xf numFmtId="168" fontId="33" fillId="0" borderId="23" xfId="0" applyNumberFormat="1" applyFont="1" applyBorder="1" applyAlignment="1">
      <alignment horizontal="center" vertical="center"/>
    </xf>
    <xf numFmtId="0" fontId="33" fillId="2" borderId="10" xfId="0" applyFont="1" applyFill="1" applyBorder="1" applyAlignment="1">
      <alignment horizontal="center" vertical="center"/>
    </xf>
    <xf numFmtId="168" fontId="33" fillId="0" borderId="8" xfId="0" applyNumberFormat="1" applyFont="1" applyBorder="1" applyAlignment="1">
      <alignment horizontal="center" vertical="center"/>
    </xf>
    <xf numFmtId="169" fontId="34" fillId="0" borderId="8" xfId="0" applyNumberFormat="1" applyFont="1" applyBorder="1" applyAlignment="1">
      <alignment horizontal="center" vertical="center"/>
    </xf>
    <xf numFmtId="0" fontId="34" fillId="2" borderId="10" xfId="0" applyFont="1" applyFill="1" applyBorder="1" applyAlignment="1">
      <alignment horizontal="center" vertical="center"/>
    </xf>
    <xf numFmtId="49" fontId="34" fillId="2" borderId="11" xfId="0" applyNumberFormat="1" applyFont="1" applyFill="1" applyBorder="1" applyAlignment="1">
      <alignment horizontal="center" vertical="center"/>
    </xf>
    <xf numFmtId="49" fontId="34" fillId="2" borderId="2" xfId="0" applyNumberFormat="1" applyFont="1" applyFill="1" applyBorder="1" applyAlignment="1">
      <alignment horizontal="center" vertical="center"/>
    </xf>
    <xf numFmtId="49" fontId="33" fillId="2" borderId="2" xfId="0" applyNumberFormat="1" applyFont="1" applyFill="1" applyBorder="1" applyAlignment="1">
      <alignment horizontal="center" vertical="center"/>
    </xf>
    <xf numFmtId="1" fontId="34" fillId="0" borderId="1" xfId="0" applyNumberFormat="1" applyFont="1" applyFill="1" applyBorder="1" applyAlignment="1">
      <alignment horizontal="center" vertical="center" wrapText="1"/>
    </xf>
    <xf numFmtId="49" fontId="34" fillId="2" borderId="3" xfId="0" applyNumberFormat="1" applyFont="1" applyFill="1" applyBorder="1" applyAlignment="1">
      <alignment horizontal="center" vertical="center"/>
    </xf>
    <xf numFmtId="3" fontId="34" fillId="0" borderId="1" xfId="0" applyNumberFormat="1" applyFont="1" applyFill="1" applyBorder="1" applyAlignment="1">
      <alignment horizontal="center" vertical="center" wrapText="1"/>
    </xf>
    <xf numFmtId="167" fontId="33" fillId="3" borderId="29" xfId="0" applyNumberFormat="1" applyFont="1" applyFill="1" applyBorder="1" applyAlignment="1">
      <alignment horizontal="center" vertical="center"/>
    </xf>
    <xf numFmtId="167" fontId="33" fillId="3" borderId="8" xfId="0" applyNumberFormat="1" applyFont="1" applyFill="1" applyBorder="1" applyAlignment="1">
      <alignment horizontal="center"/>
    </xf>
    <xf numFmtId="0" fontId="34" fillId="3" borderId="8" xfId="0" applyFont="1" applyFill="1" applyBorder="1"/>
    <xf numFmtId="0" fontId="33" fillId="0" borderId="8" xfId="0" applyFont="1" applyBorder="1" applyAlignment="1">
      <alignment vertical="center" wrapText="1"/>
    </xf>
    <xf numFmtId="166" fontId="34" fillId="0" borderId="1" xfId="0" applyNumberFormat="1" applyFont="1" applyBorder="1" applyAlignment="1">
      <alignment vertical="center" wrapText="1"/>
    </xf>
    <xf numFmtId="0" fontId="32" fillId="2" borderId="7" xfId="0" applyFont="1" applyFill="1" applyBorder="1" applyAlignment="1">
      <alignment horizontal="left" vertical="center" wrapText="1"/>
    </xf>
    <xf numFmtId="0" fontId="34" fillId="0" borderId="1" xfId="0" applyFont="1" applyBorder="1" applyAlignment="1">
      <alignment horizontal="center" vertical="center" wrapText="1"/>
    </xf>
    <xf numFmtId="49" fontId="34" fillId="0" borderId="1" xfId="0" applyNumberFormat="1" applyFont="1" applyBorder="1" applyAlignment="1">
      <alignment horizontal="center" vertical="center" wrapText="1"/>
    </xf>
    <xf numFmtId="0" fontId="34" fillId="0" borderId="4" xfId="2" applyFont="1" applyFill="1" applyBorder="1" applyAlignment="1">
      <alignment horizontal="left" vertical="center" wrapText="1"/>
    </xf>
    <xf numFmtId="166" fontId="34" fillId="0" borderId="1" xfId="0" applyNumberFormat="1" applyFont="1" applyBorder="1" applyAlignment="1">
      <alignment horizontal="center" vertical="center" wrapText="1"/>
    </xf>
    <xf numFmtId="49" fontId="33" fillId="0" borderId="1" xfId="0" applyNumberFormat="1" applyFont="1" applyBorder="1" applyAlignment="1">
      <alignment horizontal="center" vertical="center" wrapText="1"/>
    </xf>
    <xf numFmtId="167" fontId="33" fillId="0" borderId="1" xfId="0" applyNumberFormat="1" applyFont="1" applyBorder="1" applyAlignment="1">
      <alignment horizontal="center" vertical="center" wrapText="1"/>
    </xf>
    <xf numFmtId="0" fontId="29" fillId="2" borderId="1" xfId="152" applyFont="1" applyFill="1" applyBorder="1" applyAlignment="1">
      <alignment horizontal="left" vertical="center" wrapText="1"/>
    </xf>
    <xf numFmtId="168" fontId="33" fillId="0" borderId="23" xfId="0" applyNumberFormat="1" applyFont="1" applyFill="1" applyBorder="1" applyAlignment="1">
      <alignment horizontal="center" vertical="center"/>
    </xf>
    <xf numFmtId="168" fontId="33" fillId="0" borderId="8" xfId="0" applyNumberFormat="1" applyFont="1" applyFill="1" applyBorder="1" applyAlignment="1">
      <alignment horizontal="right" vertical="center"/>
    </xf>
    <xf numFmtId="169" fontId="34" fillId="0" borderId="4" xfId="0" applyNumberFormat="1" applyFont="1" applyFill="1" applyBorder="1" applyAlignment="1">
      <alignment horizontal="center" vertical="center"/>
    </xf>
    <xf numFmtId="0" fontId="34" fillId="2" borderId="8" xfId="0" applyFont="1" applyFill="1" applyBorder="1" applyAlignment="1">
      <alignment horizontal="center" vertical="center"/>
    </xf>
    <xf numFmtId="167" fontId="34" fillId="2" borderId="11" xfId="0" applyNumberFormat="1" applyFont="1" applyFill="1" applyBorder="1" applyAlignment="1">
      <alignment horizontal="center" vertical="center" wrapText="1"/>
    </xf>
    <xf numFmtId="0" fontId="34" fillId="2" borderId="4" xfId="0" applyFont="1" applyFill="1" applyBorder="1" applyAlignment="1">
      <alignment horizontal="center" vertical="center" wrapText="1"/>
    </xf>
    <xf numFmtId="167" fontId="34" fillId="3" borderId="1" xfId="0" applyNumberFormat="1" applyFont="1" applyFill="1" applyBorder="1" applyAlignment="1">
      <alignment horizontal="center"/>
    </xf>
    <xf numFmtId="0" fontId="33" fillId="2" borderId="9" xfId="0" applyFont="1" applyFill="1" applyBorder="1" applyAlignment="1">
      <alignment horizontal="left" vertical="center" wrapText="1"/>
    </xf>
    <xf numFmtId="167" fontId="34" fillId="2" borderId="8" xfId="0" applyNumberFormat="1" applyFont="1" applyFill="1" applyBorder="1" applyAlignment="1">
      <alignment horizontal="center" vertical="center"/>
    </xf>
    <xf numFmtId="0" fontId="33" fillId="2" borderId="7" xfId="0" applyFont="1" applyFill="1" applyBorder="1" applyAlignment="1">
      <alignment horizontal="left" vertical="center" wrapText="1"/>
    </xf>
    <xf numFmtId="0" fontId="34" fillId="2" borderId="1" xfId="0" applyFont="1" applyFill="1" applyBorder="1" applyAlignment="1">
      <alignment horizontal="center" wrapText="1"/>
    </xf>
    <xf numFmtId="167" fontId="34" fillId="2" borderId="2" xfId="0" applyNumberFormat="1" applyFont="1" applyFill="1" applyBorder="1" applyAlignment="1">
      <alignment horizontal="center" wrapText="1"/>
    </xf>
    <xf numFmtId="167" fontId="34" fillId="2" borderId="8" xfId="0" applyNumberFormat="1" applyFont="1" applyFill="1" applyBorder="1" applyAlignment="1">
      <alignment horizontal="center" wrapText="1"/>
    </xf>
    <xf numFmtId="167" fontId="34" fillId="2" borderId="1" xfId="0" applyNumberFormat="1" applyFont="1" applyFill="1" applyBorder="1" applyAlignment="1">
      <alignment horizontal="center"/>
    </xf>
    <xf numFmtId="167" fontId="33" fillId="3" borderId="24" xfId="0" applyNumberFormat="1" applyFont="1" applyFill="1" applyBorder="1" applyAlignment="1">
      <alignment horizontal="center" vertical="center"/>
    </xf>
    <xf numFmtId="167" fontId="44" fillId="3" borderId="1" xfId="0" applyNumberFormat="1" applyFont="1" applyFill="1" applyBorder="1" applyAlignment="1">
      <alignment horizontal="center" vertical="center" wrapText="1"/>
    </xf>
    <xf numFmtId="173" fontId="30" fillId="3" borderId="1" xfId="7" applyNumberFormat="1" applyFont="1" applyFill="1" applyBorder="1" applyAlignment="1">
      <alignment horizontal="center" vertical="center"/>
    </xf>
    <xf numFmtId="167" fontId="33" fillId="3" borderId="8" xfId="0" applyNumberFormat="1" applyFont="1" applyFill="1" applyBorder="1" applyAlignment="1">
      <alignment horizontal="center" vertical="center"/>
    </xf>
    <xf numFmtId="0" fontId="37" fillId="2" borderId="1" xfId="3" applyFont="1" applyFill="1" applyBorder="1" applyAlignment="1">
      <alignment horizontal="left" vertical="center" wrapText="1"/>
    </xf>
    <xf numFmtId="0" fontId="42" fillId="2" borderId="1" xfId="0" applyFont="1" applyFill="1" applyBorder="1" applyAlignment="1">
      <alignment vertical="top" wrapText="1"/>
    </xf>
    <xf numFmtId="0" fontId="42" fillId="2" borderId="1" xfId="0" applyFont="1" applyFill="1" applyBorder="1" applyAlignment="1">
      <alignment horizontal="center" vertical="center" wrapText="1"/>
    </xf>
    <xf numFmtId="49" fontId="42" fillId="2" borderId="1" xfId="0" applyNumberFormat="1" applyFont="1" applyFill="1" applyBorder="1" applyAlignment="1">
      <alignment vertical="top" wrapText="1"/>
    </xf>
    <xf numFmtId="169" fontId="34" fillId="2" borderId="1" xfId="0" applyNumberFormat="1" applyFont="1" applyFill="1" applyBorder="1" applyAlignment="1">
      <alignment horizontal="right" vertical="center"/>
    </xf>
    <xf numFmtId="4" fontId="34" fillId="2" borderId="1" xfId="0" applyNumberFormat="1" applyFont="1" applyFill="1" applyBorder="1" applyAlignment="1">
      <alignment vertical="center" wrapText="1"/>
    </xf>
    <xf numFmtId="3" fontId="34" fillId="2" borderId="2" xfId="0" applyNumberFormat="1" applyFont="1" applyFill="1" applyBorder="1" applyAlignment="1">
      <alignment horizontal="center" vertical="center" wrapText="1"/>
    </xf>
    <xf numFmtId="3" fontId="34" fillId="2" borderId="8" xfId="0" applyNumberFormat="1" applyFont="1" applyFill="1" applyBorder="1" applyAlignment="1">
      <alignment horizontal="center" vertical="center" wrapText="1"/>
    </xf>
    <xf numFmtId="49" fontId="33" fillId="2" borderId="29" xfId="0" applyNumberFormat="1" applyFont="1" applyFill="1" applyBorder="1" applyAlignment="1">
      <alignment horizontal="center" vertical="center"/>
    </xf>
    <xf numFmtId="167" fontId="33" fillId="2" borderId="1" xfId="41" applyNumberFormat="1" applyFont="1" applyFill="1" applyBorder="1" applyAlignment="1">
      <alignment horizontal="center" vertical="center"/>
    </xf>
    <xf numFmtId="49" fontId="29" fillId="2" borderId="1" xfId="14" applyNumberFormat="1" applyFont="1" applyFill="1" applyBorder="1" applyAlignment="1">
      <alignment horizontal="center" vertical="center"/>
    </xf>
    <xf numFmtId="0" fontId="34" fillId="2" borderId="4" xfId="0" applyFont="1" applyFill="1" applyBorder="1" applyAlignment="1">
      <alignment horizontal="center" vertical="center"/>
    </xf>
    <xf numFmtId="0" fontId="34" fillId="0" borderId="1" xfId="0" applyFont="1" applyBorder="1" applyAlignment="1">
      <alignment horizontal="center" vertical="center"/>
    </xf>
    <xf numFmtId="0" fontId="34" fillId="0" borderId="4" xfId="0" applyFont="1" applyBorder="1" applyAlignment="1">
      <alignment horizontal="center" vertical="center"/>
    </xf>
    <xf numFmtId="167" fontId="33" fillId="2" borderId="8" xfId="0" applyNumberFormat="1" applyFont="1" applyFill="1" applyBorder="1" applyAlignment="1">
      <alignment horizontal="center" vertical="center"/>
    </xf>
    <xf numFmtId="0" fontId="34" fillId="2" borderId="4" xfId="0" applyFont="1" applyFill="1" applyBorder="1" applyAlignment="1">
      <alignment horizontal="left" vertical="center" wrapText="1"/>
    </xf>
    <xf numFmtId="167" fontId="34" fillId="3" borderId="1" xfId="0" applyNumberFormat="1" applyFont="1" applyFill="1" applyBorder="1" applyAlignment="1"/>
    <xf numFmtId="167" fontId="34" fillId="3" borderId="4" xfId="0" applyNumberFormat="1" applyFont="1" applyFill="1" applyBorder="1" applyAlignment="1"/>
    <xf numFmtId="0" fontId="33" fillId="2" borderId="7" xfId="151" applyFont="1" applyFill="1" applyBorder="1" applyAlignment="1">
      <alignment vertical="center" wrapText="1"/>
    </xf>
    <xf numFmtId="0" fontId="33" fillId="2" borderId="7" xfId="151" applyFont="1" applyFill="1" applyBorder="1" applyAlignment="1">
      <alignment horizontal="left" vertical="center" wrapText="1"/>
    </xf>
    <xf numFmtId="0" fontId="34" fillId="2" borderId="8" xfId="2" applyFont="1" applyFill="1" applyBorder="1" applyAlignment="1">
      <alignment vertical="center" wrapText="1"/>
    </xf>
    <xf numFmtId="0" fontId="34" fillId="2" borderId="1" xfId="151" applyFont="1" applyFill="1" applyBorder="1" applyAlignment="1">
      <alignment horizontal="left" vertical="center" wrapText="1"/>
    </xf>
    <xf numFmtId="0" fontId="34" fillId="2" borderId="4" xfId="2" applyFont="1" applyFill="1" applyBorder="1" applyAlignment="1">
      <alignment horizontal="left" vertical="center" wrapText="1"/>
    </xf>
    <xf numFmtId="0" fontId="34" fillId="2" borderId="0" xfId="151" applyFont="1" applyFill="1" applyBorder="1" applyAlignment="1">
      <alignment horizontal="left" vertical="center" wrapText="1"/>
    </xf>
    <xf numFmtId="0" fontId="34" fillId="2" borderId="1" xfId="151" applyFont="1" applyFill="1" applyBorder="1" applyAlignment="1">
      <alignment vertical="center" wrapText="1"/>
    </xf>
    <xf numFmtId="0" fontId="42" fillId="2" borderId="1" xfId="151" applyFont="1" applyFill="1" applyBorder="1" applyAlignment="1">
      <alignment vertical="center" wrapText="1"/>
    </xf>
    <xf numFmtId="0" fontId="34" fillId="2" borderId="7" xfId="151" applyFont="1" applyFill="1" applyBorder="1" applyAlignment="1">
      <alignment horizontal="left" vertical="center" wrapText="1"/>
    </xf>
    <xf numFmtId="0" fontId="33" fillId="2" borderId="1" xfId="151" applyFont="1" applyFill="1" applyBorder="1" applyAlignment="1">
      <alignment horizontal="left" vertical="center" wrapText="1"/>
    </xf>
    <xf numFmtId="0" fontId="33" fillId="2" borderId="1" xfId="151" applyFont="1" applyFill="1" applyBorder="1" applyAlignment="1">
      <alignment vertical="center" wrapText="1"/>
    </xf>
    <xf numFmtId="0" fontId="34" fillId="0" borderId="1" xfId="151" applyFont="1" applyBorder="1" applyAlignment="1">
      <alignment horizontal="left" vertical="center" wrapText="1"/>
    </xf>
    <xf numFmtId="0" fontId="34" fillId="2" borderId="8" xfId="151" applyFont="1" applyFill="1" applyBorder="1" applyAlignment="1">
      <alignment horizontal="left" vertical="center" wrapText="1"/>
    </xf>
    <xf numFmtId="0" fontId="42" fillId="0" borderId="1" xfId="151" applyFont="1" applyBorder="1" applyAlignment="1">
      <alignment vertical="center" wrapText="1"/>
    </xf>
    <xf numFmtId="0" fontId="37" fillId="2" borderId="8" xfId="3" applyFont="1" applyFill="1" applyBorder="1" applyAlignment="1">
      <alignment horizontal="left" vertical="center" wrapText="1"/>
    </xf>
    <xf numFmtId="0" fontId="34" fillId="2" borderId="6" xfId="151" applyFont="1" applyFill="1" applyBorder="1" applyAlignment="1">
      <alignment horizontal="left" vertical="center" wrapText="1"/>
    </xf>
    <xf numFmtId="0" fontId="38" fillId="2" borderId="6" xfId="3" applyFont="1" applyFill="1" applyBorder="1" applyAlignment="1">
      <alignment horizontal="left" vertical="center" wrapText="1"/>
    </xf>
    <xf numFmtId="0" fontId="34" fillId="2" borderId="6" xfId="151" applyFont="1" applyFill="1" applyBorder="1" applyAlignment="1">
      <alignment vertical="center" wrapText="1"/>
    </xf>
    <xf numFmtId="0" fontId="38" fillId="2" borderId="7" xfId="3" applyFont="1" applyFill="1" applyBorder="1" applyAlignment="1">
      <alignment horizontal="left" vertical="center" wrapText="1"/>
    </xf>
    <xf numFmtId="0" fontId="38" fillId="2" borderId="1" xfId="3" applyFont="1" applyFill="1" applyBorder="1" applyAlignment="1">
      <alignment horizontal="left" vertical="center" wrapText="1"/>
    </xf>
    <xf numFmtId="167" fontId="30" fillId="0" borderId="1" xfId="150" applyNumberFormat="1" applyFont="1" applyBorder="1" applyAlignment="1">
      <alignment horizontal="center" vertical="center" wrapText="1"/>
    </xf>
    <xf numFmtId="49" fontId="29" fillId="0" borderId="1" xfId="0" applyNumberFormat="1" applyFont="1" applyBorder="1" applyAlignment="1">
      <alignment horizontal="center" vertical="center" wrapText="1"/>
    </xf>
    <xf numFmtId="167" fontId="34" fillId="2" borderId="1" xfId="147" applyNumberFormat="1" applyFont="1" applyFill="1" applyBorder="1" applyAlignment="1">
      <alignment horizontal="center" vertical="center" wrapText="1"/>
    </xf>
    <xf numFmtId="167" fontId="29" fillId="2" borderId="4" xfId="0" applyNumberFormat="1" applyFont="1" applyFill="1" applyBorder="1" applyAlignment="1">
      <alignment horizontal="center" vertical="center" wrapText="1"/>
    </xf>
    <xf numFmtId="0" fontId="30" fillId="0" borderId="4" xfId="0" applyFont="1" applyBorder="1" applyAlignment="1">
      <alignment vertical="center" wrapText="1"/>
    </xf>
    <xf numFmtId="167" fontId="30" fillId="2" borderId="1" xfId="150" applyNumberFormat="1" applyFont="1" applyFill="1" applyBorder="1" applyAlignment="1">
      <alignment horizontal="center" vertical="center" wrapText="1"/>
    </xf>
    <xf numFmtId="0" fontId="30" fillId="0" borderId="6" xfId="0" applyFont="1" applyBorder="1" applyAlignment="1">
      <alignment vertical="center" wrapText="1"/>
    </xf>
    <xf numFmtId="0" fontId="33" fillId="0" borderId="1" xfId="0" applyFont="1" applyBorder="1" applyAlignment="1">
      <alignment horizontal="center" vertical="center"/>
    </xf>
    <xf numFmtId="0" fontId="29" fillId="0" borderId="9" xfId="0" applyFont="1" applyBorder="1" applyAlignment="1">
      <alignment vertical="center" wrapText="1"/>
    </xf>
    <xf numFmtId="0" fontId="29" fillId="0" borderId="7" xfId="0" applyFont="1" applyBorder="1" applyAlignment="1">
      <alignment horizontal="center" vertical="center" wrapText="1"/>
    </xf>
    <xf numFmtId="49" fontId="29" fillId="0" borderId="1" xfId="0" applyNumberFormat="1" applyFont="1" applyBorder="1" applyAlignment="1">
      <alignment vertical="center" wrapText="1"/>
    </xf>
    <xf numFmtId="0" fontId="29" fillId="0" borderId="4" xfId="0" applyFont="1" applyBorder="1" applyAlignment="1">
      <alignment vertical="center" wrapText="1"/>
    </xf>
    <xf numFmtId="167" fontId="34" fillId="2" borderId="1" xfId="150" applyNumberFormat="1" applyFont="1" applyFill="1" applyBorder="1" applyAlignment="1">
      <alignment horizontal="center" vertical="center" wrapText="1"/>
    </xf>
    <xf numFmtId="3" fontId="29" fillId="0" borderId="1" xfId="0" applyNumberFormat="1" applyFont="1" applyBorder="1" applyAlignment="1">
      <alignment horizontal="center" vertical="center" wrapText="1"/>
    </xf>
    <xf numFmtId="167" fontId="30" fillId="3" borderId="1" xfId="150" applyNumberFormat="1" applyFont="1" applyFill="1" applyBorder="1" applyAlignment="1">
      <alignment horizontal="center" vertical="center" wrapText="1"/>
    </xf>
    <xf numFmtId="0" fontId="30" fillId="4" borderId="7" xfId="0" applyFont="1" applyFill="1" applyBorder="1"/>
    <xf numFmtId="0" fontId="29" fillId="4" borderId="7" xfId="0" applyFont="1" applyFill="1" applyBorder="1" applyAlignment="1">
      <alignment horizontal="center" vertical="center"/>
    </xf>
    <xf numFmtId="0" fontId="29" fillId="4" borderId="7" xfId="0" applyFont="1" applyFill="1" applyBorder="1" applyAlignment="1">
      <alignment horizontal="center"/>
    </xf>
    <xf numFmtId="0" fontId="38" fillId="0" borderId="1" xfId="0" applyFont="1" applyFill="1" applyBorder="1" applyAlignment="1">
      <alignment horizontal="center" vertical="center" wrapText="1"/>
    </xf>
    <xf numFmtId="167" fontId="42" fillId="0" borderId="1" xfId="0" applyNumberFormat="1" applyFont="1" applyFill="1" applyBorder="1" applyAlignment="1">
      <alignment horizontal="center" vertical="center" wrapText="1"/>
    </xf>
    <xf numFmtId="9" fontId="34" fillId="2" borderId="1" xfId="16" applyFont="1" applyFill="1" applyBorder="1" applyAlignment="1">
      <alignment horizontal="center" vertical="center" wrapText="1"/>
    </xf>
    <xf numFmtId="9" fontId="33" fillId="0" borderId="1" xfId="16" applyNumberFormat="1" applyFont="1" applyFill="1" applyBorder="1" applyAlignment="1">
      <alignment horizontal="center" vertical="center" wrapText="1"/>
    </xf>
    <xf numFmtId="0" fontId="34" fillId="0" borderId="0" xfId="0" applyFont="1" applyAlignment="1">
      <alignment vertical="center" wrapText="1"/>
    </xf>
    <xf numFmtId="0" fontId="42" fillId="0" borderId="1" xfId="0" applyFont="1" applyBorder="1" applyAlignment="1">
      <alignment vertical="center"/>
    </xf>
    <xf numFmtId="0" fontId="34" fillId="2" borderId="1" xfId="16" applyNumberFormat="1" applyFont="1" applyFill="1" applyBorder="1" applyAlignment="1">
      <alignment horizontal="center" vertical="center" wrapText="1"/>
    </xf>
    <xf numFmtId="0" fontId="42" fillId="0" borderId="1" xfId="0" applyFont="1" applyBorder="1" applyAlignment="1">
      <alignment vertical="center" wrapText="1"/>
    </xf>
    <xf numFmtId="9" fontId="34" fillId="0" borderId="1" xfId="16" applyNumberFormat="1" applyFont="1" applyFill="1" applyBorder="1" applyAlignment="1">
      <alignment horizontal="center" vertical="center" wrapText="1"/>
    </xf>
    <xf numFmtId="0" fontId="42" fillId="0" borderId="1" xfId="0" applyFont="1" applyBorder="1" applyAlignment="1">
      <alignment horizontal="left" vertical="center" wrapText="1"/>
    </xf>
    <xf numFmtId="0" fontId="34" fillId="0" borderId="8" xfId="0" applyFont="1" applyBorder="1" applyAlignment="1">
      <alignment horizontal="center" vertical="center"/>
    </xf>
    <xf numFmtId="49" fontId="38" fillId="0" borderId="1" xfId="0" applyNumberFormat="1" applyFont="1" applyFill="1" applyBorder="1" applyAlignment="1">
      <alignment horizontal="center" vertical="center" wrapText="1"/>
    </xf>
    <xf numFmtId="0" fontId="38" fillId="0" borderId="8" xfId="0" applyFont="1" applyFill="1" applyBorder="1" applyAlignment="1">
      <alignment horizontal="left" vertical="center" wrapText="1"/>
    </xf>
    <xf numFmtId="167" fontId="38" fillId="0" borderId="1" xfId="0" applyNumberFormat="1" applyFont="1" applyFill="1" applyBorder="1" applyAlignment="1">
      <alignment horizontal="center" vertical="center" wrapText="1"/>
    </xf>
    <xf numFmtId="167" fontId="33" fillId="3" borderId="1" xfId="1" applyNumberFormat="1" applyFont="1" applyFill="1" applyBorder="1" applyAlignment="1">
      <alignment horizontal="center" vertical="center"/>
    </xf>
    <xf numFmtId="168" fontId="30" fillId="0" borderId="1" xfId="0" applyNumberFormat="1" applyFont="1" applyFill="1" applyBorder="1" applyAlignment="1">
      <alignment horizontal="left" vertical="center"/>
    </xf>
    <xf numFmtId="168" fontId="30" fillId="2" borderId="1" xfId="0" applyNumberFormat="1" applyFont="1" applyFill="1" applyBorder="1" applyAlignment="1">
      <alignment horizontal="left" vertical="center"/>
    </xf>
    <xf numFmtId="168" fontId="33" fillId="0" borderId="1" xfId="0" applyNumberFormat="1" applyFont="1" applyBorder="1" applyAlignment="1">
      <alignment horizontal="right" vertical="center"/>
    </xf>
    <xf numFmtId="0" fontId="38" fillId="0" borderId="1" xfId="0" applyFont="1" applyBorder="1" applyAlignment="1">
      <alignment horizontal="center" vertical="center"/>
    </xf>
    <xf numFmtId="186" fontId="29" fillId="3" borderId="1" xfId="0" applyNumberFormat="1" applyFont="1" applyFill="1" applyBorder="1" applyAlignment="1">
      <alignment horizontal="center" vertical="center"/>
    </xf>
    <xf numFmtId="0" fontId="37" fillId="3" borderId="1" xfId="8" applyFont="1" applyFill="1" applyBorder="1" applyAlignment="1">
      <alignment horizontal="center" vertical="center"/>
    </xf>
    <xf numFmtId="168" fontId="34" fillId="0" borderId="1" xfId="0" applyNumberFormat="1" applyFont="1" applyBorder="1" applyAlignment="1">
      <alignment horizontal="right" vertical="center"/>
    </xf>
    <xf numFmtId="0" fontId="34" fillId="0" borderId="7" xfId="0" applyFont="1" applyBorder="1" applyAlignment="1">
      <alignment vertical="center" wrapText="1"/>
    </xf>
    <xf numFmtId="169" fontId="34" fillId="0" borderId="4" xfId="0" applyNumberFormat="1" applyFont="1" applyBorder="1" applyAlignment="1">
      <alignment horizontal="right" vertical="center"/>
    </xf>
    <xf numFmtId="0" fontId="33" fillId="2" borderId="4" xfId="2" applyFont="1" applyFill="1" applyBorder="1" applyAlignment="1">
      <alignment horizontal="left" vertical="center" wrapText="1"/>
    </xf>
    <xf numFmtId="168" fontId="33" fillId="0" borderId="8" xfId="0" applyNumberFormat="1" applyFont="1" applyBorder="1" applyAlignment="1">
      <alignment horizontal="right" vertical="center"/>
    </xf>
    <xf numFmtId="169" fontId="34" fillId="0" borderId="11" xfId="0" applyNumberFormat="1" applyFont="1" applyBorder="1" applyAlignment="1">
      <alignment horizontal="center" vertical="center"/>
    </xf>
    <xf numFmtId="0" fontId="34" fillId="2" borderId="2" xfId="0" applyFont="1" applyFill="1" applyBorder="1" applyAlignment="1">
      <alignment horizontal="right" vertical="center"/>
    </xf>
    <xf numFmtId="0" fontId="34" fillId="2" borderId="11" xfId="2" applyFont="1" applyFill="1" applyBorder="1" applyAlignment="1">
      <alignment horizontal="left" vertical="center" wrapText="1"/>
    </xf>
    <xf numFmtId="0" fontId="37" fillId="27" borderId="1" xfId="0" applyFont="1" applyFill="1" applyBorder="1" applyAlignment="1">
      <alignment horizontal="right" vertical="center"/>
    </xf>
    <xf numFmtId="168" fontId="37" fillId="0" borderId="1" xfId="0" applyNumberFormat="1" applyFont="1" applyBorder="1" applyAlignment="1">
      <alignment horizontal="right" vertical="center"/>
    </xf>
    <xf numFmtId="169" fontId="38" fillId="0" borderId="1" xfId="0" applyNumberFormat="1" applyFont="1" applyBorder="1" applyAlignment="1">
      <alignment horizontal="center" vertical="center"/>
    </xf>
    <xf numFmtId="167" fontId="34" fillId="0" borderId="1" xfId="0" applyNumberFormat="1" applyFont="1" applyBorder="1" applyAlignment="1">
      <alignment horizontal="center" vertical="center"/>
    </xf>
    <xf numFmtId="49" fontId="38" fillId="27" borderId="1" xfId="0" applyNumberFormat="1" applyFont="1" applyFill="1" applyBorder="1" applyAlignment="1">
      <alignment vertical="center"/>
    </xf>
    <xf numFmtId="0" fontId="38" fillId="27" borderId="1" xfId="0" applyFont="1" applyFill="1" applyBorder="1" applyAlignment="1"/>
    <xf numFmtId="49" fontId="37" fillId="27" borderId="1" xfId="0" applyNumberFormat="1" applyFont="1" applyFill="1" applyBorder="1" applyAlignment="1">
      <alignment vertical="center"/>
    </xf>
    <xf numFmtId="16" fontId="29" fillId="2" borderId="1" xfId="0" applyNumberFormat="1" applyFont="1" applyFill="1" applyBorder="1" applyAlignment="1">
      <alignment vertical="top" wrapText="1"/>
    </xf>
    <xf numFmtId="167" fontId="33" fillId="3" borderId="1" xfId="151" applyNumberFormat="1" applyFont="1" applyFill="1" applyBorder="1" applyAlignment="1">
      <alignment horizontal="center"/>
    </xf>
    <xf numFmtId="168" fontId="33" fillId="0" borderId="35" xfId="0" applyNumberFormat="1" applyFont="1" applyBorder="1" applyAlignment="1">
      <alignment horizontal="center" vertical="center"/>
    </xf>
    <xf numFmtId="0" fontId="33" fillId="2" borderId="10" xfId="0" applyFont="1" applyFill="1" applyBorder="1" applyAlignment="1">
      <alignment horizontal="center" vertical="center" wrapText="1"/>
    </xf>
    <xf numFmtId="0" fontId="34" fillId="0" borderId="44" xfId="0" applyFont="1" applyBorder="1" applyAlignment="1">
      <alignment horizontal="center"/>
    </xf>
    <xf numFmtId="168" fontId="33" fillId="0" borderId="36" xfId="0" applyNumberFormat="1" applyFont="1" applyBorder="1" applyAlignment="1">
      <alignment horizontal="right" vertical="center"/>
    </xf>
    <xf numFmtId="0" fontId="34" fillId="2" borderId="44" xfId="0" applyFont="1" applyFill="1" applyBorder="1" applyAlignment="1">
      <alignment horizontal="center" vertical="center" wrapText="1"/>
    </xf>
    <xf numFmtId="49" fontId="33" fillId="2" borderId="36" xfId="0" applyNumberFormat="1" applyFont="1" applyFill="1" applyBorder="1" applyAlignment="1">
      <alignment horizontal="center" vertical="center"/>
    </xf>
    <xf numFmtId="0" fontId="34" fillId="2" borderId="4" xfId="0" applyFont="1" applyFill="1" applyBorder="1" applyAlignment="1"/>
    <xf numFmtId="0" fontId="34" fillId="2" borderId="44" xfId="0" applyFont="1" applyFill="1" applyBorder="1" applyAlignment="1"/>
    <xf numFmtId="1" fontId="34" fillId="2" borderId="4" xfId="0" applyNumberFormat="1" applyFont="1" applyFill="1" applyBorder="1" applyAlignment="1">
      <alignment horizontal="center" vertical="center" wrapText="1"/>
    </xf>
    <xf numFmtId="1" fontId="34" fillId="2" borderId="44" xfId="0" applyNumberFormat="1" applyFont="1" applyFill="1" applyBorder="1" applyAlignment="1">
      <alignment horizontal="center" vertical="center" wrapText="1"/>
    </xf>
    <xf numFmtId="167" fontId="34" fillId="2" borderId="47" xfId="0" applyNumberFormat="1" applyFont="1" applyFill="1" applyBorder="1" applyAlignment="1">
      <alignment horizontal="center" vertical="center" wrapText="1"/>
    </xf>
    <xf numFmtId="0" fontId="34" fillId="3" borderId="8" xfId="0" applyFont="1" applyFill="1" applyBorder="1" applyAlignment="1"/>
    <xf numFmtId="0" fontId="34" fillId="2" borderId="1" xfId="0" applyFont="1" applyFill="1" applyBorder="1" applyAlignment="1">
      <alignment horizontal="center" vertical="top" wrapText="1"/>
    </xf>
    <xf numFmtId="0" fontId="29" fillId="27" borderId="1" xfId="3" applyFont="1" applyFill="1" applyBorder="1" applyAlignment="1">
      <alignment horizontal="left" vertical="center" wrapText="1"/>
    </xf>
    <xf numFmtId="0" fontId="34" fillId="0" borderId="0" xfId="0" applyFont="1" applyAlignment="1">
      <alignment horizontal="center" vertical="center" wrapText="1"/>
    </xf>
    <xf numFmtId="0" fontId="29" fillId="27" borderId="1" xfId="3" applyFont="1" applyFill="1" applyBorder="1" applyAlignment="1">
      <alignment horizontal="left" vertical="top" wrapText="1"/>
    </xf>
    <xf numFmtId="0" fontId="34" fillId="2" borderId="1" xfId="0" applyFont="1" applyFill="1" applyBorder="1" applyAlignment="1">
      <alignment horizontal="right" vertical="top" wrapText="1"/>
    </xf>
    <xf numFmtId="0" fontId="29" fillId="0" borderId="8" xfId="151" applyFont="1" applyBorder="1" applyAlignment="1">
      <alignment horizontal="left" vertical="center" wrapText="1"/>
    </xf>
    <xf numFmtId="0" fontId="42" fillId="0" borderId="1" xfId="0" applyFont="1" applyBorder="1" applyAlignment="1">
      <alignment horizontal="center" vertical="center"/>
    </xf>
    <xf numFmtId="0" fontId="34" fillId="2" borderId="2" xfId="151" applyFont="1" applyFill="1" applyBorder="1" applyAlignment="1">
      <alignment horizontal="left" vertical="center" wrapText="1"/>
    </xf>
    <xf numFmtId="0" fontId="34" fillId="2" borderId="2" xfId="0" applyFont="1" applyFill="1" applyBorder="1" applyAlignment="1">
      <alignment horizontal="center" wrapText="1"/>
    </xf>
    <xf numFmtId="0" fontId="42" fillId="0" borderId="8" xfId="0" applyFont="1" applyBorder="1" applyAlignment="1">
      <alignment horizontal="center"/>
    </xf>
    <xf numFmtId="0" fontId="34" fillId="2" borderId="1" xfId="0" applyFont="1" applyFill="1" applyBorder="1" applyAlignment="1">
      <alignment vertical="top"/>
    </xf>
    <xf numFmtId="0" fontId="42" fillId="0" borderId="1" xfId="0" applyFont="1" applyBorder="1" applyAlignment="1"/>
    <xf numFmtId="167" fontId="34" fillId="2" borderId="1" xfId="0" applyNumberFormat="1" applyFont="1" applyFill="1" applyBorder="1" applyAlignment="1">
      <alignment wrapText="1"/>
    </xf>
    <xf numFmtId="168" fontId="37" fillId="2" borderId="2" xfId="151" applyNumberFormat="1" applyFont="1" applyFill="1" applyBorder="1" applyAlignment="1">
      <alignment horizontal="center" vertical="center"/>
    </xf>
    <xf numFmtId="169" fontId="38" fillId="2" borderId="7" xfId="151" applyNumberFormat="1" applyFont="1" applyFill="1" applyBorder="1" applyAlignment="1">
      <alignment horizontal="right" vertical="center"/>
    </xf>
    <xf numFmtId="0" fontId="37" fillId="2" borderId="7" xfId="151" applyFont="1" applyFill="1" applyBorder="1" applyAlignment="1">
      <alignment horizontal="center" vertical="center"/>
    </xf>
    <xf numFmtId="167" fontId="37" fillId="2" borderId="2" xfId="151" applyNumberFormat="1" applyFont="1" applyFill="1" applyBorder="1" applyAlignment="1">
      <alignment horizontal="center" vertical="center" wrapText="1"/>
    </xf>
    <xf numFmtId="0" fontId="37" fillId="27" borderId="7" xfId="151" applyFont="1" applyFill="1" applyBorder="1" applyAlignment="1">
      <alignment horizontal="center" vertical="center" wrapText="1"/>
    </xf>
    <xf numFmtId="166" fontId="37" fillId="27" borderId="7" xfId="151" applyNumberFormat="1" applyFont="1" applyFill="1" applyBorder="1" applyAlignment="1">
      <alignment horizontal="center" vertical="center" wrapText="1"/>
    </xf>
    <xf numFmtId="0" fontId="38" fillId="2" borderId="1" xfId="0" applyFont="1" applyFill="1" applyBorder="1" applyAlignment="1">
      <alignment horizontal="left" vertical="top" wrapText="1"/>
    </xf>
    <xf numFmtId="0" fontId="38" fillId="27" borderId="1" xfId="151" applyFont="1" applyFill="1" applyBorder="1" applyAlignment="1">
      <alignment horizontal="center" vertical="center" wrapText="1"/>
    </xf>
    <xf numFmtId="0" fontId="37" fillId="27" borderId="1" xfId="151" applyFont="1" applyFill="1" applyBorder="1" applyAlignment="1">
      <alignment horizontal="center" vertical="center" wrapText="1"/>
    </xf>
    <xf numFmtId="170" fontId="37" fillId="2" borderId="1" xfId="151" applyNumberFormat="1" applyFont="1" applyFill="1" applyBorder="1" applyAlignment="1">
      <alignment horizontal="center" vertical="center"/>
    </xf>
    <xf numFmtId="170" fontId="37" fillId="2" borderId="1" xfId="151" applyNumberFormat="1" applyFont="1" applyFill="1" applyBorder="1" applyAlignment="1">
      <alignment horizontal="left" vertical="center"/>
    </xf>
    <xf numFmtId="170" fontId="37" fillId="2" borderId="1" xfId="0" applyNumberFormat="1" applyFont="1" applyFill="1" applyBorder="1" applyAlignment="1">
      <alignment horizontal="left" vertical="center" wrapText="1"/>
    </xf>
    <xf numFmtId="187" fontId="30" fillId="2" borderId="1" xfId="151" applyNumberFormat="1" applyFont="1" applyFill="1" applyBorder="1" applyAlignment="1">
      <alignment horizontal="center" vertical="center"/>
    </xf>
    <xf numFmtId="170" fontId="37" fillId="2" borderId="1" xfId="0" applyNumberFormat="1" applyFont="1" applyFill="1" applyBorder="1" applyAlignment="1">
      <alignment horizontal="left" vertical="top" wrapText="1"/>
    </xf>
    <xf numFmtId="0" fontId="38" fillId="0" borderId="1" xfId="151" applyFont="1" applyBorder="1" applyAlignment="1">
      <alignment horizontal="center" vertical="center"/>
    </xf>
    <xf numFmtId="1" fontId="37" fillId="27" borderId="1" xfId="151" applyNumberFormat="1" applyFont="1" applyFill="1" applyBorder="1" applyAlignment="1">
      <alignment horizontal="center" vertical="center"/>
    </xf>
    <xf numFmtId="168" fontId="37" fillId="2" borderId="8" xfId="151" applyNumberFormat="1" applyFont="1" applyFill="1" applyBorder="1" applyAlignment="1">
      <alignment horizontal="center" vertical="center"/>
    </xf>
    <xf numFmtId="169" fontId="38" fillId="2" borderId="8" xfId="151" applyNumberFormat="1" applyFont="1" applyFill="1" applyBorder="1" applyAlignment="1">
      <alignment horizontal="right" vertical="center"/>
    </xf>
    <xf numFmtId="0" fontId="38" fillId="2" borderId="2" xfId="151" applyFont="1" applyFill="1" applyBorder="1" applyAlignment="1">
      <alignment horizontal="center" vertical="center"/>
    </xf>
    <xf numFmtId="0" fontId="38" fillId="2" borderId="1" xfId="0" applyFont="1" applyFill="1" applyBorder="1" applyAlignment="1">
      <alignment vertical="top" wrapText="1"/>
    </xf>
    <xf numFmtId="167" fontId="38" fillId="2" borderId="1" xfId="151" applyNumberFormat="1" applyFont="1" applyFill="1" applyBorder="1" applyAlignment="1">
      <alignment horizontal="center" vertical="center" wrapText="1"/>
    </xf>
    <xf numFmtId="166" fontId="37" fillId="27" borderId="1" xfId="151" applyNumberFormat="1" applyFont="1" applyFill="1" applyBorder="1" applyAlignment="1">
      <alignment horizontal="center" vertical="center"/>
    </xf>
    <xf numFmtId="169" fontId="38" fillId="2" borderId="1" xfId="151" applyNumberFormat="1" applyFont="1" applyFill="1" applyBorder="1" applyAlignment="1">
      <alignment vertical="center"/>
    </xf>
    <xf numFmtId="187" fontId="38" fillId="2" borderId="1" xfId="151" applyNumberFormat="1" applyFont="1" applyFill="1" applyBorder="1" applyAlignment="1">
      <alignment horizontal="center" vertical="center"/>
    </xf>
    <xf numFmtId="169" fontId="38" fillId="2" borderId="4" xfId="151" applyNumberFormat="1" applyFont="1" applyFill="1" applyBorder="1" applyAlignment="1">
      <alignment horizontal="right" vertical="center"/>
    </xf>
    <xf numFmtId="0" fontId="38" fillId="2" borderId="7" xfId="151" applyFont="1" applyFill="1" applyBorder="1" applyAlignment="1">
      <alignment horizontal="center" vertical="center"/>
    </xf>
    <xf numFmtId="0" fontId="38" fillId="0" borderId="1" xfId="164" applyFont="1" applyFill="1" applyBorder="1" applyAlignment="1">
      <alignment horizontal="left" vertical="top" wrapText="1"/>
    </xf>
    <xf numFmtId="167" fontId="34" fillId="2" borderId="1" xfId="151" applyNumberFormat="1" applyFont="1" applyFill="1" applyBorder="1" applyAlignment="1">
      <alignment horizontal="center" vertical="center" wrapText="1"/>
    </xf>
    <xf numFmtId="167" fontId="34" fillId="2" borderId="8" xfId="151" applyNumberFormat="1" applyFont="1" applyFill="1" applyBorder="1" applyAlignment="1">
      <alignment horizontal="center" vertical="center"/>
    </xf>
    <xf numFmtId="0" fontId="38" fillId="2" borderId="8" xfId="0" applyFont="1" applyFill="1" applyBorder="1" applyAlignment="1">
      <alignment horizontal="left" vertical="top" wrapText="1"/>
    </xf>
    <xf numFmtId="187" fontId="30" fillId="2" borderId="8" xfId="151" applyNumberFormat="1" applyFont="1" applyFill="1" applyBorder="1" applyAlignment="1">
      <alignment horizontal="center" vertical="center"/>
    </xf>
    <xf numFmtId="0" fontId="38" fillId="2" borderId="1" xfId="151" applyFont="1" applyFill="1" applyBorder="1" applyAlignment="1">
      <alignment horizontal="center" vertical="center"/>
    </xf>
    <xf numFmtId="0" fontId="38" fillId="0" borderId="8" xfId="164" applyFont="1" applyFill="1" applyBorder="1" applyAlignment="1">
      <alignment vertical="center" wrapText="1"/>
    </xf>
    <xf numFmtId="167" fontId="34" fillId="0" borderId="1" xfId="151" applyNumberFormat="1" applyFont="1" applyBorder="1" applyAlignment="1">
      <alignment horizontal="center" vertical="center"/>
    </xf>
    <xf numFmtId="0" fontId="38" fillId="0" borderId="7" xfId="164" applyFont="1" applyFill="1" applyBorder="1" applyAlignment="1">
      <alignment vertical="center" wrapText="1"/>
    </xf>
    <xf numFmtId="0" fontId="34" fillId="0" borderId="1" xfId="151" applyFont="1" applyBorder="1" applyAlignment="1">
      <alignment horizontal="center" vertical="center"/>
    </xf>
    <xf numFmtId="168" fontId="37" fillId="2" borderId="1" xfId="151" applyNumberFormat="1" applyFont="1" applyFill="1" applyBorder="1" applyAlignment="1">
      <alignment horizontal="center" vertical="center"/>
    </xf>
    <xf numFmtId="169" fontId="38" fillId="2" borderId="8" xfId="151" applyNumberFormat="1" applyFont="1" applyFill="1" applyBorder="1" applyAlignment="1">
      <alignment horizontal="center" vertical="center"/>
    </xf>
    <xf numFmtId="0" fontId="34" fillId="2" borderId="8" xfId="151" applyFont="1" applyFill="1" applyBorder="1"/>
    <xf numFmtId="167" fontId="30" fillId="2" borderId="8" xfId="151" applyNumberFormat="1" applyFont="1" applyFill="1" applyBorder="1" applyAlignment="1">
      <alignment horizontal="center" vertical="center"/>
    </xf>
    <xf numFmtId="0" fontId="37" fillId="2" borderId="1" xfId="164" applyFont="1" applyFill="1" applyBorder="1" applyAlignment="1">
      <alignment vertical="top" wrapText="1"/>
    </xf>
    <xf numFmtId="0" fontId="34" fillId="2" borderId="1" xfId="151" applyFont="1" applyFill="1" applyBorder="1" applyAlignment="1">
      <alignment horizontal="center" vertical="center"/>
    </xf>
    <xf numFmtId="169" fontId="38" fillId="0" borderId="8" xfId="151" applyNumberFormat="1" applyFont="1" applyBorder="1" applyAlignment="1">
      <alignment horizontal="center" vertical="center"/>
    </xf>
    <xf numFmtId="0" fontId="34" fillId="0" borderId="8" xfId="151" applyFont="1" applyBorder="1"/>
    <xf numFmtId="0" fontId="38" fillId="0" borderId="8" xfId="164" applyFont="1" applyFill="1" applyBorder="1" applyAlignment="1">
      <alignment vertical="top" wrapText="1"/>
    </xf>
    <xf numFmtId="0" fontId="38" fillId="2" borderId="7" xfId="164" applyFont="1" applyFill="1" applyBorder="1" applyAlignment="1">
      <alignment vertical="center" wrapText="1"/>
    </xf>
    <xf numFmtId="167" fontId="34" fillId="2" borderId="13" xfId="151" applyNumberFormat="1" applyFont="1" applyFill="1" applyBorder="1" applyAlignment="1">
      <alignment horizontal="center" vertical="center"/>
    </xf>
    <xf numFmtId="167" fontId="34" fillId="2" borderId="11" xfId="151" applyNumberFormat="1" applyFont="1" applyFill="1" applyBorder="1" applyAlignment="1">
      <alignment horizontal="center" vertical="center"/>
    </xf>
    <xf numFmtId="0" fontId="38" fillId="2" borderId="1" xfId="164" applyFont="1" applyFill="1" applyBorder="1" applyAlignment="1">
      <alignment horizontal="left" vertical="center" wrapText="1"/>
    </xf>
    <xf numFmtId="0" fontId="38" fillId="0" borderId="1" xfId="164" applyFont="1" applyFill="1" applyBorder="1" applyAlignment="1">
      <alignment horizontal="center" vertical="center" wrapText="1"/>
    </xf>
    <xf numFmtId="0" fontId="38" fillId="0" borderId="7" xfId="164" applyFont="1" applyFill="1" applyBorder="1" applyAlignment="1">
      <alignment vertical="top" wrapText="1"/>
    </xf>
    <xf numFmtId="167" fontId="34" fillId="2" borderId="7" xfId="151" applyNumberFormat="1" applyFont="1" applyFill="1" applyBorder="1" applyAlignment="1">
      <alignment horizontal="center" vertical="center"/>
    </xf>
    <xf numFmtId="0" fontId="38" fillId="2" borderId="10" xfId="164" applyFont="1" applyFill="1" applyBorder="1" applyAlignment="1">
      <alignment vertical="center" wrapText="1"/>
    </xf>
    <xf numFmtId="167" fontId="37" fillId="3" borderId="1" xfId="151" applyNumberFormat="1" applyFont="1" applyFill="1" applyBorder="1" applyAlignment="1">
      <alignment horizontal="center" vertical="center"/>
    </xf>
    <xf numFmtId="0" fontId="34" fillId="3" borderId="1" xfId="151" applyFont="1" applyFill="1" applyBorder="1" applyAlignment="1">
      <alignment vertical="center"/>
    </xf>
    <xf numFmtId="168" fontId="33" fillId="0" borderId="7" xfId="159" applyNumberFormat="1" applyFont="1" applyBorder="1" applyAlignment="1">
      <alignment horizontal="center" vertical="center"/>
    </xf>
    <xf numFmtId="0" fontId="34" fillId="2" borderId="7" xfId="159" applyFont="1" applyFill="1" applyBorder="1" applyAlignment="1">
      <alignment horizontal="right" vertical="center"/>
    </xf>
    <xf numFmtId="0" fontId="33" fillId="2" borderId="7" xfId="159" applyFont="1" applyFill="1" applyBorder="1" applyAlignment="1">
      <alignment horizontal="right" vertical="center"/>
    </xf>
    <xf numFmtId="167" fontId="33" fillId="2" borderId="7" xfId="159" applyNumberFormat="1" applyFont="1" applyFill="1" applyBorder="1" applyAlignment="1">
      <alignment horizontal="center" vertical="center" wrapText="1"/>
    </xf>
    <xf numFmtId="0" fontId="33" fillId="2" borderId="7" xfId="159" applyFont="1" applyFill="1" applyBorder="1" applyAlignment="1">
      <alignment horizontal="center" vertical="center" wrapText="1"/>
    </xf>
    <xf numFmtId="0" fontId="34" fillId="0" borderId="48" xfId="159" applyFont="1" applyBorder="1" applyAlignment="1">
      <alignment horizontal="center"/>
    </xf>
    <xf numFmtId="0" fontId="34" fillId="2" borderId="1" xfId="159" applyFont="1" applyFill="1" applyBorder="1" applyAlignment="1">
      <alignment horizontal="center" vertical="center" wrapText="1"/>
    </xf>
    <xf numFmtId="2" fontId="34" fillId="0" borderId="4" xfId="159" applyNumberFormat="1" applyFont="1" applyBorder="1" applyAlignment="1">
      <alignment horizontal="center" vertical="center"/>
    </xf>
    <xf numFmtId="0" fontId="34" fillId="0" borderId="44" xfId="159" applyFont="1" applyBorder="1" applyAlignment="1">
      <alignment horizontal="center" vertical="center"/>
    </xf>
    <xf numFmtId="0" fontId="34" fillId="0" borderId="1" xfId="159" applyFont="1" applyFill="1" applyBorder="1" applyAlignment="1">
      <alignment horizontal="center" vertical="center" wrapText="1"/>
    </xf>
    <xf numFmtId="0" fontId="34" fillId="0" borderId="4" xfId="159" applyFont="1" applyFill="1" applyBorder="1" applyAlignment="1">
      <alignment horizontal="center" vertical="center"/>
    </xf>
    <xf numFmtId="0" fontId="34" fillId="0" borderId="44" xfId="159" applyFont="1" applyFill="1" applyBorder="1" applyAlignment="1">
      <alignment horizontal="center" vertical="center"/>
    </xf>
    <xf numFmtId="0" fontId="34" fillId="0" borderId="6" xfId="0" applyFont="1" applyFill="1" applyBorder="1" applyAlignment="1">
      <alignment horizontal="left" vertical="center" wrapText="1"/>
    </xf>
    <xf numFmtId="0" fontId="34" fillId="0" borderId="44" xfId="159" applyFont="1" applyFill="1" applyBorder="1" applyAlignment="1">
      <alignment horizontal="center" vertical="center" wrapText="1"/>
    </xf>
    <xf numFmtId="0" fontId="34" fillId="2" borderId="7" xfId="159" applyFont="1" applyFill="1" applyBorder="1" applyAlignment="1">
      <alignment horizontal="center" vertical="center" wrapText="1"/>
    </xf>
    <xf numFmtId="167" fontId="34" fillId="0" borderId="1" xfId="159" applyNumberFormat="1" applyFont="1" applyFill="1" applyBorder="1" applyAlignment="1">
      <alignment horizontal="center" vertical="center" wrapText="1"/>
    </xf>
    <xf numFmtId="167" fontId="34" fillId="0" borderId="44" xfId="159" applyNumberFormat="1" applyFont="1" applyFill="1" applyBorder="1" applyAlignment="1">
      <alignment horizontal="center" vertical="center" wrapText="1"/>
    </xf>
    <xf numFmtId="0" fontId="34" fillId="2" borderId="9" xfId="0" applyFont="1" applyFill="1" applyBorder="1" applyAlignment="1">
      <alignment vertical="center" wrapText="1"/>
    </xf>
    <xf numFmtId="166" fontId="34" fillId="0" borderId="1" xfId="159" applyNumberFormat="1" applyFont="1" applyFill="1" applyBorder="1" applyAlignment="1">
      <alignment horizontal="center" vertical="center" wrapText="1"/>
    </xf>
    <xf numFmtId="166" fontId="34" fillId="0" borderId="44" xfId="159" applyNumberFormat="1" applyFont="1" applyFill="1" applyBorder="1" applyAlignment="1">
      <alignment horizontal="center" vertical="center" wrapText="1"/>
    </xf>
    <xf numFmtId="0" fontId="34" fillId="0" borderId="13" xfId="0" applyFont="1" applyFill="1" applyBorder="1" applyAlignment="1">
      <alignment vertical="center" wrapText="1"/>
    </xf>
    <xf numFmtId="0" fontId="34" fillId="2" borderId="8" xfId="159" applyFont="1" applyFill="1" applyBorder="1" applyAlignment="1">
      <alignment horizontal="center" vertical="center" wrapText="1"/>
    </xf>
    <xf numFmtId="0" fontId="34" fillId="0" borderId="8" xfId="159" applyFont="1" applyFill="1" applyBorder="1" applyAlignment="1">
      <alignment horizontal="center" vertical="center" wrapText="1"/>
    </xf>
    <xf numFmtId="166" fontId="34" fillId="0" borderId="8" xfId="159" applyNumberFormat="1" applyFont="1" applyFill="1" applyBorder="1" applyAlignment="1">
      <alignment horizontal="center" vertical="center" wrapText="1"/>
    </xf>
    <xf numFmtId="166" fontId="34" fillId="0" borderId="47" xfId="159" applyNumberFormat="1" applyFont="1" applyFill="1" applyBorder="1" applyAlignment="1">
      <alignment horizontal="center" vertical="center" wrapText="1"/>
    </xf>
    <xf numFmtId="168" fontId="33" fillId="0" borderId="1" xfId="159" applyNumberFormat="1" applyFont="1" applyBorder="1" applyAlignment="1">
      <alignment horizontal="center" vertical="center"/>
    </xf>
    <xf numFmtId="169" fontId="34" fillId="0" borderId="1" xfId="159" applyNumberFormat="1" applyFont="1" applyBorder="1" applyAlignment="1">
      <alignment horizontal="center" vertical="center"/>
    </xf>
    <xf numFmtId="0" fontId="34" fillId="2" borderId="1" xfId="159" applyFont="1" applyFill="1" applyBorder="1" applyAlignment="1">
      <alignment horizontal="center" vertical="center"/>
    </xf>
    <xf numFmtId="167" fontId="33" fillId="2" borderId="1" xfId="159" applyNumberFormat="1" applyFont="1" applyFill="1" applyBorder="1" applyAlignment="1">
      <alignment horizontal="center" vertical="center" wrapText="1"/>
    </xf>
    <xf numFmtId="0" fontId="34" fillId="2" borderId="1" xfId="159" applyFont="1" applyFill="1" applyBorder="1" applyAlignment="1">
      <alignment vertical="center" wrapText="1"/>
    </xf>
    <xf numFmtId="167" fontId="34" fillId="2" borderId="1" xfId="159" applyNumberFormat="1" applyFont="1" applyFill="1" applyBorder="1" applyAlignment="1">
      <alignment horizontal="center" vertical="center" wrapText="1"/>
    </xf>
    <xf numFmtId="167" fontId="34" fillId="2" borderId="1" xfId="159" applyNumberFormat="1" applyFont="1" applyFill="1" applyBorder="1" applyAlignment="1">
      <alignment horizontal="center" vertical="center"/>
    </xf>
    <xf numFmtId="167" fontId="37" fillId="32" borderId="1" xfId="8" applyNumberFormat="1" applyFont="1" applyFill="1" applyBorder="1" applyAlignment="1">
      <alignment horizontal="center" vertical="center"/>
    </xf>
    <xf numFmtId="167" fontId="30" fillId="3" borderId="1" xfId="161" applyNumberFormat="1" applyFont="1" applyFill="1" applyBorder="1" applyAlignment="1">
      <alignment horizontal="center" vertical="center"/>
    </xf>
    <xf numFmtId="0" fontId="38" fillId="32" borderId="1" xfId="8" applyFont="1" applyFill="1" applyBorder="1" applyAlignment="1">
      <alignment horizontal="center" vertical="center"/>
    </xf>
    <xf numFmtId="168" fontId="37" fillId="0" borderId="1" xfId="162" applyNumberFormat="1" applyFont="1" applyBorder="1" applyAlignment="1">
      <alignment horizontal="center" vertical="center"/>
    </xf>
    <xf numFmtId="169" fontId="38" fillId="27" borderId="1" xfId="162" applyNumberFormat="1" applyFont="1" applyFill="1" applyBorder="1" applyAlignment="1">
      <alignment horizontal="right" vertical="center"/>
    </xf>
    <xf numFmtId="0" fontId="37" fillId="27" borderId="1" xfId="162" applyFont="1" applyFill="1" applyBorder="1" applyAlignment="1">
      <alignment horizontal="center" vertical="center"/>
    </xf>
    <xf numFmtId="167" fontId="37" fillId="27" borderId="1" xfId="162" applyNumberFormat="1" applyFont="1" applyFill="1" applyBorder="1" applyAlignment="1">
      <alignment horizontal="center" vertical="center" wrapText="1"/>
    </xf>
    <xf numFmtId="0" fontId="37" fillId="27" borderId="1" xfId="162" applyFont="1" applyFill="1" applyBorder="1" applyAlignment="1">
      <alignment horizontal="center" vertical="center" wrapText="1"/>
    </xf>
    <xf numFmtId="166" fontId="37" fillId="27" borderId="1" xfId="162" applyNumberFormat="1" applyFont="1" applyFill="1" applyBorder="1" applyAlignment="1">
      <alignment horizontal="center" vertical="center" wrapText="1"/>
    </xf>
    <xf numFmtId="169" fontId="38" fillId="0" borderId="1" xfId="162" applyNumberFormat="1" applyFont="1" applyBorder="1" applyAlignment="1">
      <alignment horizontal="right" vertical="center"/>
    </xf>
    <xf numFmtId="0" fontId="38" fillId="27" borderId="1" xfId="162" applyFont="1" applyFill="1" applyBorder="1" applyAlignment="1">
      <alignment horizontal="center" vertical="center"/>
    </xf>
    <xf numFmtId="167" fontId="38" fillId="27" borderId="1" xfId="162" applyNumberFormat="1" applyFont="1" applyFill="1" applyBorder="1" applyAlignment="1">
      <alignment horizontal="center" vertical="center" wrapText="1"/>
    </xf>
    <xf numFmtId="0" fontId="38" fillId="27" borderId="1" xfId="162" applyFont="1" applyFill="1" applyBorder="1" applyAlignment="1">
      <alignment horizontal="center" vertical="center" wrapText="1"/>
    </xf>
    <xf numFmtId="0" fontId="38" fillId="27" borderId="1" xfId="154" applyFont="1" applyFill="1" applyBorder="1" applyAlignment="1">
      <alignment horizontal="left" vertical="center" wrapText="1"/>
    </xf>
    <xf numFmtId="0" fontId="29" fillId="2" borderId="1" xfId="165" applyFont="1" applyFill="1" applyBorder="1" applyAlignment="1">
      <alignment horizontal="left" vertical="center" wrapText="1"/>
    </xf>
    <xf numFmtId="166" fontId="38" fillId="27" borderId="1" xfId="162" applyNumberFormat="1" applyFont="1" applyFill="1" applyBorder="1" applyAlignment="1">
      <alignment horizontal="center" vertical="center" wrapText="1"/>
    </xf>
    <xf numFmtId="0" fontId="38" fillId="27" borderId="1" xfId="162" applyFont="1" applyFill="1" applyBorder="1" applyAlignment="1">
      <alignment horizontal="left" vertical="center" wrapText="1"/>
    </xf>
    <xf numFmtId="0" fontId="38" fillId="27" borderId="1" xfId="162" applyFont="1" applyFill="1" applyBorder="1" applyAlignment="1">
      <alignment vertical="center" wrapText="1"/>
    </xf>
    <xf numFmtId="170" fontId="38" fillId="27" borderId="1" xfId="162" applyNumberFormat="1" applyFont="1" applyFill="1" applyBorder="1" applyAlignment="1">
      <alignment horizontal="center" vertical="center"/>
    </xf>
    <xf numFmtId="0" fontId="37" fillId="27" borderId="1" xfId="162" applyFont="1" applyFill="1" applyBorder="1" applyAlignment="1">
      <alignment vertical="center" wrapText="1"/>
    </xf>
    <xf numFmtId="0" fontId="37" fillId="27" borderId="1" xfId="162" applyFont="1" applyFill="1" applyBorder="1" applyAlignment="1">
      <alignment horizontal="left" vertical="center" wrapText="1"/>
    </xf>
    <xf numFmtId="167" fontId="38" fillId="27" borderId="1" xfId="162" applyNumberFormat="1" applyFont="1" applyFill="1" applyBorder="1" applyAlignment="1">
      <alignment horizontal="center" vertical="center"/>
    </xf>
    <xf numFmtId="170" fontId="37" fillId="27" borderId="1" xfId="162" applyNumberFormat="1" applyFont="1" applyFill="1" applyBorder="1" applyAlignment="1">
      <alignment horizontal="center" vertical="center"/>
    </xf>
    <xf numFmtId="169" fontId="38" fillId="0" borderId="1" xfId="162" applyNumberFormat="1" applyFont="1" applyBorder="1" applyAlignment="1">
      <alignment vertical="center"/>
    </xf>
    <xf numFmtId="1" fontId="38" fillId="27" borderId="1" xfId="162" applyNumberFormat="1" applyFont="1" applyFill="1" applyBorder="1" applyAlignment="1">
      <alignment horizontal="center" vertical="center"/>
    </xf>
    <xf numFmtId="0" fontId="29" fillId="2" borderId="8" xfId="162" applyFont="1" applyFill="1" applyBorder="1" applyAlignment="1">
      <alignment horizontal="left" vertical="center" wrapText="1"/>
    </xf>
    <xf numFmtId="170" fontId="38" fillId="27" borderId="1" xfId="162" applyNumberFormat="1" applyFont="1" applyFill="1" applyBorder="1" applyAlignment="1">
      <alignment horizontal="left" vertical="center" wrapText="1"/>
    </xf>
    <xf numFmtId="167" fontId="30" fillId="3" borderId="1" xfId="162" applyNumberFormat="1" applyFont="1" applyFill="1" applyBorder="1" applyAlignment="1">
      <alignment horizontal="center" vertical="center"/>
    </xf>
    <xf numFmtId="0" fontId="29" fillId="3" borderId="1" xfId="162" applyFont="1" applyFill="1" applyBorder="1" applyAlignment="1">
      <alignment vertical="center"/>
    </xf>
    <xf numFmtId="0" fontId="29" fillId="3" borderId="1" xfId="162" applyFont="1" applyFill="1" applyBorder="1" applyAlignment="1">
      <alignment horizontal="center" vertical="center"/>
    </xf>
    <xf numFmtId="168" fontId="37" fillId="0" borderId="2" xfId="152" applyNumberFormat="1" applyFont="1" applyBorder="1" applyAlignment="1">
      <alignment horizontal="center" vertical="center"/>
    </xf>
    <xf numFmtId="0" fontId="38" fillId="27" borderId="7" xfId="152" applyFont="1" applyFill="1" applyBorder="1" applyAlignment="1">
      <alignment horizontal="center" vertical="center"/>
    </xf>
    <xf numFmtId="0" fontId="37" fillId="27" borderId="7" xfId="152" applyFont="1" applyFill="1" applyBorder="1" applyAlignment="1">
      <alignment horizontal="center" vertical="center"/>
    </xf>
    <xf numFmtId="167" fontId="37" fillId="27" borderId="7" xfId="152" applyNumberFormat="1" applyFont="1" applyFill="1" applyBorder="1" applyAlignment="1">
      <alignment horizontal="center" vertical="center" wrapText="1"/>
    </xf>
    <xf numFmtId="0" fontId="37" fillId="27" borderId="7" xfId="152" applyFont="1" applyFill="1" applyBorder="1" applyAlignment="1">
      <alignment horizontal="center" vertical="center" wrapText="1"/>
    </xf>
    <xf numFmtId="168" fontId="37" fillId="0" borderId="8" xfId="152" applyNumberFormat="1" applyFont="1" applyBorder="1" applyAlignment="1">
      <alignment horizontal="center" vertical="center"/>
    </xf>
    <xf numFmtId="169" fontId="38" fillId="0" borderId="4" xfId="152" applyNumberFormat="1" applyFont="1" applyBorder="1" applyAlignment="1">
      <alignment horizontal="center" vertical="center"/>
    </xf>
    <xf numFmtId="167" fontId="38" fillId="27" borderId="1" xfId="152" applyNumberFormat="1" applyFont="1" applyFill="1" applyBorder="1" applyAlignment="1">
      <alignment horizontal="center" vertical="center" wrapText="1"/>
    </xf>
    <xf numFmtId="0" fontId="38" fillId="27" borderId="1" xfId="152" applyFont="1" applyFill="1" applyBorder="1" applyAlignment="1">
      <alignment horizontal="center" vertical="center" wrapText="1"/>
    </xf>
    <xf numFmtId="0" fontId="29" fillId="27" borderId="4" xfId="2" applyFont="1" applyFill="1" applyBorder="1" applyAlignment="1">
      <alignment horizontal="left" vertical="center" wrapText="1"/>
    </xf>
    <xf numFmtId="16" fontId="38" fillId="27" borderId="1" xfId="152" applyNumberFormat="1" applyFont="1" applyFill="1" applyBorder="1" applyAlignment="1">
      <alignment horizontal="center" vertical="center" wrapText="1"/>
    </xf>
    <xf numFmtId="167" fontId="37" fillId="32" borderId="1" xfId="152" applyNumberFormat="1" applyFont="1" applyFill="1" applyBorder="1" applyAlignment="1">
      <alignment horizontal="center" vertical="center"/>
    </xf>
    <xf numFmtId="0" fontId="38" fillId="32" borderId="1" xfId="152" applyFont="1" applyFill="1" applyBorder="1" applyAlignment="1">
      <alignment horizontal="center" vertical="center"/>
    </xf>
    <xf numFmtId="168" fontId="30" fillId="27" borderId="7" xfId="0" applyNumberFormat="1" applyFont="1" applyFill="1" applyBorder="1" applyAlignment="1">
      <alignment horizontal="center" vertical="center"/>
    </xf>
    <xf numFmtId="49" fontId="29" fillId="27" borderId="7" xfId="0" applyNumberFormat="1" applyFont="1" applyFill="1" applyBorder="1" applyAlignment="1">
      <alignment horizontal="center" vertical="center"/>
    </xf>
    <xf numFmtId="49" fontId="29" fillId="27" borderId="1" xfId="0" applyNumberFormat="1" applyFont="1" applyFill="1" applyBorder="1" applyAlignment="1">
      <alignment vertical="center"/>
    </xf>
    <xf numFmtId="1" fontId="30" fillId="27" borderId="7" xfId="0" applyNumberFormat="1" applyFont="1" applyFill="1" applyBorder="1" applyAlignment="1">
      <alignment horizontal="center"/>
    </xf>
    <xf numFmtId="168" fontId="29" fillId="27" borderId="7" xfId="0" applyNumberFormat="1" applyFont="1" applyFill="1" applyBorder="1" applyAlignment="1">
      <alignment horizontal="center" vertical="center"/>
    </xf>
    <xf numFmtId="167" fontId="29" fillId="2" borderId="9" xfId="1" applyNumberFormat="1" applyFont="1" applyFill="1" applyBorder="1" applyAlignment="1">
      <alignment horizontal="center" vertical="center" wrapText="1"/>
    </xf>
    <xf numFmtId="167" fontId="29" fillId="2" borderId="7" xfId="1" applyNumberFormat="1" applyFont="1" applyFill="1" applyBorder="1" applyAlignment="1">
      <alignment horizontal="center" vertical="center" wrapText="1"/>
    </xf>
    <xf numFmtId="0" fontId="38" fillId="27" borderId="8" xfId="152" applyFont="1" applyFill="1" applyBorder="1" applyAlignment="1">
      <alignment horizontal="center" vertical="center" wrapText="1"/>
    </xf>
    <xf numFmtId="1" fontId="29" fillId="27" borderId="7" xfId="0" applyNumberFormat="1" applyFont="1" applyFill="1" applyBorder="1" applyAlignment="1">
      <alignment horizontal="center" vertical="center"/>
    </xf>
    <xf numFmtId="167" fontId="30" fillId="3" borderId="7" xfId="0" applyNumberFormat="1" applyFont="1" applyFill="1" applyBorder="1" applyAlignment="1">
      <alignment horizontal="center" vertical="center"/>
    </xf>
    <xf numFmtId="1" fontId="29" fillId="3" borderId="7" xfId="0" applyNumberFormat="1" applyFont="1" applyFill="1" applyBorder="1" applyAlignment="1">
      <alignment horizontal="center" vertical="center"/>
    </xf>
    <xf numFmtId="0" fontId="30" fillId="27" borderId="7" xfId="0" applyFont="1" applyFill="1" applyBorder="1" applyAlignment="1">
      <alignment horizontal="left" vertical="center" wrapText="1"/>
    </xf>
    <xf numFmtId="0" fontId="37" fillId="27" borderId="7" xfId="151" applyFont="1" applyFill="1" applyBorder="1" applyAlignment="1">
      <alignment horizontal="left" vertical="center" wrapText="1"/>
    </xf>
    <xf numFmtId="168" fontId="30" fillId="0" borderId="1" xfId="0" applyNumberFormat="1" applyFont="1" applyBorder="1" applyAlignment="1">
      <alignment horizontal="center" vertical="center"/>
    </xf>
    <xf numFmtId="49" fontId="29" fillId="27" borderId="7" xfId="0" applyNumberFormat="1" applyFont="1" applyFill="1" applyBorder="1" applyAlignment="1">
      <alignment horizontal="center"/>
    </xf>
    <xf numFmtId="0" fontId="30" fillId="27" borderId="0" xfId="0" applyFont="1" applyFill="1" applyBorder="1" applyAlignment="1">
      <alignment horizontal="left" vertical="center" wrapText="1"/>
    </xf>
    <xf numFmtId="169" fontId="29" fillId="0" borderId="4" xfId="0" applyNumberFormat="1" applyFont="1" applyBorder="1" applyAlignment="1">
      <alignment horizontal="center"/>
    </xf>
    <xf numFmtId="0" fontId="38" fillId="27" borderId="4" xfId="2" applyFont="1" applyFill="1" applyBorder="1" applyAlignment="1">
      <alignment horizontal="left" vertical="center" wrapText="1"/>
    </xf>
    <xf numFmtId="0" fontId="38" fillId="27" borderId="1" xfId="151" applyFont="1" applyFill="1" applyBorder="1" applyAlignment="1">
      <alignment horizontal="left" vertical="center" wrapText="1"/>
    </xf>
    <xf numFmtId="49" fontId="30" fillId="27" borderId="8" xfId="0" applyNumberFormat="1" applyFont="1" applyFill="1" applyBorder="1" applyAlignment="1">
      <alignment vertical="center"/>
    </xf>
    <xf numFmtId="0" fontId="37" fillId="27" borderId="1" xfId="151" applyFont="1" applyFill="1" applyBorder="1" applyAlignment="1">
      <alignment horizontal="left" vertical="center" wrapText="1"/>
    </xf>
    <xf numFmtId="167" fontId="30" fillId="27" borderId="1" xfId="0" applyNumberFormat="1" applyFont="1" applyFill="1" applyBorder="1" applyAlignment="1">
      <alignment horizontal="center" vertical="center" wrapText="1"/>
    </xf>
    <xf numFmtId="0" fontId="37" fillId="27" borderId="1" xfId="151" applyFont="1" applyFill="1" applyBorder="1" applyAlignment="1">
      <alignment vertical="center" wrapText="1"/>
    </xf>
    <xf numFmtId="0" fontId="30" fillId="27" borderId="1" xfId="0" applyFont="1" applyFill="1" applyBorder="1" applyAlignment="1">
      <alignment horizontal="center" vertical="center" wrapText="1"/>
    </xf>
    <xf numFmtId="0" fontId="30" fillId="27" borderId="1" xfId="0" applyFont="1" applyFill="1" applyBorder="1" applyAlignment="1">
      <alignment horizontal="center"/>
    </xf>
    <xf numFmtId="49" fontId="29" fillId="27" borderId="8" xfId="0" applyNumberFormat="1" applyFont="1" applyFill="1" applyBorder="1" applyAlignment="1">
      <alignment vertical="center"/>
    </xf>
    <xf numFmtId="167" fontId="29" fillId="27" borderId="8" xfId="0" applyNumberFormat="1" applyFont="1" applyFill="1" applyBorder="1" applyAlignment="1">
      <alignment horizontal="center" vertical="center" wrapText="1"/>
    </xf>
    <xf numFmtId="167" fontId="29" fillId="27" borderId="1" xfId="0" applyNumberFormat="1" applyFont="1" applyFill="1" applyBorder="1" applyAlignment="1">
      <alignment horizontal="center" vertical="center" wrapText="1"/>
    </xf>
    <xf numFmtId="0" fontId="38" fillId="27" borderId="1" xfId="151" applyFont="1" applyFill="1" applyBorder="1" applyAlignment="1">
      <alignment vertical="center" wrapText="1"/>
    </xf>
    <xf numFmtId="0" fontId="29" fillId="27" borderId="1" xfId="0" applyFont="1" applyFill="1" applyBorder="1" applyAlignment="1">
      <alignment horizontal="center" vertical="center"/>
    </xf>
    <xf numFmtId="167" fontId="30" fillId="27" borderId="8" xfId="0" applyNumberFormat="1" applyFont="1" applyFill="1" applyBorder="1" applyAlignment="1">
      <alignment horizontal="center" vertical="center" wrapText="1"/>
    </xf>
    <xf numFmtId="0" fontId="38" fillId="0" borderId="1" xfId="151" applyFont="1" applyBorder="1" applyAlignment="1">
      <alignment vertical="center" wrapText="1"/>
    </xf>
    <xf numFmtId="0" fontId="38" fillId="27" borderId="8" xfId="151" applyFont="1" applyFill="1" applyBorder="1" applyAlignment="1">
      <alignment vertical="center" wrapText="1"/>
    </xf>
    <xf numFmtId="167" fontId="30" fillId="3" borderId="1" xfId="1" applyNumberFormat="1" applyFont="1" applyFill="1" applyBorder="1" applyAlignment="1">
      <alignment horizontal="center" vertical="center"/>
    </xf>
    <xf numFmtId="0" fontId="37" fillId="0" borderId="1" xfId="0" applyFont="1" applyBorder="1" applyAlignment="1">
      <alignment horizontal="left" vertical="center" wrapText="1"/>
    </xf>
    <xf numFmtId="0" fontId="38" fillId="27" borderId="1" xfId="0" applyFont="1" applyFill="1" applyBorder="1" applyAlignment="1">
      <alignment horizontal="center"/>
    </xf>
    <xf numFmtId="168" fontId="37" fillId="0" borderId="1" xfId="151" applyNumberFormat="1" applyFont="1" applyBorder="1" applyAlignment="1">
      <alignment horizontal="center" vertical="center"/>
    </xf>
    <xf numFmtId="0" fontId="38" fillId="27" borderId="1" xfId="151" applyFont="1" applyFill="1" applyBorder="1" applyAlignment="1">
      <alignment horizontal="center" vertical="center"/>
    </xf>
    <xf numFmtId="0" fontId="37" fillId="27" borderId="1" xfId="151" applyFont="1" applyFill="1" applyBorder="1" applyAlignment="1">
      <alignment horizontal="center" vertical="center"/>
    </xf>
    <xf numFmtId="167" fontId="37" fillId="27" borderId="1" xfId="151" applyNumberFormat="1" applyFont="1" applyFill="1" applyBorder="1" applyAlignment="1">
      <alignment horizontal="center" vertical="center" wrapText="1"/>
    </xf>
    <xf numFmtId="166" fontId="37" fillId="27" borderId="1" xfId="151" applyNumberFormat="1" applyFont="1" applyFill="1" applyBorder="1" applyAlignment="1">
      <alignment horizontal="center" vertical="center" wrapText="1"/>
    </xf>
    <xf numFmtId="9" fontId="30" fillId="27" borderId="1" xfId="151" applyNumberFormat="1" applyFont="1" applyFill="1" applyBorder="1" applyAlignment="1">
      <alignment horizontal="center" vertical="center" wrapText="1"/>
    </xf>
    <xf numFmtId="169" fontId="38" fillId="0" borderId="1" xfId="151" applyNumberFormat="1" applyFont="1" applyBorder="1" applyAlignment="1">
      <alignment horizontal="center" vertical="center"/>
    </xf>
    <xf numFmtId="167" fontId="38" fillId="0" borderId="1" xfId="151" applyNumberFormat="1" applyFont="1" applyBorder="1" applyAlignment="1">
      <alignment horizontal="center" vertical="center"/>
    </xf>
    <xf numFmtId="0" fontId="29" fillId="27" borderId="1" xfId="151" applyFont="1" applyFill="1" applyBorder="1" applyAlignment="1">
      <alignment horizontal="center" vertical="center" wrapText="1"/>
    </xf>
    <xf numFmtId="9" fontId="29" fillId="27" borderId="1" xfId="151" applyNumberFormat="1" applyFont="1" applyFill="1" applyBorder="1" applyAlignment="1">
      <alignment horizontal="center" vertical="center" wrapText="1"/>
    </xf>
    <xf numFmtId="10" fontId="29" fillId="27" borderId="1" xfId="151" applyNumberFormat="1" applyFont="1" applyFill="1" applyBorder="1" applyAlignment="1">
      <alignment horizontal="center" vertical="center" wrapText="1"/>
    </xf>
    <xf numFmtId="49" fontId="38" fillId="27" borderId="1" xfId="151" applyNumberFormat="1" applyFont="1" applyFill="1" applyBorder="1" applyAlignment="1">
      <alignment horizontal="center" vertical="center"/>
    </xf>
    <xf numFmtId="170" fontId="29" fillId="27" borderId="1" xfId="151" applyNumberFormat="1" applyFont="1" applyFill="1" applyBorder="1" applyAlignment="1">
      <alignment horizontal="center" vertical="center" wrapText="1"/>
    </xf>
    <xf numFmtId="167" fontId="38" fillId="27" borderId="1" xfId="151" applyNumberFormat="1" applyFont="1" applyFill="1" applyBorder="1" applyAlignment="1">
      <alignment horizontal="center" vertical="center"/>
    </xf>
    <xf numFmtId="169" fontId="38" fillId="0" borderId="1" xfId="151" applyNumberFormat="1" applyFont="1" applyFill="1" applyBorder="1" applyAlignment="1">
      <alignment horizontal="center" vertical="center"/>
    </xf>
    <xf numFmtId="170" fontId="38" fillId="27" borderId="1" xfId="151" applyNumberFormat="1" applyFont="1" applyFill="1" applyBorder="1" applyAlignment="1">
      <alignment horizontal="center" vertical="center" wrapText="1"/>
    </xf>
    <xf numFmtId="0" fontId="29" fillId="27" borderId="8" xfId="151" applyFont="1" applyFill="1" applyBorder="1" applyAlignment="1">
      <alignment vertical="center" wrapText="1"/>
    </xf>
    <xf numFmtId="167" fontId="37" fillId="32" borderId="1" xfId="151" applyNumberFormat="1" applyFont="1" applyFill="1" applyBorder="1" applyAlignment="1">
      <alignment horizontal="center" vertical="center"/>
    </xf>
    <xf numFmtId="0" fontId="38" fillId="32" borderId="1" xfId="151" applyFont="1" applyFill="1" applyBorder="1" applyAlignment="1">
      <alignment horizontal="center" vertical="center"/>
    </xf>
    <xf numFmtId="170" fontId="29" fillId="32" borderId="1" xfId="151" applyNumberFormat="1" applyFont="1" applyFill="1" applyBorder="1" applyAlignment="1">
      <alignment horizontal="center" vertical="center" wrapText="1"/>
    </xf>
    <xf numFmtId="0" fontId="29" fillId="3" borderId="7" xfId="151" applyFont="1" applyFill="1" applyBorder="1" applyAlignment="1">
      <alignment vertical="center" wrapText="1"/>
    </xf>
    <xf numFmtId="0" fontId="34" fillId="0" borderId="7" xfId="0" applyFont="1" applyBorder="1" applyAlignment="1">
      <alignment horizontal="center" vertical="center" wrapText="1"/>
    </xf>
    <xf numFmtId="49" fontId="34" fillId="0" borderId="1" xfId="0" applyNumberFormat="1" applyFont="1" applyBorder="1" applyAlignment="1">
      <alignment horizontal="right" vertical="center"/>
    </xf>
    <xf numFmtId="49" fontId="34" fillId="0" borderId="1" xfId="0" applyNumberFormat="1" applyFont="1" applyBorder="1" applyAlignment="1">
      <alignment horizontal="center" vertical="center"/>
    </xf>
    <xf numFmtId="0" fontId="34" fillId="0" borderId="1" xfId="151" applyFont="1" applyFill="1" applyBorder="1" applyAlignment="1">
      <alignment vertical="center" wrapText="1"/>
    </xf>
    <xf numFmtId="49" fontId="34" fillId="0" borderId="8" xfId="0" applyNumberFormat="1" applyFont="1" applyBorder="1" applyAlignment="1">
      <alignment horizontal="right" vertical="center" wrapText="1"/>
    </xf>
    <xf numFmtId="49" fontId="34" fillId="0" borderId="8" xfId="0" applyNumberFormat="1" applyFont="1" applyBorder="1" applyAlignment="1">
      <alignment horizontal="center" vertical="center" wrapText="1"/>
    </xf>
    <xf numFmtId="184" fontId="34" fillId="2" borderId="1" xfId="0" applyNumberFormat="1" applyFont="1" applyFill="1" applyBorder="1" applyAlignment="1">
      <alignment horizontal="center" vertical="center" wrapText="1"/>
    </xf>
    <xf numFmtId="167" fontId="33" fillId="3" borderId="49" xfId="0" applyNumberFormat="1" applyFont="1" applyFill="1" applyBorder="1" applyAlignment="1">
      <alignment horizontal="center"/>
    </xf>
    <xf numFmtId="0" fontId="34" fillId="3" borderId="49" xfId="0" applyFont="1" applyFill="1" applyBorder="1" applyAlignment="1"/>
    <xf numFmtId="168" fontId="37" fillId="0" borderId="23" xfId="151" applyNumberFormat="1" applyFont="1" applyBorder="1" applyAlignment="1">
      <alignment horizontal="center" vertical="center"/>
    </xf>
    <xf numFmtId="0" fontId="37" fillId="27" borderId="7" xfId="151" applyFont="1" applyFill="1" applyBorder="1" applyAlignment="1">
      <alignment horizontal="center" vertical="center"/>
    </xf>
    <xf numFmtId="167" fontId="37" fillId="27" borderId="7" xfId="151" applyNumberFormat="1" applyFont="1" applyFill="1" applyBorder="1" applyAlignment="1">
      <alignment horizontal="center" vertical="center" wrapText="1"/>
    </xf>
    <xf numFmtId="0" fontId="30" fillId="27" borderId="7" xfId="151" applyFont="1" applyFill="1" applyBorder="1" applyAlignment="1">
      <alignment horizontal="center" vertical="center" wrapText="1"/>
    </xf>
    <xf numFmtId="168" fontId="38" fillId="0" borderId="8" xfId="151" applyNumberFormat="1" applyFont="1" applyBorder="1" applyAlignment="1">
      <alignment horizontal="center" vertical="center"/>
    </xf>
    <xf numFmtId="0" fontId="38" fillId="27" borderId="7" xfId="151" applyFont="1" applyFill="1" applyBorder="1" applyAlignment="1">
      <alignment horizontal="center" vertical="center"/>
    </xf>
    <xf numFmtId="167" fontId="38" fillId="27" borderId="1" xfId="151" applyNumberFormat="1" applyFont="1" applyFill="1" applyBorder="1" applyAlignment="1">
      <alignment horizontal="center" vertical="center" wrapText="1"/>
    </xf>
    <xf numFmtId="169" fontId="38" fillId="0" borderId="4" xfId="151" applyNumberFormat="1" applyFont="1" applyBorder="1" applyAlignment="1">
      <alignment horizontal="center" vertical="center"/>
    </xf>
    <xf numFmtId="49" fontId="38" fillId="27" borderId="1" xfId="151" applyNumberFormat="1" applyFont="1" applyFill="1" applyBorder="1" applyAlignment="1">
      <alignment horizontal="center" vertical="center" wrapText="1"/>
    </xf>
    <xf numFmtId="49" fontId="37" fillId="27" borderId="8" xfId="151" applyNumberFormat="1" applyFont="1" applyFill="1" applyBorder="1" applyAlignment="1">
      <alignment horizontal="center" vertical="center"/>
    </xf>
    <xf numFmtId="49" fontId="38" fillId="27" borderId="8" xfId="151" applyNumberFormat="1" applyFont="1" applyFill="1" applyBorder="1" applyAlignment="1">
      <alignment horizontal="center" vertical="center"/>
    </xf>
    <xf numFmtId="167" fontId="38" fillId="27" borderId="8" xfId="151" applyNumberFormat="1" applyFont="1" applyFill="1" applyBorder="1" applyAlignment="1">
      <alignment horizontal="center" vertical="center" wrapText="1"/>
    </xf>
    <xf numFmtId="167" fontId="37" fillId="27" borderId="8" xfId="151" applyNumberFormat="1" applyFont="1" applyFill="1" applyBorder="1" applyAlignment="1">
      <alignment horizontal="center" vertical="center" wrapText="1"/>
    </xf>
    <xf numFmtId="0" fontId="38" fillId="27" borderId="8" xfId="151" applyFont="1" applyFill="1" applyBorder="1" applyAlignment="1">
      <alignment horizontal="center" vertical="center" wrapText="1"/>
    </xf>
    <xf numFmtId="0" fontId="38" fillId="32" borderId="1" xfId="0" applyFont="1" applyFill="1" applyBorder="1" applyAlignment="1">
      <alignment horizontal="center" vertical="center"/>
    </xf>
    <xf numFmtId="168" fontId="37" fillId="0" borderId="8" xfId="151" applyNumberFormat="1" applyFont="1" applyBorder="1" applyAlignment="1">
      <alignment horizontal="center" vertical="center"/>
    </xf>
    <xf numFmtId="9" fontId="38" fillId="27" borderId="1" xfId="151" applyNumberFormat="1" applyFont="1" applyFill="1" applyBorder="1" applyAlignment="1">
      <alignment horizontal="center" vertical="center" wrapText="1"/>
    </xf>
    <xf numFmtId="9" fontId="37" fillId="27" borderId="1" xfId="151" applyNumberFormat="1" applyFont="1" applyFill="1" applyBorder="1" applyAlignment="1">
      <alignment horizontal="center" vertical="center" wrapText="1"/>
    </xf>
    <xf numFmtId="167" fontId="38" fillId="0" borderId="0" xfId="151" applyNumberFormat="1" applyFont="1" applyAlignment="1">
      <alignment horizontal="center" vertical="center"/>
    </xf>
    <xf numFmtId="167" fontId="37" fillId="32" borderId="49" xfId="151" applyNumberFormat="1" applyFont="1" applyFill="1" applyBorder="1" applyAlignment="1">
      <alignment horizontal="center" vertical="center"/>
    </xf>
    <xf numFmtId="0" fontId="38" fillId="32" borderId="49" xfId="151" applyFont="1" applyFill="1" applyBorder="1" applyAlignment="1">
      <alignment horizontal="center" vertical="center"/>
    </xf>
    <xf numFmtId="0" fontId="34" fillId="2" borderId="0" xfId="0" applyFont="1" applyFill="1" applyBorder="1" applyAlignment="1">
      <alignment horizontal="left" vertical="center" wrapText="1"/>
    </xf>
    <xf numFmtId="49" fontId="33" fillId="2" borderId="8" xfId="0" applyNumberFormat="1" applyFont="1" applyFill="1" applyBorder="1" applyAlignment="1">
      <alignment horizontal="right" vertical="center"/>
    </xf>
    <xf numFmtId="49" fontId="34" fillId="2" borderId="8" xfId="0" applyNumberFormat="1" applyFont="1" applyFill="1" applyBorder="1" applyAlignment="1">
      <alignment horizontal="right" vertical="center"/>
    </xf>
    <xf numFmtId="168" fontId="37" fillId="0" borderId="2" xfId="0" applyNumberFormat="1" applyFont="1" applyBorder="1" applyAlignment="1">
      <alignment horizontal="center" vertical="center"/>
    </xf>
    <xf numFmtId="0" fontId="30" fillId="2" borderId="7" xfId="151" applyFont="1" applyFill="1" applyBorder="1" applyAlignment="1">
      <alignment horizontal="left" vertical="center" wrapText="1"/>
    </xf>
    <xf numFmtId="0" fontId="38" fillId="2" borderId="1" xfId="151" applyFont="1" applyFill="1" applyBorder="1" applyAlignment="1">
      <alignment horizontal="left" vertical="center" wrapText="1"/>
    </xf>
    <xf numFmtId="0" fontId="38" fillId="2" borderId="8" xfId="151" applyFont="1" applyFill="1" applyBorder="1" applyAlignment="1">
      <alignment horizontal="left" vertical="center" wrapText="1"/>
    </xf>
    <xf numFmtId="3" fontId="38" fillId="27" borderId="8" xfId="0" applyNumberFormat="1" applyFont="1" applyFill="1" applyBorder="1" applyAlignment="1">
      <alignment horizontal="center" vertical="center" wrapText="1"/>
    </xf>
    <xf numFmtId="49" fontId="44" fillId="30" borderId="1" xfId="0" applyNumberFormat="1" applyFont="1" applyFill="1" applyBorder="1" applyAlignment="1">
      <alignment horizontal="center" wrapText="1"/>
    </xf>
    <xf numFmtId="0" fontId="42" fillId="30" borderId="1" xfId="0" applyFont="1" applyFill="1" applyBorder="1" applyAlignment="1">
      <alignment vertical="top" wrapText="1"/>
    </xf>
    <xf numFmtId="0" fontId="42" fillId="30" borderId="1" xfId="0" applyFont="1" applyFill="1" applyBorder="1" applyAlignment="1">
      <alignment horizontal="right" wrapText="1"/>
    </xf>
    <xf numFmtId="167" fontId="44" fillId="30" borderId="1" xfId="0" applyNumberFormat="1" applyFont="1" applyFill="1" applyBorder="1" applyAlignment="1">
      <alignment horizontal="center" vertical="center" wrapText="1"/>
    </xf>
    <xf numFmtId="0" fontId="34" fillId="0" borderId="1" xfId="0" applyFont="1" applyBorder="1" applyAlignment="1"/>
    <xf numFmtId="0" fontId="42" fillId="30" borderId="1" xfId="0" applyFont="1" applyFill="1" applyBorder="1" applyAlignment="1">
      <alignment horizontal="center" wrapText="1"/>
    </xf>
    <xf numFmtId="0" fontId="44" fillId="30" borderId="1" xfId="0" applyFont="1" applyFill="1" applyBorder="1" applyAlignment="1">
      <alignment horizontal="left" wrapText="1"/>
    </xf>
    <xf numFmtId="49" fontId="42" fillId="30" borderId="1" xfId="0" applyNumberFormat="1" applyFont="1" applyFill="1" applyBorder="1" applyAlignment="1">
      <alignment horizontal="center" vertical="center" wrapText="1"/>
    </xf>
    <xf numFmtId="0" fontId="42" fillId="30" borderId="1" xfId="0" applyFont="1" applyFill="1" applyBorder="1" applyAlignment="1">
      <alignment horizontal="right" vertical="center" wrapText="1"/>
    </xf>
    <xf numFmtId="167" fontId="42" fillId="30" borderId="1" xfId="0" applyNumberFormat="1" applyFont="1" applyFill="1" applyBorder="1" applyAlignment="1">
      <alignment horizontal="center" vertical="center" wrapText="1"/>
    </xf>
    <xf numFmtId="0" fontId="44" fillId="30" borderId="8" xfId="0" applyFont="1" applyFill="1" applyBorder="1" applyAlignment="1">
      <alignment horizontal="left" wrapText="1"/>
    </xf>
    <xf numFmtId="0" fontId="60" fillId="30" borderId="7" xfId="0" applyFont="1" applyFill="1" applyBorder="1" applyAlignment="1">
      <alignment horizontal="left" wrapText="1"/>
    </xf>
    <xf numFmtId="0" fontId="42" fillId="30" borderId="1" xfId="0" applyFont="1" applyFill="1" applyBorder="1" applyAlignment="1">
      <alignment horizontal="left" wrapText="1"/>
    </xf>
    <xf numFmtId="49" fontId="42" fillId="30" borderId="1" xfId="0" applyNumberFormat="1" applyFont="1" applyFill="1" applyBorder="1" applyAlignment="1">
      <alignment horizontal="center" wrapText="1"/>
    </xf>
    <xf numFmtId="49" fontId="42" fillId="30" borderId="1" xfId="0" applyNumberFormat="1" applyFont="1" applyFill="1" applyBorder="1" applyAlignment="1">
      <alignment horizontal="right" wrapText="1"/>
    </xf>
    <xf numFmtId="0" fontId="42" fillId="30" borderId="7" xfId="0" applyFont="1" applyFill="1" applyBorder="1" applyAlignment="1">
      <alignment horizontal="left" wrapText="1"/>
    </xf>
    <xf numFmtId="49" fontId="42" fillId="30" borderId="1" xfId="0" applyNumberFormat="1" applyFont="1" applyFill="1" applyBorder="1" applyAlignment="1">
      <alignment vertical="top" wrapText="1"/>
    </xf>
    <xf numFmtId="0" fontId="42" fillId="30" borderId="1" xfId="0" applyFont="1" applyFill="1" applyBorder="1" applyAlignment="1">
      <alignment wrapText="1"/>
    </xf>
    <xf numFmtId="0" fontId="34" fillId="30" borderId="1" xfId="0" applyFont="1" applyFill="1" applyBorder="1" applyAlignment="1">
      <alignment horizontal="left" wrapText="1"/>
    </xf>
    <xf numFmtId="0" fontId="34" fillId="0" borderId="8" xfId="0" applyFont="1" applyBorder="1"/>
    <xf numFmtId="167" fontId="44" fillId="3" borderId="1" xfId="0" applyNumberFormat="1" applyFont="1" applyFill="1" applyBorder="1" applyAlignment="1">
      <alignment horizontal="center" vertical="top" wrapText="1"/>
    </xf>
    <xf numFmtId="0" fontId="42" fillId="2" borderId="7" xfId="0" applyFont="1" applyFill="1" applyBorder="1" applyAlignment="1">
      <alignment horizontal="left" wrapText="1"/>
    </xf>
    <xf numFmtId="0" fontId="34" fillId="2" borderId="8" xfId="2" applyFont="1" applyFill="1" applyBorder="1" applyAlignment="1">
      <alignment horizontal="center" vertical="center" wrapText="1"/>
    </xf>
    <xf numFmtId="0" fontId="29" fillId="0" borderId="0" xfId="0" applyFont="1" applyAlignment="1">
      <alignment horizontal="center"/>
    </xf>
    <xf numFmtId="0" fontId="29" fillId="3" borderId="25" xfId="0" applyFont="1" applyFill="1" applyBorder="1" applyAlignment="1">
      <alignment horizontal="center"/>
    </xf>
    <xf numFmtId="168" fontId="33" fillId="0" borderId="1" xfId="0" applyNumberFormat="1" applyFont="1" applyFill="1" applyBorder="1" applyAlignment="1">
      <alignment horizontal="center" vertical="center"/>
    </xf>
    <xf numFmtId="0" fontId="30" fillId="3" borderId="1" xfId="0" applyFont="1" applyFill="1" applyBorder="1" applyAlignment="1">
      <alignment horizontal="center" vertical="center"/>
    </xf>
    <xf numFmtId="167" fontId="38" fillId="3" borderId="1" xfId="157" applyNumberFormat="1" applyFont="1" applyFill="1" applyBorder="1" applyAlignment="1">
      <alignment horizontal="center" wrapText="1"/>
    </xf>
    <xf numFmtId="0" fontId="33" fillId="3" borderId="1" xfId="0" applyFont="1" applyFill="1" applyBorder="1" applyAlignment="1">
      <alignment horizontal="center" vertical="center"/>
    </xf>
    <xf numFmtId="0" fontId="30" fillId="4" borderId="5" xfId="0" applyFont="1" applyFill="1" applyBorder="1" applyAlignment="1">
      <alignment horizontal="center"/>
    </xf>
    <xf numFmtId="0" fontId="29" fillId="0" borderId="6" xfId="0" applyFont="1" applyBorder="1" applyAlignment="1">
      <alignment horizontal="center" vertical="center" wrapText="1"/>
    </xf>
    <xf numFmtId="0" fontId="30" fillId="3" borderId="5" xfId="0" applyFont="1" applyFill="1" applyBorder="1" applyAlignment="1">
      <alignment horizontal="center" vertical="center"/>
    </xf>
    <xf numFmtId="174" fontId="34" fillId="2" borderId="25" xfId="0" applyNumberFormat="1" applyFont="1" applyFill="1" applyBorder="1" applyAlignment="1">
      <alignment horizontal="center" vertical="center" wrapText="1"/>
    </xf>
    <xf numFmtId="174" fontId="34" fillId="2" borderId="7" xfId="0" applyNumberFormat="1" applyFont="1" applyFill="1" applyBorder="1" applyAlignment="1">
      <alignment horizontal="center" vertical="center" wrapText="1"/>
    </xf>
    <xf numFmtId="0" fontId="30" fillId="0" borderId="5" xfId="2" applyFont="1" applyFill="1" applyBorder="1" applyAlignment="1">
      <alignment horizontal="center" vertical="top" wrapText="1"/>
    </xf>
    <xf numFmtId="166" fontId="29" fillId="28" borderId="0" xfId="7" applyNumberFormat="1" applyFont="1" applyFill="1" applyAlignment="1">
      <alignment horizontal="center" vertical="center"/>
    </xf>
    <xf numFmtId="0" fontId="30" fillId="2" borderId="8" xfId="0" applyFont="1" applyFill="1" applyBorder="1" applyAlignment="1">
      <alignment horizontal="center" wrapText="1"/>
    </xf>
    <xf numFmtId="0" fontId="30" fillId="3" borderId="1" xfId="0" applyFont="1" applyFill="1" applyBorder="1" applyAlignment="1">
      <alignment horizontal="center"/>
    </xf>
    <xf numFmtId="0" fontId="29" fillId="2" borderId="0" xfId="0" applyFont="1" applyFill="1" applyAlignment="1">
      <alignment horizontal="center"/>
    </xf>
    <xf numFmtId="0" fontId="29" fillId="0" borderId="1" xfId="0" applyFont="1" applyBorder="1" applyAlignment="1">
      <alignment horizontal="center" wrapText="1"/>
    </xf>
    <xf numFmtId="0" fontId="29" fillId="3" borderId="1" xfId="0" applyFont="1" applyFill="1" applyBorder="1" applyAlignment="1">
      <alignment horizontal="center" wrapText="1"/>
    </xf>
    <xf numFmtId="0" fontId="37" fillId="3" borderId="1" xfId="2" applyFont="1" applyFill="1" applyBorder="1" applyAlignment="1">
      <alignment horizontal="center"/>
    </xf>
    <xf numFmtId="0" fontId="33" fillId="3" borderId="1" xfId="0" applyFont="1" applyFill="1" applyBorder="1" applyAlignment="1">
      <alignment horizontal="center" vertical="center" wrapText="1"/>
    </xf>
    <xf numFmtId="0" fontId="34" fillId="3" borderId="1" xfId="151" applyFont="1" applyFill="1" applyBorder="1" applyAlignment="1">
      <alignment horizontal="center" vertical="center"/>
    </xf>
    <xf numFmtId="0" fontId="38" fillId="3" borderId="7" xfId="152" applyFont="1" applyFill="1" applyBorder="1" applyAlignment="1">
      <alignment horizontal="center" vertical="center" wrapText="1"/>
    </xf>
    <xf numFmtId="0" fontId="34" fillId="2" borderId="11" xfId="2" applyFont="1" applyFill="1" applyBorder="1" applyAlignment="1">
      <alignment horizontal="center" vertical="center" wrapText="1"/>
    </xf>
    <xf numFmtId="0" fontId="34" fillId="2" borderId="4" xfId="2" applyFont="1" applyFill="1" applyBorder="1" applyAlignment="1">
      <alignment horizontal="center" vertical="center" wrapText="1"/>
    </xf>
    <xf numFmtId="0" fontId="33" fillId="2" borderId="4" xfId="0" applyFont="1" applyFill="1" applyBorder="1" applyAlignment="1">
      <alignment horizontal="center" vertical="center" wrapText="1"/>
    </xf>
    <xf numFmtId="0" fontId="33" fillId="3" borderId="8" xfId="0" applyFont="1" applyFill="1" applyBorder="1" applyAlignment="1">
      <alignment horizontal="center" vertical="center"/>
    </xf>
    <xf numFmtId="167" fontId="34" fillId="2" borderId="9" xfId="151" applyNumberFormat="1" applyFont="1" applyFill="1" applyBorder="1" applyAlignment="1">
      <alignment horizontal="center" vertical="center"/>
    </xf>
    <xf numFmtId="167" fontId="34" fillId="2" borderId="12" xfId="151" applyNumberFormat="1" applyFont="1" applyFill="1" applyBorder="1" applyAlignment="1">
      <alignment horizontal="center" vertical="center"/>
    </xf>
    <xf numFmtId="167" fontId="34" fillId="0" borderId="1" xfId="159" applyNumberFormat="1" applyFont="1" applyBorder="1" applyAlignment="1">
      <alignment horizontal="center" vertical="center"/>
    </xf>
    <xf numFmtId="0" fontId="33" fillId="3" borderId="1" xfId="0" applyFont="1" applyFill="1" applyBorder="1" applyAlignment="1">
      <alignment horizontal="left" vertical="center"/>
    </xf>
    <xf numFmtId="0" fontId="29" fillId="27" borderId="1" xfId="151" applyFont="1" applyFill="1" applyBorder="1" applyAlignment="1">
      <alignment horizontal="center" vertical="center" wrapText="1"/>
    </xf>
    <xf numFmtId="0" fontId="33" fillId="3" borderId="11" xfId="0" applyFont="1" applyFill="1" applyBorder="1" applyAlignment="1">
      <alignment horizontal="left" vertical="center"/>
    </xf>
    <xf numFmtId="0" fontId="33" fillId="3" borderId="34" xfId="0" applyFont="1" applyFill="1" applyBorder="1" applyAlignment="1">
      <alignment horizontal="left" vertical="center"/>
    </xf>
    <xf numFmtId="0" fontId="33" fillId="3" borderId="13" xfId="0" applyFont="1" applyFill="1" applyBorder="1" applyAlignment="1">
      <alignment horizontal="left" vertical="center"/>
    </xf>
    <xf numFmtId="0" fontId="30" fillId="4" borderId="10" xfId="0" applyFont="1" applyFill="1" applyBorder="1" applyAlignment="1">
      <alignment horizontal="left" vertical="center" wrapText="1"/>
    </xf>
    <xf numFmtId="0" fontId="30" fillId="4" borderId="12" xfId="0" applyFont="1" applyFill="1" applyBorder="1" applyAlignment="1">
      <alignment horizontal="left" vertical="center" wrapText="1"/>
    </xf>
    <xf numFmtId="167" fontId="33" fillId="2" borderId="1" xfId="0" applyNumberFormat="1" applyFont="1" applyFill="1" applyBorder="1" applyAlignment="1">
      <alignment horizontal="center" vertical="center" wrapText="1"/>
    </xf>
    <xf numFmtId="167" fontId="33" fillId="3" borderId="1" xfId="0" applyNumberFormat="1" applyFont="1" applyFill="1" applyBorder="1" applyAlignment="1"/>
    <xf numFmtId="0" fontId="30" fillId="4" borderId="1" xfId="0" applyFont="1" applyFill="1" applyBorder="1" applyAlignment="1">
      <alignment horizontal="left" vertical="center" wrapText="1"/>
    </xf>
    <xf numFmtId="167" fontId="33" fillId="3" borderId="49" xfId="0" applyNumberFormat="1" applyFont="1" applyFill="1" applyBorder="1" applyAlignment="1"/>
    <xf numFmtId="167" fontId="33" fillId="3" borderId="50" xfId="0" applyNumberFormat="1" applyFont="1" applyFill="1" applyBorder="1" applyAlignment="1"/>
    <xf numFmtId="167" fontId="34" fillId="2" borderId="8" xfId="159" applyNumberFormat="1" applyFont="1" applyFill="1" applyBorder="1" applyAlignment="1">
      <alignment horizontal="center" vertical="center"/>
    </xf>
    <xf numFmtId="167" fontId="34" fillId="2" borderId="2" xfId="159" applyNumberFormat="1" applyFont="1" applyFill="1" applyBorder="1" applyAlignment="1">
      <alignment horizontal="center" vertical="center"/>
    </xf>
    <xf numFmtId="0" fontId="30" fillId="33" borderId="1" xfId="152" applyFont="1" applyFill="1" applyBorder="1" applyAlignment="1">
      <alignment horizontal="left" vertical="center" wrapText="1"/>
    </xf>
    <xf numFmtId="0" fontId="37" fillId="4" borderId="1" xfId="0" applyFont="1" applyFill="1" applyBorder="1" applyAlignment="1"/>
    <xf numFmtId="0" fontId="37" fillId="27" borderId="8" xfId="152" applyFont="1" applyFill="1" applyBorder="1" applyAlignment="1">
      <alignment horizontal="center" vertical="center"/>
    </xf>
    <xf numFmtId="0" fontId="37" fillId="27" borderId="7" xfId="152" applyFont="1" applyFill="1" applyBorder="1" applyAlignment="1">
      <alignment horizontal="center" vertical="center"/>
    </xf>
    <xf numFmtId="1" fontId="38" fillId="27" borderId="8" xfId="152" applyNumberFormat="1" applyFont="1" applyFill="1" applyBorder="1" applyAlignment="1">
      <alignment horizontal="center" vertical="center" wrapText="1"/>
    </xf>
    <xf numFmtId="1" fontId="38" fillId="27" borderId="7" xfId="152" applyNumberFormat="1" applyFont="1" applyFill="1" applyBorder="1" applyAlignment="1">
      <alignment horizontal="center" vertical="center" wrapText="1"/>
    </xf>
    <xf numFmtId="0" fontId="38" fillId="0" borderId="2" xfId="152" applyFont="1" applyBorder="1" applyAlignment="1">
      <alignment horizontal="center" vertical="center" wrapText="1"/>
    </xf>
    <xf numFmtId="167" fontId="44" fillId="30" borderId="8" xfId="0" applyNumberFormat="1" applyFont="1" applyFill="1" applyBorder="1" applyAlignment="1">
      <alignment horizontal="center" vertical="center" wrapText="1"/>
    </xf>
    <xf numFmtId="167" fontId="44" fillId="30" borderId="7" xfId="0" applyNumberFormat="1" applyFont="1" applyFill="1" applyBorder="1" applyAlignment="1">
      <alignment horizontal="center" vertical="center" wrapText="1"/>
    </xf>
    <xf numFmtId="167" fontId="37" fillId="32" borderId="49" xfId="151" applyNumberFormat="1" applyFont="1" applyFill="1" applyBorder="1" applyAlignment="1">
      <alignment horizontal="center" vertical="center"/>
    </xf>
    <xf numFmtId="167" fontId="37" fillId="32" borderId="50" xfId="151" applyNumberFormat="1" applyFont="1" applyFill="1" applyBorder="1" applyAlignment="1">
      <alignment horizontal="center" vertical="center"/>
    </xf>
    <xf numFmtId="0" fontId="30" fillId="4" borderId="4" xfId="0" applyFont="1" applyFill="1" applyBorder="1" applyAlignment="1">
      <alignment horizontal="left" vertical="center" wrapText="1"/>
    </xf>
    <xf numFmtId="0" fontId="30" fillId="4" borderId="5" xfId="0" applyFont="1" applyFill="1" applyBorder="1" applyAlignment="1">
      <alignment horizontal="left" vertical="center" wrapText="1"/>
    </xf>
    <xf numFmtId="0" fontId="30" fillId="4" borderId="6" xfId="0" applyFont="1" applyFill="1" applyBorder="1" applyAlignment="1">
      <alignment horizontal="left" vertical="center" wrapText="1"/>
    </xf>
    <xf numFmtId="167" fontId="38" fillId="3" borderId="1" xfId="0" applyNumberFormat="1" applyFont="1" applyFill="1" applyBorder="1" applyAlignment="1"/>
    <xf numFmtId="0" fontId="34" fillId="2" borderId="1" xfId="0" applyFont="1" applyFill="1" applyBorder="1" applyAlignment="1">
      <alignment horizontal="center" vertical="center" wrapText="1"/>
    </xf>
    <xf numFmtId="49" fontId="44" fillId="30" borderId="8" xfId="0" applyNumberFormat="1" applyFont="1" applyFill="1" applyBorder="1" applyAlignment="1">
      <alignment horizontal="center" vertical="center" wrapText="1"/>
    </xf>
    <xf numFmtId="49" fontId="44" fillId="30" borderId="7" xfId="0" applyNumberFormat="1" applyFont="1" applyFill="1" applyBorder="1" applyAlignment="1">
      <alignment horizontal="center" vertical="center" wrapText="1"/>
    </xf>
    <xf numFmtId="0" fontId="42" fillId="30" borderId="1" xfId="0" applyFont="1" applyFill="1" applyBorder="1" applyAlignment="1">
      <alignment vertical="top" wrapText="1"/>
    </xf>
    <xf numFmtId="0" fontId="34" fillId="2" borderId="8" xfId="0" applyFont="1" applyFill="1" applyBorder="1" applyAlignment="1">
      <alignment horizontal="center" vertical="center" wrapText="1"/>
    </xf>
    <xf numFmtId="0" fontId="34" fillId="2" borderId="7" xfId="0" applyFont="1" applyFill="1" applyBorder="1" applyAlignment="1">
      <alignment horizontal="center" vertical="center" wrapText="1"/>
    </xf>
    <xf numFmtId="167" fontId="34" fillId="2" borderId="8" xfId="0" applyNumberFormat="1" applyFont="1" applyFill="1" applyBorder="1" applyAlignment="1">
      <alignment horizontal="center" vertical="center" wrapText="1"/>
    </xf>
    <xf numFmtId="167" fontId="34" fillId="2" borderId="7" xfId="0" applyNumberFormat="1" applyFont="1" applyFill="1" applyBorder="1" applyAlignment="1">
      <alignment horizontal="center" vertical="center" wrapText="1"/>
    </xf>
    <xf numFmtId="0" fontId="29" fillId="0" borderId="8" xfId="151" applyFont="1" applyBorder="1" applyAlignment="1">
      <alignment horizontal="left" vertical="top" wrapText="1"/>
    </xf>
    <xf numFmtId="0" fontId="29" fillId="0" borderId="7" xfId="151" applyFont="1" applyBorder="1" applyAlignment="1">
      <alignment horizontal="left" vertical="top" wrapText="1"/>
    </xf>
    <xf numFmtId="167" fontId="38" fillId="2" borderId="8" xfId="151" applyNumberFormat="1" applyFont="1" applyFill="1" applyBorder="1" applyAlignment="1">
      <alignment horizontal="center" vertical="center" wrapText="1"/>
    </xf>
    <xf numFmtId="167" fontId="38" fillId="2" borderId="7" xfId="151" applyNumberFormat="1" applyFont="1" applyFill="1" applyBorder="1" applyAlignment="1">
      <alignment horizontal="center" vertical="center" wrapText="1"/>
    </xf>
    <xf numFmtId="0" fontId="34" fillId="0" borderId="8" xfId="151" applyFont="1" applyBorder="1" applyAlignment="1">
      <alignment horizontal="center"/>
    </xf>
    <xf numFmtId="0" fontId="34" fillId="0" borderId="7" xfId="151" applyFont="1" applyBorder="1" applyAlignment="1">
      <alignment horizontal="center"/>
    </xf>
    <xf numFmtId="167" fontId="34" fillId="2" borderId="8" xfId="151" applyNumberFormat="1" applyFont="1" applyFill="1" applyBorder="1" applyAlignment="1">
      <alignment horizontal="center" vertical="center"/>
    </xf>
    <xf numFmtId="167" fontId="34" fillId="2" borderId="7" xfId="151" applyNumberFormat="1" applyFont="1" applyFill="1" applyBorder="1" applyAlignment="1">
      <alignment horizontal="center" vertical="center"/>
    </xf>
    <xf numFmtId="0" fontId="29" fillId="0" borderId="1" xfId="2" applyFont="1" applyFill="1" applyBorder="1" applyAlignment="1">
      <alignment horizontal="left" vertical="center" wrapText="1"/>
    </xf>
    <xf numFmtId="167" fontId="34" fillId="2" borderId="2" xfId="0" applyNumberFormat="1" applyFont="1" applyFill="1" applyBorder="1" applyAlignment="1">
      <alignment horizontal="center" vertical="center" wrapText="1"/>
    </xf>
    <xf numFmtId="0" fontId="34" fillId="2" borderId="8" xfId="0" applyFont="1" applyFill="1" applyBorder="1" applyAlignment="1">
      <alignment horizontal="left" vertical="center" wrapText="1"/>
    </xf>
    <xf numFmtId="0" fontId="34" fillId="2" borderId="2" xfId="0" applyFont="1" applyFill="1" applyBorder="1" applyAlignment="1">
      <alignment horizontal="left" vertical="center" wrapText="1"/>
    </xf>
    <xf numFmtId="0" fontId="34" fillId="2" borderId="7" xfId="0" applyFont="1" applyFill="1" applyBorder="1" applyAlignment="1">
      <alignment horizontal="left" vertical="center" wrapText="1"/>
    </xf>
    <xf numFmtId="0" fontId="34" fillId="2" borderId="4" xfId="0" applyFont="1" applyFill="1" applyBorder="1" applyAlignment="1">
      <alignment horizontal="center" vertical="center" wrapText="1"/>
    </xf>
    <xf numFmtId="0" fontId="34" fillId="2" borderId="5" xfId="0" applyFont="1" applyFill="1" applyBorder="1" applyAlignment="1">
      <alignment horizontal="center" vertical="center" wrapText="1"/>
    </xf>
    <xf numFmtId="0" fontId="34" fillId="2" borderId="46" xfId="0" applyFont="1" applyFill="1" applyBorder="1" applyAlignment="1">
      <alignment horizontal="center" vertical="center" wrapText="1"/>
    </xf>
    <xf numFmtId="49" fontId="33" fillId="2" borderId="8" xfId="0" applyNumberFormat="1" applyFont="1" applyFill="1" applyBorder="1" applyAlignment="1">
      <alignment horizontal="center" vertical="center"/>
    </xf>
    <xf numFmtId="49" fontId="33" fillId="2" borderId="7" xfId="0" applyNumberFormat="1" applyFont="1" applyFill="1" applyBorder="1" applyAlignment="1">
      <alignment horizontal="center" vertical="center"/>
    </xf>
    <xf numFmtId="49" fontId="34" fillId="2" borderId="8" xfId="0" applyNumberFormat="1" applyFont="1" applyFill="1" applyBorder="1" applyAlignment="1">
      <alignment horizontal="center" vertical="center"/>
    </xf>
    <xf numFmtId="49" fontId="34" fillId="2" borderId="7" xfId="0" applyNumberFormat="1" applyFont="1" applyFill="1" applyBorder="1" applyAlignment="1">
      <alignment horizontal="center" vertical="center"/>
    </xf>
    <xf numFmtId="168" fontId="37" fillId="2" borderId="8" xfId="151" applyNumberFormat="1" applyFont="1" applyFill="1" applyBorder="1" applyAlignment="1">
      <alignment horizontal="center" vertical="center"/>
    </xf>
    <xf numFmtId="168" fontId="37" fillId="2" borderId="7" xfId="151" applyNumberFormat="1" applyFont="1" applyFill="1" applyBorder="1" applyAlignment="1">
      <alignment horizontal="center" vertical="center"/>
    </xf>
    <xf numFmtId="169" fontId="38" fillId="2" borderId="8" xfId="151" applyNumberFormat="1" applyFont="1" applyFill="1" applyBorder="1" applyAlignment="1">
      <alignment horizontal="center" vertical="center"/>
    </xf>
    <xf numFmtId="169" fontId="38" fillId="2" borderId="7" xfId="151" applyNumberFormat="1" applyFont="1" applyFill="1" applyBorder="1" applyAlignment="1">
      <alignment horizontal="center" vertical="center"/>
    </xf>
    <xf numFmtId="0" fontId="38" fillId="2" borderId="8" xfId="151" applyFont="1" applyFill="1" applyBorder="1" applyAlignment="1">
      <alignment horizontal="center" vertical="center"/>
    </xf>
    <xf numFmtId="0" fontId="38" fillId="2" borderId="7" xfId="151" applyFont="1" applyFill="1" applyBorder="1" applyAlignment="1">
      <alignment horizontal="center" vertical="center"/>
    </xf>
    <xf numFmtId="0" fontId="38" fillId="2" borderId="8" xfId="164" applyFont="1" applyFill="1" applyBorder="1" applyAlignment="1">
      <alignment horizontal="left" vertical="top" wrapText="1"/>
    </xf>
    <xf numFmtId="0" fontId="38" fillId="2" borderId="7" xfId="164" applyFont="1" applyFill="1" applyBorder="1" applyAlignment="1">
      <alignment horizontal="left" vertical="top" wrapText="1"/>
    </xf>
    <xf numFmtId="167" fontId="34" fillId="2" borderId="1" xfId="0" applyNumberFormat="1" applyFont="1" applyFill="1" applyBorder="1" applyAlignment="1">
      <alignment horizontal="center" vertical="center" wrapText="1"/>
    </xf>
    <xf numFmtId="0" fontId="29" fillId="2" borderId="8" xfId="151" applyFont="1" applyFill="1" applyBorder="1" applyAlignment="1">
      <alignment horizontal="left" vertical="center" wrapText="1"/>
    </xf>
    <xf numFmtId="0" fontId="29" fillId="2" borderId="7" xfId="151" applyFont="1" applyFill="1" applyBorder="1" applyAlignment="1">
      <alignment horizontal="left" vertical="center" wrapText="1"/>
    </xf>
    <xf numFmtId="167" fontId="29" fillId="2" borderId="1" xfId="0" applyNumberFormat="1" applyFont="1" applyFill="1" applyBorder="1" applyAlignment="1">
      <alignment horizontal="center" vertical="center" wrapText="1"/>
    </xf>
    <xf numFmtId="0" fontId="29" fillId="3" borderId="4" xfId="0" applyFont="1" applyFill="1" applyBorder="1" applyAlignment="1">
      <alignment horizontal="center" vertical="center" wrapText="1"/>
    </xf>
    <xf numFmtId="0" fontId="29" fillId="3" borderId="5" xfId="0" applyFont="1" applyFill="1" applyBorder="1" applyAlignment="1">
      <alignment horizontal="center" vertical="center" wrapText="1"/>
    </xf>
    <xf numFmtId="0" fontId="29" fillId="3" borderId="6" xfId="0" applyFont="1" applyFill="1" applyBorder="1" applyAlignment="1">
      <alignment horizontal="center" vertical="center" wrapText="1"/>
    </xf>
    <xf numFmtId="0" fontId="30" fillId="4" borderId="10" xfId="0" applyFont="1" applyFill="1" applyBorder="1" applyAlignment="1">
      <alignment horizontal="left"/>
    </xf>
    <xf numFmtId="0" fontId="30" fillId="4" borderId="12" xfId="0" applyFont="1" applyFill="1" applyBorder="1" applyAlignment="1">
      <alignment horizontal="left"/>
    </xf>
    <xf numFmtId="0" fontId="30" fillId="4" borderId="9" xfId="0" applyFont="1" applyFill="1" applyBorder="1" applyAlignment="1">
      <alignment horizontal="left"/>
    </xf>
    <xf numFmtId="49" fontId="34" fillId="0" borderId="1" xfId="0" applyNumberFormat="1" applyFont="1" applyFill="1" applyBorder="1" applyAlignment="1">
      <alignment horizontal="center" vertical="center"/>
    </xf>
    <xf numFmtId="167" fontId="38" fillId="0" borderId="8" xfId="0" applyNumberFormat="1" applyFont="1" applyFill="1" applyBorder="1" applyAlignment="1">
      <alignment horizontal="center" vertical="center" wrapText="1"/>
    </xf>
    <xf numFmtId="167" fontId="38" fillId="0" borderId="7" xfId="0" applyNumberFormat="1" applyFont="1" applyFill="1" applyBorder="1" applyAlignment="1">
      <alignment horizontal="center" vertical="center" wrapText="1"/>
    </xf>
    <xf numFmtId="0" fontId="33" fillId="0" borderId="1" xfId="0" applyFont="1" applyBorder="1" applyAlignment="1">
      <alignment vertical="center" wrapText="1"/>
    </xf>
    <xf numFmtId="0" fontId="30" fillId="4" borderId="7" xfId="0" applyFont="1" applyFill="1" applyBorder="1" applyAlignment="1">
      <alignment horizontal="left" vertical="center" wrapText="1"/>
    </xf>
    <xf numFmtId="49" fontId="29" fillId="0" borderId="1" xfId="0" applyNumberFormat="1" applyFont="1" applyBorder="1" applyAlignment="1">
      <alignment horizontal="center" vertical="center" wrapText="1"/>
    </xf>
    <xf numFmtId="49" fontId="29" fillId="0" borderId="8" xfId="0" applyNumberFormat="1" applyFont="1" applyBorder="1" applyAlignment="1">
      <alignment horizontal="center" vertical="center" wrapText="1"/>
    </xf>
    <xf numFmtId="0" fontId="29" fillId="0" borderId="1" xfId="0" applyFont="1" applyBorder="1" applyAlignment="1">
      <alignment horizontal="center" vertical="center" wrapText="1"/>
    </xf>
    <xf numFmtId="0" fontId="29" fillId="0" borderId="8" xfId="0" applyFont="1" applyBorder="1" applyAlignment="1">
      <alignment horizontal="center" vertical="center" wrapText="1"/>
    </xf>
    <xf numFmtId="0" fontId="29" fillId="0" borderId="4" xfId="0" applyFont="1" applyBorder="1" applyAlignment="1">
      <alignment vertical="center" wrapText="1"/>
    </xf>
    <xf numFmtId="167" fontId="29" fillId="2" borderId="8" xfId="0" applyNumberFormat="1" applyFont="1" applyFill="1" applyBorder="1" applyAlignment="1">
      <alignment horizontal="center" vertical="center" wrapText="1"/>
    </xf>
    <xf numFmtId="167" fontId="29" fillId="2" borderId="7" xfId="0" applyNumberFormat="1" applyFont="1" applyFill="1" applyBorder="1" applyAlignment="1">
      <alignment horizontal="center" vertical="center" wrapText="1"/>
    </xf>
    <xf numFmtId="167" fontId="29" fillId="2" borderId="8" xfId="150" applyNumberFormat="1" applyFont="1" applyFill="1" applyBorder="1" applyAlignment="1">
      <alignment horizontal="center" vertical="center" wrapText="1"/>
    </xf>
    <xf numFmtId="167" fontId="29" fillId="2" borderId="7" xfId="150" applyNumberFormat="1" applyFont="1" applyFill="1" applyBorder="1" applyAlignment="1">
      <alignment horizontal="center" vertical="center" wrapText="1"/>
    </xf>
    <xf numFmtId="0" fontId="42" fillId="30" borderId="1" xfId="0" applyFont="1" applyFill="1" applyBorder="1" applyAlignment="1">
      <alignment vertical="center" wrapText="1"/>
    </xf>
    <xf numFmtId="0" fontId="42" fillId="30" borderId="4" xfId="0" applyFont="1" applyFill="1" applyBorder="1" applyAlignment="1">
      <alignment horizontal="right" vertical="top" wrapText="1"/>
    </xf>
    <xf numFmtId="0" fontId="44" fillId="2" borderId="8" xfId="0" applyFont="1" applyFill="1" applyBorder="1" applyAlignment="1">
      <alignment horizontal="left" wrapText="1"/>
    </xf>
    <xf numFmtId="0" fontId="44" fillId="2" borderId="7" xfId="0" applyFont="1" applyFill="1" applyBorder="1" applyAlignment="1">
      <alignment horizontal="left" wrapText="1"/>
    </xf>
    <xf numFmtId="0" fontId="34" fillId="2" borderId="1" xfId="0" applyFont="1" applyFill="1" applyBorder="1" applyAlignment="1">
      <alignment horizontal="center" wrapText="1"/>
    </xf>
    <xf numFmtId="0" fontId="30" fillId="33" borderId="10" xfId="152" applyFont="1" applyFill="1" applyBorder="1" applyAlignment="1">
      <alignment horizontal="left" vertical="center" wrapText="1"/>
    </xf>
    <xf numFmtId="0" fontId="30" fillId="33" borderId="12" xfId="152" applyFont="1" applyFill="1" applyBorder="1" applyAlignment="1">
      <alignment horizontal="left" vertical="center" wrapText="1"/>
    </xf>
    <xf numFmtId="49" fontId="33" fillId="0" borderId="1" xfId="0" applyNumberFormat="1" applyFont="1" applyBorder="1" applyAlignment="1">
      <alignment horizontal="center" vertical="center"/>
    </xf>
    <xf numFmtId="49" fontId="33" fillId="0" borderId="1" xfId="0" applyNumberFormat="1" applyFont="1" applyBorder="1" applyAlignment="1">
      <alignment horizontal="right" vertical="center"/>
    </xf>
    <xf numFmtId="0" fontId="46" fillId="0" borderId="1" xfId="151" applyFont="1" applyBorder="1" applyAlignment="1">
      <alignment horizontal="left" vertical="center" wrapText="1"/>
    </xf>
    <xf numFmtId="0" fontId="33" fillId="0" borderId="1" xfId="151" applyFont="1" applyBorder="1" applyAlignment="1">
      <alignment horizontal="left" vertical="center" wrapText="1"/>
    </xf>
    <xf numFmtId="167" fontId="38" fillId="2" borderId="1" xfId="151" applyNumberFormat="1" applyFont="1" applyFill="1" applyBorder="1" applyAlignment="1">
      <alignment horizontal="center" vertical="center"/>
    </xf>
    <xf numFmtId="0" fontId="29" fillId="0" borderId="1" xfId="5" applyFont="1" applyBorder="1" applyAlignment="1">
      <alignment horizontal="center" vertical="center"/>
    </xf>
    <xf numFmtId="169" fontId="38" fillId="0" borderId="1" xfId="151" applyNumberFormat="1" applyFont="1" applyBorder="1" applyAlignment="1">
      <alignment horizontal="center" vertical="center"/>
    </xf>
    <xf numFmtId="49" fontId="38" fillId="27" borderId="8" xfId="151" applyNumberFormat="1" applyFont="1" applyFill="1" applyBorder="1" applyAlignment="1">
      <alignment horizontal="center" vertical="center"/>
    </xf>
    <xf numFmtId="49" fontId="38" fillId="27" borderId="7" xfId="151" applyNumberFormat="1" applyFont="1" applyFill="1" applyBorder="1" applyAlignment="1">
      <alignment horizontal="center" vertical="center"/>
    </xf>
    <xf numFmtId="0" fontId="29" fillId="2" borderId="1" xfId="0" applyFont="1" applyFill="1" applyBorder="1" applyAlignment="1">
      <alignment horizontal="left" vertical="center" wrapText="1"/>
    </xf>
    <xf numFmtId="167" fontId="38" fillId="0" borderId="1" xfId="151" applyNumberFormat="1" applyFont="1" applyBorder="1" applyAlignment="1">
      <alignment horizontal="center" vertical="center"/>
    </xf>
    <xf numFmtId="167" fontId="29" fillId="0" borderId="1" xfId="0" applyNumberFormat="1" applyFont="1" applyBorder="1" applyAlignment="1">
      <alignment horizontal="center" vertical="center"/>
    </xf>
    <xf numFmtId="0" fontId="30" fillId="4" borderId="8" xfId="0" applyFont="1" applyFill="1" applyBorder="1" applyAlignment="1">
      <alignment horizontal="left" vertical="center" wrapText="1"/>
    </xf>
    <xf numFmtId="167" fontId="30" fillId="3" borderId="1" xfId="0" applyNumberFormat="1" applyFont="1" applyFill="1" applyBorder="1" applyAlignment="1"/>
    <xf numFmtId="167" fontId="37" fillId="3" borderId="1" xfId="0" applyNumberFormat="1" applyFont="1" applyFill="1" applyBorder="1" applyAlignment="1"/>
    <xf numFmtId="167" fontId="38" fillId="27" borderId="1" xfId="152" applyNumberFormat="1" applyFont="1" applyFill="1" applyBorder="1" applyAlignment="1">
      <alignment horizontal="center" vertical="center" wrapText="1"/>
    </xf>
    <xf numFmtId="167" fontId="38" fillId="27" borderId="8" xfId="152" applyNumberFormat="1" applyFont="1" applyFill="1" applyBorder="1" applyAlignment="1">
      <alignment horizontal="center" vertical="center" wrapText="1"/>
    </xf>
    <xf numFmtId="0" fontId="38" fillId="27" borderId="8" xfId="152" applyFont="1" applyFill="1" applyBorder="1" applyAlignment="1">
      <alignment horizontal="left" vertical="center" wrapText="1"/>
    </xf>
    <xf numFmtId="0" fontId="38" fillId="27" borderId="2" xfId="152" applyFont="1" applyFill="1" applyBorder="1" applyAlignment="1">
      <alignment horizontal="left" vertical="center" wrapText="1"/>
    </xf>
    <xf numFmtId="0" fontId="38" fillId="27" borderId="8" xfId="152" applyFont="1" applyFill="1" applyBorder="1" applyAlignment="1">
      <alignment horizontal="center" vertical="center" wrapText="1"/>
    </xf>
    <xf numFmtId="0" fontId="38" fillId="27" borderId="2" xfId="152" applyFont="1" applyFill="1" applyBorder="1" applyAlignment="1">
      <alignment horizontal="center" vertical="center" wrapText="1"/>
    </xf>
    <xf numFmtId="1" fontId="38" fillId="27" borderId="8" xfId="152" applyNumberFormat="1" applyFont="1" applyFill="1" applyBorder="1" applyAlignment="1">
      <alignment horizontal="center" vertical="center"/>
    </xf>
    <xf numFmtId="0" fontId="38" fillId="0" borderId="2" xfId="152" applyFont="1" applyBorder="1" applyAlignment="1">
      <alignment horizontal="center" vertical="center"/>
    </xf>
    <xf numFmtId="167" fontId="37" fillId="32" borderId="1" xfId="152" applyNumberFormat="1" applyFont="1" applyFill="1" applyBorder="1" applyAlignment="1">
      <alignment horizontal="center" vertical="center"/>
    </xf>
    <xf numFmtId="49" fontId="37" fillId="27" borderId="8" xfId="152" applyNumberFormat="1" applyFont="1" applyFill="1" applyBorder="1" applyAlignment="1">
      <alignment horizontal="center" vertical="center"/>
    </xf>
    <xf numFmtId="49" fontId="37" fillId="27" borderId="2" xfId="152" applyNumberFormat="1" applyFont="1" applyFill="1" applyBorder="1" applyAlignment="1">
      <alignment horizontal="center" vertical="center"/>
    </xf>
    <xf numFmtId="49" fontId="38" fillId="27" borderId="8" xfId="152" applyNumberFormat="1" applyFont="1" applyFill="1" applyBorder="1" applyAlignment="1">
      <alignment horizontal="center" vertical="center"/>
    </xf>
    <xf numFmtId="49" fontId="38" fillId="27" borderId="2" xfId="152" applyNumberFormat="1" applyFont="1" applyFill="1" applyBorder="1" applyAlignment="1">
      <alignment horizontal="center" vertical="center"/>
    </xf>
    <xf numFmtId="0" fontId="29" fillId="27" borderId="1" xfId="0" applyFont="1" applyFill="1" applyBorder="1" applyAlignment="1">
      <alignment vertical="center" wrapText="1"/>
    </xf>
    <xf numFmtId="0" fontId="29" fillId="27" borderId="8" xfId="0" applyFont="1" applyFill="1" applyBorder="1" applyAlignment="1">
      <alignment vertical="center" wrapText="1"/>
    </xf>
    <xf numFmtId="167" fontId="38" fillId="0" borderId="2" xfId="152" applyNumberFormat="1" applyFont="1" applyBorder="1" applyAlignment="1">
      <alignment horizontal="center" vertical="center" wrapText="1"/>
    </xf>
    <xf numFmtId="167" fontId="38" fillId="27" borderId="2" xfId="152" applyNumberFormat="1" applyFont="1" applyFill="1" applyBorder="1" applyAlignment="1">
      <alignment horizontal="center" vertical="center" wrapText="1"/>
    </xf>
    <xf numFmtId="0" fontId="29" fillId="27" borderId="8" xfId="0" applyFont="1" applyFill="1" applyBorder="1" applyAlignment="1">
      <alignment horizontal="left" vertical="center" wrapText="1"/>
    </xf>
    <xf numFmtId="0" fontId="29" fillId="27" borderId="7" xfId="0" applyFont="1" applyFill="1" applyBorder="1" applyAlignment="1">
      <alignment horizontal="left" vertical="center" wrapText="1"/>
    </xf>
    <xf numFmtId="0" fontId="38" fillId="27" borderId="7" xfId="152" applyFont="1" applyFill="1" applyBorder="1" applyAlignment="1">
      <alignment horizontal="center" vertical="center" wrapText="1"/>
    </xf>
    <xf numFmtId="0" fontId="38" fillId="0" borderId="7" xfId="152" applyFont="1" applyBorder="1" applyAlignment="1">
      <alignment horizontal="center" vertical="center" wrapText="1"/>
    </xf>
    <xf numFmtId="49" fontId="37" fillId="27" borderId="7" xfId="152" applyNumberFormat="1" applyFont="1" applyFill="1" applyBorder="1" applyAlignment="1">
      <alignment horizontal="center" vertical="center"/>
    </xf>
    <xf numFmtId="49" fontId="38" fillId="27" borderId="7" xfId="152" applyNumberFormat="1" applyFont="1" applyFill="1" applyBorder="1" applyAlignment="1">
      <alignment horizontal="center" vertical="center"/>
    </xf>
    <xf numFmtId="167" fontId="38" fillId="0" borderId="7" xfId="152" applyNumberFormat="1" applyFont="1" applyBorder="1" applyAlignment="1">
      <alignment horizontal="center" vertical="center" wrapText="1"/>
    </xf>
    <xf numFmtId="167" fontId="38" fillId="27" borderId="7" xfId="152" applyNumberFormat="1" applyFont="1" applyFill="1" applyBorder="1" applyAlignment="1">
      <alignment horizontal="center" vertical="center" wrapText="1"/>
    </xf>
    <xf numFmtId="0" fontId="29" fillId="27" borderId="1" xfId="0" applyFont="1" applyFill="1" applyBorder="1" applyAlignment="1">
      <alignment horizontal="left" vertical="center" wrapText="1"/>
    </xf>
    <xf numFmtId="0" fontId="30" fillId="27" borderId="1" xfId="0" applyFont="1" applyFill="1" applyBorder="1" applyAlignment="1">
      <alignment horizontal="left" vertical="center" wrapText="1"/>
    </xf>
    <xf numFmtId="167" fontId="37" fillId="27" borderId="8" xfId="152" applyNumberFormat="1" applyFont="1" applyFill="1" applyBorder="1" applyAlignment="1">
      <alignment horizontal="center" vertical="center" wrapText="1"/>
    </xf>
    <xf numFmtId="0" fontId="30" fillId="27" borderId="8" xfId="0" applyFont="1" applyFill="1" applyBorder="1" applyAlignment="1">
      <alignment horizontal="left" vertical="center" wrapText="1"/>
    </xf>
    <xf numFmtId="0" fontId="38" fillId="0" borderId="7" xfId="152" applyFont="1" applyBorder="1" applyAlignment="1">
      <alignment horizontal="center" vertical="center"/>
    </xf>
    <xf numFmtId="168" fontId="33" fillId="0" borderId="8" xfId="159" applyNumberFormat="1" applyFont="1" applyBorder="1" applyAlignment="1">
      <alignment horizontal="center" vertical="center"/>
    </xf>
    <xf numFmtId="168" fontId="33" fillId="0" borderId="2" xfId="159" applyNumberFormat="1" applyFont="1" applyBorder="1" applyAlignment="1">
      <alignment horizontal="center" vertical="center"/>
    </xf>
    <xf numFmtId="169" fontId="34" fillId="0" borderId="1" xfId="159" applyNumberFormat="1" applyFont="1" applyBorder="1" applyAlignment="1">
      <alignment horizontal="center" vertical="center"/>
    </xf>
    <xf numFmtId="169" fontId="34" fillId="0" borderId="8" xfId="159" applyNumberFormat="1" applyFont="1" applyBorder="1" applyAlignment="1">
      <alignment horizontal="center" vertical="center"/>
    </xf>
    <xf numFmtId="0" fontId="34" fillId="2" borderId="1" xfId="159" applyFont="1" applyFill="1" applyBorder="1" applyAlignment="1">
      <alignment horizontal="center" vertical="center"/>
    </xf>
    <xf numFmtId="0" fontId="34" fillId="2" borderId="8" xfId="159" applyFont="1" applyFill="1" applyBorder="1" applyAlignment="1">
      <alignment horizontal="center" vertical="center"/>
    </xf>
    <xf numFmtId="0" fontId="34" fillId="2" borderId="13" xfId="2" applyFont="1" applyFill="1" applyBorder="1" applyAlignment="1">
      <alignment horizontal="left" vertical="center" wrapText="1"/>
    </xf>
    <xf numFmtId="0" fontId="34" fillId="2" borderId="29" xfId="2" applyFont="1" applyFill="1" applyBorder="1" applyAlignment="1">
      <alignment horizontal="left" vertical="center" wrapText="1"/>
    </xf>
    <xf numFmtId="167" fontId="34" fillId="0" borderId="0" xfId="159" applyNumberFormat="1" applyFont="1" applyAlignment="1">
      <alignment horizontal="center" vertical="center"/>
    </xf>
    <xf numFmtId="167" fontId="34" fillId="2" borderId="8" xfId="159" applyNumberFormat="1" applyFont="1" applyFill="1" applyBorder="1" applyAlignment="1">
      <alignment horizontal="center" vertical="center" wrapText="1"/>
    </xf>
    <xf numFmtId="167" fontId="34" fillId="2" borderId="2" xfId="159" applyNumberFormat="1" applyFont="1" applyFill="1" applyBorder="1" applyAlignment="1">
      <alignment horizontal="center" vertical="center" wrapText="1"/>
    </xf>
    <xf numFmtId="168" fontId="33" fillId="0" borderId="1" xfId="159" applyNumberFormat="1" applyFont="1" applyBorder="1" applyAlignment="1">
      <alignment horizontal="center" vertical="center"/>
    </xf>
    <xf numFmtId="0" fontId="34" fillId="0" borderId="29" xfId="159" applyFont="1" applyBorder="1" applyAlignment="1">
      <alignment horizontal="left" vertical="center" wrapText="1"/>
    </xf>
    <xf numFmtId="0" fontId="34" fillId="0" borderId="9" xfId="159" applyFont="1" applyBorder="1" applyAlignment="1">
      <alignment horizontal="left" vertical="center" wrapText="1"/>
    </xf>
    <xf numFmtId="167" fontId="34" fillId="2" borderId="7" xfId="159" applyNumberFormat="1" applyFont="1" applyFill="1" applyBorder="1" applyAlignment="1">
      <alignment horizontal="center" vertical="center" wrapText="1"/>
    </xf>
    <xf numFmtId="167" fontId="34" fillId="2" borderId="7" xfId="159" applyNumberFormat="1" applyFont="1" applyFill="1" applyBorder="1" applyAlignment="1">
      <alignment horizontal="center" vertical="center"/>
    </xf>
    <xf numFmtId="0" fontId="34" fillId="0" borderId="8" xfId="151" applyFont="1" applyBorder="1" applyAlignment="1">
      <alignment vertical="center"/>
    </xf>
    <xf numFmtId="0" fontId="34" fillId="0" borderId="7" xfId="151" applyFont="1" applyBorder="1" applyAlignment="1">
      <alignment vertical="center"/>
    </xf>
    <xf numFmtId="169" fontId="38" fillId="0" borderId="8" xfId="151" applyNumberFormat="1" applyFont="1" applyBorder="1" applyAlignment="1">
      <alignment horizontal="center" vertical="center"/>
    </xf>
    <xf numFmtId="169" fontId="38" fillId="0" borderId="7" xfId="151" applyNumberFormat="1" applyFont="1" applyBorder="1" applyAlignment="1">
      <alignment horizontal="center" vertical="center"/>
    </xf>
    <xf numFmtId="0" fontId="34" fillId="0" borderId="1" xfId="151" applyFont="1" applyBorder="1" applyAlignment="1">
      <alignment horizontal="center"/>
    </xf>
    <xf numFmtId="168" fontId="37" fillId="27" borderId="1" xfId="151" applyNumberFormat="1" applyFont="1" applyFill="1" applyBorder="1" applyAlignment="1">
      <alignment horizontal="center" vertical="center"/>
    </xf>
    <xf numFmtId="0" fontId="34" fillId="0" borderId="8" xfId="151" applyFont="1" applyBorder="1"/>
    <xf numFmtId="0" fontId="34" fillId="0" borderId="7" xfId="151" applyFont="1" applyBorder="1"/>
    <xf numFmtId="0" fontId="34" fillId="0" borderId="8" xfId="151" applyFont="1" applyBorder="1" applyAlignment="1">
      <alignment horizontal="left" vertical="center" wrapText="1"/>
    </xf>
    <xf numFmtId="0" fontId="34" fillId="0" borderId="7" xfId="151" applyFont="1" applyBorder="1" applyAlignment="1">
      <alignment horizontal="left" vertical="center" wrapText="1"/>
    </xf>
    <xf numFmtId="168" fontId="33" fillId="0" borderId="8" xfId="0" applyNumberFormat="1" applyFont="1" applyBorder="1" applyAlignment="1">
      <alignment horizontal="center" vertical="center"/>
    </xf>
    <xf numFmtId="168" fontId="33" fillId="0" borderId="7" xfId="0" applyNumberFormat="1" applyFont="1" applyBorder="1" applyAlignment="1">
      <alignment horizontal="center" vertical="center"/>
    </xf>
    <xf numFmtId="169" fontId="34" fillId="0" borderId="8" xfId="0" applyNumberFormat="1" applyFont="1" applyBorder="1" applyAlignment="1">
      <alignment horizontal="center" vertical="center"/>
    </xf>
    <xf numFmtId="169" fontId="34" fillId="0" borderId="7" xfId="0" applyNumberFormat="1" applyFont="1" applyBorder="1" applyAlignment="1">
      <alignment horizontal="center" vertical="center"/>
    </xf>
    <xf numFmtId="0" fontId="34" fillId="2" borderId="11" xfId="0" applyFont="1" applyFill="1" applyBorder="1" applyAlignment="1">
      <alignment horizontal="center" vertical="center"/>
    </xf>
    <xf numFmtId="0" fontId="34" fillId="2" borderId="10" xfId="0" applyFont="1" applyFill="1" applyBorder="1" applyAlignment="1">
      <alignment horizontal="center" vertical="center"/>
    </xf>
    <xf numFmtId="0" fontId="34" fillId="2" borderId="8" xfId="2" applyFont="1" applyFill="1" applyBorder="1" applyAlignment="1">
      <alignment horizontal="left" vertical="center" wrapText="1"/>
    </xf>
    <xf numFmtId="0" fontId="34" fillId="2" borderId="7" xfId="2" applyFont="1" applyFill="1" applyBorder="1" applyAlignment="1">
      <alignment horizontal="left" vertical="center" wrapText="1"/>
    </xf>
    <xf numFmtId="0" fontId="34" fillId="2" borderId="8" xfId="0" applyFont="1" applyFill="1" applyBorder="1" applyAlignment="1">
      <alignment horizontal="center" vertical="center"/>
    </xf>
    <xf numFmtId="0" fontId="34" fillId="2" borderId="7" xfId="0" applyFont="1" applyFill="1" applyBorder="1" applyAlignment="1">
      <alignment horizontal="center" vertical="center"/>
    </xf>
    <xf numFmtId="167" fontId="33" fillId="3" borderId="8" xfId="0" applyNumberFormat="1" applyFont="1" applyFill="1" applyBorder="1" applyAlignment="1"/>
    <xf numFmtId="167" fontId="33" fillId="3" borderId="47" xfId="0" applyNumberFormat="1" applyFont="1" applyFill="1" applyBorder="1" applyAlignment="1"/>
    <xf numFmtId="49" fontId="33" fillId="2" borderId="36" xfId="0" applyNumberFormat="1" applyFont="1" applyFill="1" applyBorder="1" applyAlignment="1">
      <alignment horizontal="center" vertical="center"/>
    </xf>
    <xf numFmtId="49" fontId="33" fillId="2" borderId="35" xfId="0" applyNumberFormat="1" applyFont="1" applyFill="1" applyBorder="1" applyAlignment="1">
      <alignment horizontal="center" vertical="center"/>
    </xf>
    <xf numFmtId="49" fontId="34" fillId="2" borderId="2" xfId="0" applyNumberFormat="1" applyFont="1" applyFill="1" applyBorder="1" applyAlignment="1">
      <alignment horizontal="center" vertical="center"/>
    </xf>
    <xf numFmtId="49" fontId="33" fillId="2" borderId="45" xfId="0" applyNumberFormat="1" applyFont="1" applyFill="1" applyBorder="1" applyAlignment="1">
      <alignment horizontal="center" vertical="center"/>
    </xf>
    <xf numFmtId="49" fontId="34" fillId="2" borderId="11" xfId="0" applyNumberFormat="1" applyFont="1" applyFill="1" applyBorder="1" applyAlignment="1">
      <alignment horizontal="center" vertical="center"/>
    </xf>
    <xf numFmtId="49" fontId="34" fillId="2" borderId="3" xfId="0" applyNumberFormat="1" applyFont="1" applyFill="1" applyBorder="1" applyAlignment="1">
      <alignment horizontal="center" vertical="center"/>
    </xf>
    <xf numFmtId="49" fontId="34" fillId="2" borderId="10" xfId="0" applyNumberFormat="1" applyFont="1" applyFill="1" applyBorder="1" applyAlignment="1">
      <alignment horizontal="center" vertical="center"/>
    </xf>
    <xf numFmtId="0" fontId="34" fillId="0" borderId="8" xfId="2" applyFont="1" applyFill="1" applyBorder="1" applyAlignment="1">
      <alignment horizontal="left" vertical="center" wrapText="1"/>
    </xf>
    <xf numFmtId="0" fontId="34" fillId="0" borderId="2" xfId="2" applyFont="1" applyFill="1" applyBorder="1" applyAlignment="1">
      <alignment horizontal="left" vertical="center" wrapText="1"/>
    </xf>
    <xf numFmtId="0" fontId="34" fillId="0" borderId="7" xfId="2" applyFont="1" applyFill="1" applyBorder="1" applyAlignment="1">
      <alignment horizontal="left" vertical="center" wrapText="1"/>
    </xf>
    <xf numFmtId="0" fontId="34" fillId="2" borderId="8" xfId="2" applyFont="1" applyFill="1" applyBorder="1" applyAlignment="1">
      <alignment horizontal="center" vertical="center" wrapText="1"/>
    </xf>
    <xf numFmtId="0" fontId="34" fillId="2" borderId="2" xfId="2" applyFont="1" applyFill="1" applyBorder="1" applyAlignment="1">
      <alignment horizontal="center" vertical="center" wrapText="1"/>
    </xf>
    <xf numFmtId="0" fontId="34" fillId="2" borderId="7" xfId="2" applyFont="1" applyFill="1" applyBorder="1" applyAlignment="1">
      <alignment horizontal="center" vertical="center" wrapText="1"/>
    </xf>
    <xf numFmtId="167" fontId="34" fillId="0" borderId="8" xfId="2" applyNumberFormat="1" applyFont="1" applyFill="1" applyBorder="1" applyAlignment="1">
      <alignment horizontal="center" vertical="center" wrapText="1"/>
    </xf>
    <xf numFmtId="167" fontId="34" fillId="0" borderId="2" xfId="2" applyNumberFormat="1" applyFont="1" applyFill="1" applyBorder="1" applyAlignment="1">
      <alignment horizontal="center" vertical="center" wrapText="1"/>
    </xf>
    <xf numFmtId="167" fontId="34" fillId="0" borderId="7" xfId="2" applyNumberFormat="1" applyFont="1" applyFill="1" applyBorder="1" applyAlignment="1">
      <alignment horizontal="center" vertical="center" wrapText="1"/>
    </xf>
    <xf numFmtId="168" fontId="33" fillId="0" borderId="36" xfId="0" applyNumberFormat="1" applyFont="1" applyBorder="1" applyAlignment="1">
      <alignment horizontal="center" vertical="center"/>
    </xf>
    <xf numFmtId="168" fontId="33" fillId="0" borderId="45" xfId="0" applyNumberFormat="1" applyFont="1" applyBorder="1" applyAlignment="1">
      <alignment horizontal="center" vertical="center"/>
    </xf>
    <xf numFmtId="0" fontId="34" fillId="0" borderId="8" xfId="0" applyFont="1" applyBorder="1" applyAlignment="1">
      <alignment horizontal="left" vertical="center"/>
    </xf>
    <xf numFmtId="0" fontId="34" fillId="0" borderId="7" xfId="0" applyFont="1" applyBorder="1" applyAlignment="1">
      <alignment horizontal="left" vertical="center"/>
    </xf>
    <xf numFmtId="0" fontId="38" fillId="0" borderId="8" xfId="0" applyFont="1" applyFill="1" applyBorder="1" applyAlignment="1">
      <alignment horizontal="left" vertical="center" wrapText="1"/>
    </xf>
    <xf numFmtId="0" fontId="38" fillId="0" borderId="7" xfId="0" applyFont="1" applyFill="1" applyBorder="1" applyAlignment="1">
      <alignment horizontal="left" vertical="center" wrapText="1"/>
    </xf>
    <xf numFmtId="167" fontId="34" fillId="3" borderId="1" xfId="0" applyNumberFormat="1" applyFont="1" applyFill="1" applyBorder="1" applyAlignment="1"/>
    <xf numFmtId="49" fontId="29" fillId="0" borderId="7" xfId="0" applyNumberFormat="1" applyFont="1" applyBorder="1" applyAlignment="1">
      <alignment horizontal="center" vertical="center" wrapText="1"/>
    </xf>
    <xf numFmtId="0" fontId="29" fillId="0" borderId="7" xfId="0" applyFont="1" applyBorder="1" applyAlignment="1">
      <alignment horizontal="center" vertical="center" wrapText="1"/>
    </xf>
    <xf numFmtId="0" fontId="29" fillId="0" borderId="8" xfId="0" applyFont="1" applyBorder="1" applyAlignment="1">
      <alignment horizontal="left" vertical="center" wrapText="1"/>
    </xf>
    <xf numFmtId="0" fontId="29" fillId="0" borderId="7" xfId="0" applyFont="1" applyBorder="1" applyAlignment="1">
      <alignment horizontal="left" vertical="center" wrapText="1"/>
    </xf>
    <xf numFmtId="167" fontId="34" fillId="2" borderId="1" xfId="147" applyNumberFormat="1" applyFont="1" applyFill="1" applyBorder="1" applyAlignment="1">
      <alignment horizontal="center" vertical="center" wrapText="1"/>
    </xf>
    <xf numFmtId="167" fontId="33" fillId="3" borderId="1" xfId="0" applyNumberFormat="1" applyFont="1" applyFill="1" applyBorder="1"/>
    <xf numFmtId="0" fontId="29" fillId="2" borderId="4" xfId="0" applyFont="1" applyFill="1" applyBorder="1" applyAlignment="1">
      <alignment vertical="center" wrapText="1"/>
    </xf>
    <xf numFmtId="167" fontId="34" fillId="2" borderId="8" xfId="147" applyNumberFormat="1" applyFont="1" applyFill="1" applyBorder="1" applyAlignment="1">
      <alignment horizontal="center" vertical="center" wrapText="1"/>
    </xf>
    <xf numFmtId="167" fontId="34" fillId="2" borderId="7" xfId="147" applyNumberFormat="1" applyFont="1" applyFill="1" applyBorder="1" applyAlignment="1">
      <alignment horizontal="center" vertical="center" wrapText="1"/>
    </xf>
    <xf numFmtId="167" fontId="34" fillId="2" borderId="8" xfId="150" applyNumberFormat="1" applyFont="1" applyFill="1" applyBorder="1" applyAlignment="1">
      <alignment horizontal="center" vertical="center" wrapText="1"/>
    </xf>
    <xf numFmtId="167" fontId="34" fillId="2" borderId="7" xfId="150" applyNumberFormat="1" applyFont="1" applyFill="1" applyBorder="1" applyAlignment="1">
      <alignment horizontal="center" vertical="center" wrapText="1"/>
    </xf>
    <xf numFmtId="0" fontId="34" fillId="0" borderId="1" xfId="0" applyFont="1" applyFill="1" applyBorder="1" applyAlignment="1">
      <alignment horizontal="left" vertical="center" wrapText="1"/>
    </xf>
    <xf numFmtId="0" fontId="34" fillId="0" borderId="1" xfId="0" applyFont="1" applyFill="1" applyBorder="1" applyAlignment="1">
      <alignment horizontal="center" vertical="center" wrapText="1"/>
    </xf>
    <xf numFmtId="3" fontId="34" fillId="0" borderId="1" xfId="0" applyNumberFormat="1" applyFont="1" applyFill="1" applyBorder="1" applyAlignment="1">
      <alignment horizontal="center" vertical="center" wrapText="1"/>
    </xf>
    <xf numFmtId="49" fontId="33" fillId="0" borderId="8" xfId="0" applyNumberFormat="1" applyFont="1" applyFill="1" applyBorder="1" applyAlignment="1">
      <alignment vertical="center"/>
    </xf>
    <xf numFmtId="49" fontId="33" fillId="0" borderId="2" xfId="0" applyNumberFormat="1" applyFont="1" applyFill="1" applyBorder="1" applyAlignment="1">
      <alignment vertical="center"/>
    </xf>
    <xf numFmtId="49" fontId="34" fillId="0" borderId="8" xfId="0" applyNumberFormat="1" applyFont="1" applyFill="1" applyBorder="1" applyAlignment="1">
      <alignment horizontal="center" vertical="center"/>
    </xf>
    <xf numFmtId="49" fontId="34" fillId="0" borderId="2" xfId="0" applyNumberFormat="1" applyFont="1" applyFill="1" applyBorder="1" applyAlignment="1">
      <alignment horizontal="center" vertical="center"/>
    </xf>
    <xf numFmtId="49" fontId="34" fillId="0" borderId="8" xfId="0" applyNumberFormat="1" applyFont="1" applyFill="1" applyBorder="1" applyAlignment="1">
      <alignment vertical="center"/>
    </xf>
    <xf numFmtId="49" fontId="34" fillId="0" borderId="2" xfId="0" applyNumberFormat="1" applyFont="1" applyFill="1" applyBorder="1" applyAlignment="1">
      <alignment vertical="center"/>
    </xf>
    <xf numFmtId="0" fontId="34" fillId="0" borderId="1" xfId="0" applyFont="1" applyFill="1" applyBorder="1" applyAlignment="1">
      <alignment vertical="center" wrapText="1"/>
    </xf>
    <xf numFmtId="0" fontId="34" fillId="0" borderId="8" xfId="0" applyFont="1" applyFill="1" applyBorder="1" applyAlignment="1">
      <alignment vertical="center" wrapText="1"/>
    </xf>
    <xf numFmtId="167" fontId="34" fillId="0" borderId="8" xfId="0" applyNumberFormat="1" applyFont="1" applyFill="1" applyBorder="1" applyAlignment="1">
      <alignment horizontal="center" vertical="center" wrapText="1"/>
    </xf>
    <xf numFmtId="167" fontId="34" fillId="0" borderId="7" xfId="0" applyNumberFormat="1" applyFont="1" applyFill="1" applyBorder="1" applyAlignment="1">
      <alignment horizontal="center" vertical="center" wrapText="1"/>
    </xf>
    <xf numFmtId="167" fontId="34" fillId="0" borderId="1" xfId="0" applyNumberFormat="1" applyFont="1" applyFill="1" applyBorder="1" applyAlignment="1">
      <alignment horizontal="center" vertical="center" wrapText="1"/>
    </xf>
    <xf numFmtId="167" fontId="34" fillId="0" borderId="2" xfId="0" applyNumberFormat="1" applyFont="1" applyFill="1" applyBorder="1" applyAlignment="1">
      <alignment horizontal="center" vertical="center" wrapText="1"/>
    </xf>
    <xf numFmtId="49" fontId="33" fillId="0" borderId="8" xfId="0" applyNumberFormat="1" applyFont="1" applyFill="1" applyBorder="1" applyAlignment="1">
      <alignment horizontal="center" vertical="center"/>
    </xf>
    <xf numFmtId="49" fontId="33" fillId="0" borderId="7" xfId="0" applyNumberFormat="1" applyFont="1" applyFill="1" applyBorder="1" applyAlignment="1">
      <alignment horizontal="center" vertical="center"/>
    </xf>
    <xf numFmtId="49" fontId="34" fillId="0" borderId="7" xfId="0" applyNumberFormat="1" applyFont="1" applyFill="1" applyBorder="1" applyAlignment="1">
      <alignment horizontal="center" vertical="center"/>
    </xf>
    <xf numFmtId="49" fontId="34" fillId="0" borderId="7" xfId="0" applyNumberFormat="1" applyFont="1" applyFill="1" applyBorder="1" applyAlignment="1">
      <alignment vertical="center"/>
    </xf>
    <xf numFmtId="0" fontId="33" fillId="0" borderId="1" xfId="0" applyFont="1" applyFill="1" applyBorder="1" applyAlignment="1">
      <alignment vertical="center" wrapText="1"/>
    </xf>
    <xf numFmtId="0" fontId="33" fillId="0" borderId="8" xfId="0" applyFont="1" applyFill="1" applyBorder="1" applyAlignment="1">
      <alignment vertical="center" wrapText="1"/>
    </xf>
    <xf numFmtId="167" fontId="33" fillId="0" borderId="1" xfId="0" applyNumberFormat="1" applyFont="1" applyFill="1" applyBorder="1" applyAlignment="1">
      <alignment horizontal="center" vertical="center" wrapText="1"/>
    </xf>
    <xf numFmtId="49" fontId="33" fillId="0" borderId="7" xfId="0" applyNumberFormat="1" applyFont="1" applyFill="1" applyBorder="1" applyAlignment="1">
      <alignment vertical="center"/>
    </xf>
    <xf numFmtId="0" fontId="30" fillId="2" borderId="1" xfId="0" applyFont="1" applyFill="1" applyBorder="1" applyAlignment="1">
      <alignment horizontal="left" vertical="center" wrapText="1"/>
    </xf>
    <xf numFmtId="167" fontId="33" fillId="3" borderId="8" xfId="0" applyNumberFormat="1" applyFont="1" applyFill="1" applyBorder="1"/>
    <xf numFmtId="49" fontId="33" fillId="0" borderId="1" xfId="0" applyNumberFormat="1" applyFont="1" applyBorder="1" applyAlignment="1">
      <alignment horizontal="center" vertical="center" wrapText="1"/>
    </xf>
    <xf numFmtId="0" fontId="34" fillId="0" borderId="1" xfId="0" applyFont="1" applyBorder="1" applyAlignment="1">
      <alignment horizontal="center" vertical="center" wrapText="1"/>
    </xf>
    <xf numFmtId="0" fontId="34" fillId="0" borderId="4" xfId="0" applyFont="1" applyBorder="1" applyAlignment="1">
      <alignment horizontal="center" vertical="center" wrapText="1"/>
    </xf>
    <xf numFmtId="167" fontId="33" fillId="0" borderId="8" xfId="0" applyNumberFormat="1" applyFont="1" applyBorder="1" applyAlignment="1">
      <alignment horizontal="center" vertical="center" wrapText="1"/>
    </xf>
    <xf numFmtId="167" fontId="33" fillId="0" borderId="7" xfId="0" applyNumberFormat="1" applyFont="1" applyBorder="1" applyAlignment="1">
      <alignment horizontal="center" vertical="center" wrapText="1"/>
    </xf>
    <xf numFmtId="0" fontId="34" fillId="0" borderId="1" xfId="0" applyFont="1" applyBorder="1" applyAlignment="1">
      <alignment vertical="center" wrapText="1"/>
    </xf>
    <xf numFmtId="0" fontId="34" fillId="2" borderId="1" xfId="0" applyFont="1" applyFill="1" applyBorder="1" applyAlignment="1">
      <alignment horizontal="left" vertical="center" wrapText="1"/>
    </xf>
    <xf numFmtId="3" fontId="34" fillId="2" borderId="1" xfId="0" applyNumberFormat="1" applyFont="1" applyFill="1" applyBorder="1" applyAlignment="1">
      <alignment horizontal="center" vertical="center" wrapText="1"/>
    </xf>
    <xf numFmtId="49" fontId="33" fillId="2" borderId="2" xfId="0" applyNumberFormat="1" applyFont="1" applyFill="1" applyBorder="1" applyAlignment="1">
      <alignment horizontal="center" vertical="center"/>
    </xf>
    <xf numFmtId="167" fontId="29" fillId="0" borderId="8" xfId="0" applyNumberFormat="1" applyFont="1" applyBorder="1" applyAlignment="1">
      <alignment horizontal="center" vertical="center"/>
    </xf>
    <xf numFmtId="167" fontId="29" fillId="0" borderId="2" xfId="0" applyNumberFormat="1" applyFont="1" applyBorder="1" applyAlignment="1">
      <alignment horizontal="center" vertical="center"/>
    </xf>
    <xf numFmtId="167" fontId="29" fillId="0" borderId="7" xfId="0" applyNumberFormat="1" applyFont="1" applyBorder="1" applyAlignment="1">
      <alignment horizontal="center" vertical="center"/>
    </xf>
    <xf numFmtId="49" fontId="34" fillId="0" borderId="1" xfId="0" applyNumberFormat="1" applyFont="1" applyFill="1" applyBorder="1" applyAlignment="1">
      <alignment horizontal="center" vertical="center" wrapText="1"/>
    </xf>
    <xf numFmtId="0" fontId="33" fillId="3" borderId="4" xfId="0" applyFont="1" applyFill="1" applyBorder="1" applyAlignment="1">
      <alignment horizontal="left" vertical="center"/>
    </xf>
    <xf numFmtId="0" fontId="33" fillId="3" borderId="5" xfId="0" applyFont="1" applyFill="1" applyBorder="1" applyAlignment="1">
      <alignment horizontal="left" vertical="center"/>
    </xf>
    <xf numFmtId="0" fontId="33" fillId="3" borderId="6" xfId="0" applyFont="1" applyFill="1" applyBorder="1" applyAlignment="1">
      <alignment horizontal="left" vertical="center"/>
    </xf>
    <xf numFmtId="167" fontId="33" fillId="3" borderId="1" xfId="0" applyNumberFormat="1" applyFont="1" applyFill="1" applyBorder="1" applyAlignment="1">
      <alignment horizontal="center"/>
    </xf>
    <xf numFmtId="168" fontId="33" fillId="0" borderId="2" xfId="0" applyNumberFormat="1" applyFont="1" applyBorder="1" applyAlignment="1">
      <alignment horizontal="center" vertical="center"/>
    </xf>
    <xf numFmtId="169" fontId="34" fillId="0" borderId="2" xfId="0" applyNumberFormat="1" applyFont="1" applyBorder="1" applyAlignment="1">
      <alignment horizontal="center" vertical="center"/>
    </xf>
    <xf numFmtId="0" fontId="34" fillId="2" borderId="2" xfId="0" applyFont="1" applyFill="1" applyBorder="1" applyAlignment="1">
      <alignment horizontal="center" vertical="center"/>
    </xf>
    <xf numFmtId="0" fontId="34" fillId="2" borderId="2" xfId="2" applyFont="1" applyFill="1" applyBorder="1" applyAlignment="1">
      <alignment horizontal="left" vertical="center" wrapText="1"/>
    </xf>
    <xf numFmtId="167" fontId="34" fillId="2" borderId="8" xfId="2" applyNumberFormat="1" applyFont="1" applyFill="1" applyBorder="1" applyAlignment="1">
      <alignment horizontal="center" vertical="center" wrapText="1"/>
    </xf>
    <xf numFmtId="167" fontId="34" fillId="2" borderId="2" xfId="2" applyNumberFormat="1" applyFont="1" applyFill="1" applyBorder="1" applyAlignment="1">
      <alignment horizontal="center" vertical="center" wrapText="1"/>
    </xf>
    <xf numFmtId="167" fontId="34" fillId="2" borderId="7" xfId="2" applyNumberFormat="1" applyFont="1" applyFill="1" applyBorder="1" applyAlignment="1">
      <alignment horizontal="center" vertical="center" wrapText="1"/>
    </xf>
    <xf numFmtId="168" fontId="33" fillId="0" borderId="1" xfId="0" applyNumberFormat="1" applyFont="1" applyBorder="1" applyAlignment="1">
      <alignment horizontal="center" vertical="center"/>
    </xf>
    <xf numFmtId="169" fontId="34" fillId="0" borderId="1" xfId="0" applyNumberFormat="1" applyFont="1" applyBorder="1" applyAlignment="1">
      <alignment horizontal="center" vertical="center"/>
    </xf>
    <xf numFmtId="0" fontId="34" fillId="2" borderId="1" xfId="0" applyFont="1" applyFill="1" applyBorder="1" applyAlignment="1">
      <alignment horizontal="center" vertical="center"/>
    </xf>
    <xf numFmtId="0" fontId="34" fillId="2" borderId="1" xfId="2" applyFont="1" applyFill="1" applyBorder="1" applyAlignment="1">
      <alignment horizontal="left" vertical="center" wrapText="1"/>
    </xf>
    <xf numFmtId="167" fontId="34" fillId="2" borderId="8" xfId="0" applyNumberFormat="1" applyFont="1" applyFill="1" applyBorder="1" applyAlignment="1">
      <alignment horizontal="center" vertical="center"/>
    </xf>
    <xf numFmtId="167" fontId="34" fillId="2" borderId="7" xfId="0" applyNumberFormat="1" applyFont="1" applyFill="1" applyBorder="1" applyAlignment="1">
      <alignment horizontal="center" vertical="center"/>
    </xf>
    <xf numFmtId="0" fontId="29" fillId="2" borderId="8" xfId="0" applyFont="1" applyFill="1" applyBorder="1" applyAlignment="1">
      <alignment vertical="center" wrapText="1"/>
    </xf>
    <xf numFmtId="0" fontId="29" fillId="2" borderId="7" xfId="0" applyFont="1" applyFill="1" applyBorder="1" applyAlignment="1">
      <alignment vertical="center" wrapText="1"/>
    </xf>
    <xf numFmtId="0" fontId="29" fillId="2" borderId="8" xfId="0" applyFont="1" applyFill="1" applyBorder="1" applyAlignment="1">
      <alignment horizontal="center" vertical="center" wrapText="1"/>
    </xf>
    <xf numFmtId="0" fontId="29" fillId="2" borderId="7" xfId="0" applyFont="1" applyFill="1" applyBorder="1" applyAlignment="1">
      <alignment horizontal="center" vertical="center" wrapText="1"/>
    </xf>
    <xf numFmtId="3" fontId="29" fillId="2" borderId="8" xfId="0" applyNumberFormat="1" applyFont="1" applyFill="1" applyBorder="1" applyAlignment="1">
      <alignment horizontal="center" vertical="center" wrapText="1"/>
    </xf>
    <xf numFmtId="3" fontId="29" fillId="2" borderId="7" xfId="0" applyNumberFormat="1" applyFont="1" applyFill="1" applyBorder="1" applyAlignment="1">
      <alignment horizontal="center" vertical="center" wrapText="1"/>
    </xf>
    <xf numFmtId="3" fontId="29" fillId="2" borderId="8" xfId="0" applyNumberFormat="1" applyFont="1" applyFill="1" applyBorder="1" applyAlignment="1">
      <alignment horizontal="center" vertical="center"/>
    </xf>
    <xf numFmtId="3" fontId="29" fillId="2" borderId="7" xfId="0" applyNumberFormat="1" applyFont="1" applyFill="1" applyBorder="1" applyAlignment="1">
      <alignment horizontal="center" vertical="center"/>
    </xf>
    <xf numFmtId="49" fontId="30" fillId="2" borderId="8" xfId="0" applyNumberFormat="1" applyFont="1" applyFill="1" applyBorder="1" applyAlignment="1">
      <alignment horizontal="center" vertical="top"/>
    </xf>
    <xf numFmtId="49" fontId="30" fillId="2" borderId="2" xfId="0" applyNumberFormat="1" applyFont="1" applyFill="1" applyBorder="1" applyAlignment="1">
      <alignment horizontal="center" vertical="top"/>
    </xf>
    <xf numFmtId="49" fontId="29" fillId="2" borderId="1" xfId="0" applyNumberFormat="1" applyFont="1" applyFill="1" applyBorder="1" applyAlignment="1">
      <alignment horizontal="center" vertical="center"/>
    </xf>
    <xf numFmtId="0" fontId="29" fillId="2" borderId="1" xfId="0" applyFont="1" applyFill="1" applyBorder="1" applyAlignment="1">
      <alignment horizontal="left" vertical="top" wrapText="1"/>
    </xf>
    <xf numFmtId="167" fontId="29" fillId="2" borderId="1" xfId="1" applyNumberFormat="1" applyFont="1" applyFill="1" applyBorder="1" applyAlignment="1">
      <alignment horizontal="center" vertical="center" wrapText="1"/>
    </xf>
    <xf numFmtId="0" fontId="29" fillId="2" borderId="8" xfId="0" applyFont="1" applyFill="1" applyBorder="1" applyAlignment="1">
      <alignment horizontal="center" vertical="center"/>
    </xf>
    <xf numFmtId="0" fontId="29" fillId="2" borderId="7" xfId="0" applyFont="1" applyFill="1" applyBorder="1" applyAlignment="1">
      <alignment horizontal="center" vertical="center"/>
    </xf>
    <xf numFmtId="49" fontId="30" fillId="2" borderId="7" xfId="0" applyNumberFormat="1" applyFont="1" applyFill="1" applyBorder="1" applyAlignment="1">
      <alignment horizontal="center" vertical="top"/>
    </xf>
    <xf numFmtId="49" fontId="29" fillId="2" borderId="8" xfId="0" applyNumberFormat="1" applyFont="1" applyFill="1" applyBorder="1" applyAlignment="1">
      <alignment horizontal="center" vertical="center"/>
    </xf>
    <xf numFmtId="49" fontId="29" fillId="2" borderId="7" xfId="0" applyNumberFormat="1" applyFont="1" applyFill="1" applyBorder="1" applyAlignment="1">
      <alignment horizontal="center" vertical="center"/>
    </xf>
    <xf numFmtId="0" fontId="29" fillId="2" borderId="8" xfId="0" applyFont="1" applyFill="1" applyBorder="1" applyAlignment="1">
      <alignment horizontal="left" vertical="center" wrapText="1"/>
    </xf>
    <xf numFmtId="0" fontId="29" fillId="2" borderId="7" xfId="0" applyFont="1" applyFill="1" applyBorder="1" applyAlignment="1">
      <alignment horizontal="left" vertical="center" wrapText="1"/>
    </xf>
    <xf numFmtId="49" fontId="30" fillId="2" borderId="1" xfId="0" applyNumberFormat="1" applyFont="1" applyFill="1" applyBorder="1" applyAlignment="1">
      <alignment horizontal="center" vertical="center"/>
    </xf>
    <xf numFmtId="49" fontId="29" fillId="2" borderId="1" xfId="0" applyNumberFormat="1" applyFont="1" applyFill="1" applyBorder="1" applyAlignment="1">
      <alignment horizontal="center" vertical="top"/>
    </xf>
    <xf numFmtId="49" fontId="29" fillId="2" borderId="4" xfId="0" applyNumberFormat="1" applyFont="1" applyFill="1" applyBorder="1" applyAlignment="1">
      <alignment horizontal="center" vertical="top"/>
    </xf>
    <xf numFmtId="167" fontId="30" fillId="2" borderId="6" xfId="1" applyNumberFormat="1" applyFont="1" applyFill="1" applyBorder="1" applyAlignment="1">
      <alignment horizontal="center" vertical="center" wrapText="1"/>
    </xf>
    <xf numFmtId="0" fontId="29" fillId="2" borderId="8" xfId="0" applyFont="1" applyFill="1" applyBorder="1" applyAlignment="1">
      <alignment vertical="top" wrapText="1"/>
    </xf>
    <xf numFmtId="0" fontId="29" fillId="2" borderId="7" xfId="0" applyFont="1" applyFill="1" applyBorder="1" applyAlignment="1">
      <alignment vertical="top" wrapText="1"/>
    </xf>
    <xf numFmtId="168" fontId="30" fillId="2" borderId="8" xfId="0" applyNumberFormat="1" applyFont="1" applyFill="1" applyBorder="1" applyAlignment="1">
      <alignment horizontal="center" vertical="center"/>
    </xf>
    <xf numFmtId="0" fontId="30" fillId="2" borderId="4" xfId="0" applyFont="1" applyFill="1" applyBorder="1" applyAlignment="1">
      <alignment horizontal="center" vertical="top"/>
    </xf>
    <xf numFmtId="0" fontId="29" fillId="2" borderId="4" xfId="0" applyFont="1" applyFill="1" applyBorder="1" applyAlignment="1">
      <alignment horizontal="center" vertical="top"/>
    </xf>
    <xf numFmtId="167" fontId="29" fillId="2" borderId="6" xfId="1" applyNumberFormat="1" applyFont="1" applyFill="1" applyBorder="1" applyAlignment="1">
      <alignment horizontal="center" vertical="center" wrapText="1"/>
    </xf>
    <xf numFmtId="0" fontId="30" fillId="2" borderId="8" xfId="0" applyFont="1" applyFill="1" applyBorder="1" applyAlignment="1">
      <alignment vertical="top" wrapText="1"/>
    </xf>
    <xf numFmtId="0" fontId="30" fillId="2" borderId="7" xfId="0" applyFont="1" applyFill="1" applyBorder="1" applyAlignment="1">
      <alignment vertical="top" wrapText="1"/>
    </xf>
    <xf numFmtId="0" fontId="30" fillId="2" borderId="8" xfId="0" applyFont="1" applyFill="1" applyBorder="1" applyAlignment="1">
      <alignment horizontal="center" vertical="center" wrapText="1"/>
    </xf>
    <xf numFmtId="0" fontId="30" fillId="2" borderId="7" xfId="0" applyFont="1" applyFill="1" applyBorder="1" applyAlignment="1">
      <alignment horizontal="center" vertical="center" wrapText="1"/>
    </xf>
    <xf numFmtId="168" fontId="34" fillId="2" borderId="8" xfId="0" applyNumberFormat="1" applyFont="1" applyFill="1" applyBorder="1" applyAlignment="1">
      <alignment horizontal="center" vertical="center"/>
    </xf>
    <xf numFmtId="168" fontId="34" fillId="2" borderId="7" xfId="0" applyNumberFormat="1" applyFont="1" applyFill="1" applyBorder="1" applyAlignment="1">
      <alignment horizontal="center" vertical="center"/>
    </xf>
    <xf numFmtId="169" fontId="34" fillId="2" borderId="8" xfId="0" applyNumberFormat="1" applyFont="1" applyFill="1" applyBorder="1" applyAlignment="1">
      <alignment vertical="center"/>
    </xf>
    <xf numFmtId="169" fontId="34" fillId="2" borderId="7" xfId="0" applyNumberFormat="1" applyFont="1" applyFill="1" applyBorder="1" applyAlignment="1">
      <alignment vertical="center"/>
    </xf>
    <xf numFmtId="0" fontId="34" fillId="2" borderId="8" xfId="0" applyFont="1" applyFill="1" applyBorder="1" applyAlignment="1">
      <alignment vertical="center"/>
    </xf>
    <xf numFmtId="0" fontId="34" fillId="2" borderId="7" xfId="0" applyFont="1" applyFill="1" applyBorder="1" applyAlignment="1">
      <alignment vertical="center"/>
    </xf>
    <xf numFmtId="0" fontId="34" fillId="2" borderId="1" xfId="151" applyFont="1" applyFill="1" applyBorder="1" applyAlignment="1">
      <alignment horizontal="left" vertical="center" wrapText="1"/>
    </xf>
    <xf numFmtId="0" fontId="34" fillId="0" borderId="1" xfId="151" applyFont="1" applyBorder="1" applyAlignment="1">
      <alignment horizontal="left" vertical="center" wrapText="1"/>
    </xf>
    <xf numFmtId="167" fontId="34" fillId="2" borderId="8" xfId="7" applyNumberFormat="1" applyFont="1" applyFill="1" applyBorder="1" applyAlignment="1">
      <alignment horizontal="center" vertical="center" wrapText="1"/>
    </xf>
    <xf numFmtId="167" fontId="34" fillId="2" borderId="7" xfId="7" applyNumberFormat="1" applyFont="1" applyFill="1" applyBorder="1" applyAlignment="1">
      <alignment horizontal="center" vertical="center" wrapText="1"/>
    </xf>
    <xf numFmtId="167" fontId="34" fillId="2" borderId="1" xfId="0" applyNumberFormat="1" applyFont="1" applyFill="1" applyBorder="1" applyAlignment="1">
      <alignment horizontal="center" vertical="center"/>
    </xf>
    <xf numFmtId="167" fontId="34" fillId="2" borderId="4" xfId="0" applyNumberFormat="1" applyFont="1" applyFill="1" applyBorder="1" applyAlignment="1">
      <alignment horizontal="center" vertical="center"/>
    </xf>
    <xf numFmtId="166" fontId="34" fillId="0" borderId="8" xfId="0" applyNumberFormat="1" applyFont="1" applyBorder="1" applyAlignment="1">
      <alignment horizontal="center" vertical="center"/>
    </xf>
    <xf numFmtId="166" fontId="34" fillId="0" borderId="7" xfId="0" applyNumberFormat="1" applyFont="1" applyBorder="1" applyAlignment="1">
      <alignment horizontal="center" vertical="center"/>
    </xf>
    <xf numFmtId="0" fontId="33" fillId="4" borderId="1" xfId="0" applyFont="1" applyFill="1" applyBorder="1" applyAlignment="1">
      <alignment horizontal="left"/>
    </xf>
    <xf numFmtId="169" fontId="34" fillId="2" borderId="8" xfId="0" applyNumberFormat="1" applyFont="1" applyFill="1" applyBorder="1" applyAlignment="1">
      <alignment horizontal="center" vertical="center"/>
    </xf>
    <xf numFmtId="169" fontId="34" fillId="2" borderId="7" xfId="0" applyNumberFormat="1" applyFont="1" applyFill="1" applyBorder="1" applyAlignment="1">
      <alignment horizontal="center" vertical="center"/>
    </xf>
    <xf numFmtId="0" fontId="34" fillId="2" borderId="8" xfId="151" applyFont="1" applyFill="1" applyBorder="1" applyAlignment="1">
      <alignment horizontal="left" vertical="center" wrapText="1"/>
    </xf>
    <xf numFmtId="0" fontId="34" fillId="2" borderId="7" xfId="151" applyFont="1" applyFill="1" applyBorder="1" applyAlignment="1">
      <alignment horizontal="left" vertical="center" wrapText="1"/>
    </xf>
    <xf numFmtId="167" fontId="34" fillId="2" borderId="2" xfId="0" applyNumberFormat="1" applyFont="1" applyFill="1" applyBorder="1" applyAlignment="1">
      <alignment horizontal="center" vertical="center"/>
    </xf>
    <xf numFmtId="185" fontId="34" fillId="2" borderId="8" xfId="7" applyNumberFormat="1" applyFont="1" applyFill="1" applyBorder="1" applyAlignment="1">
      <alignment horizontal="center" vertical="center"/>
    </xf>
    <xf numFmtId="185" fontId="34" fillId="2" borderId="7" xfId="7" applyNumberFormat="1" applyFont="1" applyFill="1" applyBorder="1" applyAlignment="1">
      <alignment horizontal="center" vertical="center"/>
    </xf>
    <xf numFmtId="0" fontId="37" fillId="3" borderId="4" xfId="0" applyFont="1" applyFill="1" applyBorder="1" applyAlignment="1">
      <alignment horizontal="left" vertical="center"/>
    </xf>
    <xf numFmtId="0" fontId="37" fillId="3" borderId="5" xfId="0" applyFont="1" applyFill="1" applyBorder="1" applyAlignment="1">
      <alignment horizontal="left" vertical="center"/>
    </xf>
    <xf numFmtId="0" fontId="37" fillId="3" borderId="6" xfId="0" applyFont="1" applyFill="1" applyBorder="1" applyAlignment="1">
      <alignment horizontal="left" vertical="center"/>
    </xf>
    <xf numFmtId="167" fontId="33" fillId="3" borderId="1" xfId="0" applyNumberFormat="1" applyFont="1" applyFill="1" applyBorder="1" applyAlignment="1">
      <alignment vertical="center"/>
    </xf>
    <xf numFmtId="0" fontId="29" fillId="31" borderId="1" xfId="0" applyFont="1" applyFill="1" applyBorder="1" applyAlignment="1">
      <alignment horizontal="left" vertical="center" wrapText="1"/>
    </xf>
    <xf numFmtId="168" fontId="34" fillId="0" borderId="8" xfId="0" applyNumberFormat="1" applyFont="1" applyBorder="1" applyAlignment="1">
      <alignment horizontal="center" vertical="center"/>
    </xf>
    <xf numFmtId="168" fontId="34" fillId="0" borderId="2" xfId="0" applyNumberFormat="1" applyFont="1" applyBorder="1" applyAlignment="1">
      <alignment horizontal="center" vertical="center"/>
    </xf>
    <xf numFmtId="168" fontId="34" fillId="0" borderId="7" xfId="0" applyNumberFormat="1" applyFont="1" applyBorder="1" applyAlignment="1">
      <alignment horizontal="center" vertical="center"/>
    </xf>
    <xf numFmtId="167" fontId="34" fillId="2" borderId="2" xfId="7" applyNumberFormat="1" applyFont="1" applyFill="1" applyBorder="1" applyAlignment="1">
      <alignment horizontal="center" vertical="center"/>
    </xf>
    <xf numFmtId="167" fontId="34" fillId="2" borderId="7" xfId="7" applyNumberFormat="1" applyFont="1" applyFill="1" applyBorder="1" applyAlignment="1">
      <alignment horizontal="center" vertical="center"/>
    </xf>
    <xf numFmtId="167" fontId="34" fillId="2" borderId="8" xfId="7" applyNumberFormat="1" applyFont="1" applyFill="1" applyBorder="1" applyAlignment="1">
      <alignment horizontal="center" vertical="center"/>
    </xf>
    <xf numFmtId="49" fontId="34" fillId="2" borderId="8" xfId="0" applyNumberFormat="1" applyFont="1" applyFill="1" applyBorder="1" applyAlignment="1">
      <alignment horizontal="center" vertical="center" wrapText="1"/>
    </xf>
    <xf numFmtId="49" fontId="34" fillId="2" borderId="7" xfId="0" applyNumberFormat="1" applyFont="1" applyFill="1" applyBorder="1" applyAlignment="1">
      <alignment horizontal="center" vertical="center" wrapText="1"/>
    </xf>
    <xf numFmtId="167" fontId="34" fillId="2" borderId="1" xfId="41" applyNumberFormat="1" applyFont="1" applyFill="1" applyBorder="1" applyAlignment="1">
      <alignment horizontal="center" vertical="center" wrapText="1"/>
    </xf>
    <xf numFmtId="0" fontId="29" fillId="2" borderId="1" xfId="0" applyFont="1" applyFill="1" applyBorder="1" applyAlignment="1">
      <alignment vertical="center" wrapText="1"/>
    </xf>
    <xf numFmtId="49" fontId="34" fillId="2" borderId="1" xfId="0" applyNumberFormat="1" applyFont="1" applyFill="1" applyBorder="1" applyAlignment="1">
      <alignment horizontal="center" vertical="center" wrapText="1"/>
    </xf>
    <xf numFmtId="49" fontId="33" fillId="2" borderId="1" xfId="0" applyNumberFormat="1" applyFont="1" applyFill="1" applyBorder="1" applyAlignment="1">
      <alignment horizontal="center" vertical="center" wrapText="1"/>
    </xf>
    <xf numFmtId="49" fontId="29" fillId="2" borderId="1" xfId="0" applyNumberFormat="1" applyFont="1" applyFill="1" applyBorder="1" applyAlignment="1">
      <alignment horizontal="left" vertical="center" wrapText="1"/>
    </xf>
    <xf numFmtId="49" fontId="33" fillId="2" borderId="8" xfId="0" applyNumberFormat="1" applyFont="1" applyFill="1" applyBorder="1" applyAlignment="1">
      <alignment horizontal="center" vertical="center" wrapText="1"/>
    </xf>
    <xf numFmtId="49" fontId="33" fillId="2" borderId="7" xfId="0" applyNumberFormat="1" applyFont="1" applyFill="1" applyBorder="1" applyAlignment="1">
      <alignment horizontal="center" vertical="center" wrapText="1"/>
    </xf>
    <xf numFmtId="49" fontId="29" fillId="2" borderId="1" xfId="0" applyNumberFormat="1" applyFont="1" applyFill="1" applyBorder="1" applyAlignment="1">
      <alignment horizontal="left" vertical="top" wrapText="1"/>
    </xf>
    <xf numFmtId="49" fontId="34" fillId="2" borderId="1" xfId="0" applyNumberFormat="1" applyFont="1" applyFill="1" applyBorder="1" applyAlignment="1">
      <alignment horizontal="center" vertical="center"/>
    </xf>
    <xf numFmtId="167" fontId="34" fillId="2" borderId="8" xfId="41" applyNumberFormat="1" applyFont="1" applyFill="1" applyBorder="1" applyAlignment="1">
      <alignment horizontal="center" vertical="center" wrapText="1"/>
    </xf>
    <xf numFmtId="167" fontId="34" fillId="2" borderId="7" xfId="41" applyNumberFormat="1" applyFont="1" applyFill="1" applyBorder="1" applyAlignment="1">
      <alignment horizontal="center" vertical="center" wrapText="1"/>
    </xf>
    <xf numFmtId="49" fontId="37" fillId="2" borderId="8" xfId="2" applyNumberFormat="1" applyFont="1" applyFill="1" applyBorder="1" applyAlignment="1">
      <alignment horizontal="center"/>
    </xf>
    <xf numFmtId="49" fontId="37" fillId="2" borderId="2" xfId="2" applyNumberFormat="1" applyFont="1" applyFill="1" applyBorder="1" applyAlignment="1">
      <alignment horizontal="center"/>
    </xf>
    <xf numFmtId="49" fontId="37" fillId="2" borderId="7" xfId="2" applyNumberFormat="1" applyFont="1" applyFill="1" applyBorder="1" applyAlignment="1">
      <alignment horizontal="center"/>
    </xf>
    <xf numFmtId="49" fontId="38" fillId="2" borderId="8" xfId="2" applyNumberFormat="1" applyFont="1" applyFill="1" applyBorder="1" applyAlignment="1">
      <alignment horizontal="center" vertical="center"/>
    </xf>
    <xf numFmtId="49" fontId="38" fillId="2" borderId="2" xfId="2" applyNumberFormat="1" applyFont="1" applyFill="1" applyBorder="1" applyAlignment="1">
      <alignment horizontal="center" vertical="center"/>
    </xf>
    <xf numFmtId="49" fontId="38" fillId="2" borderId="7" xfId="2" applyNumberFormat="1" applyFont="1" applyFill="1" applyBorder="1" applyAlignment="1">
      <alignment horizontal="center" vertical="center"/>
    </xf>
    <xf numFmtId="49" fontId="38" fillId="2" borderId="8" xfId="2" applyNumberFormat="1" applyFont="1" applyFill="1" applyBorder="1" applyAlignment="1">
      <alignment horizontal="center"/>
    </xf>
    <xf numFmtId="49" fontId="38" fillId="2" borderId="2" xfId="2" applyNumberFormat="1" applyFont="1" applyFill="1" applyBorder="1" applyAlignment="1">
      <alignment horizontal="center"/>
    </xf>
    <xf numFmtId="49" fontId="38" fillId="2" borderId="7" xfId="2" applyNumberFormat="1" applyFont="1" applyFill="1" applyBorder="1" applyAlignment="1">
      <alignment horizontal="center"/>
    </xf>
    <xf numFmtId="0" fontId="29" fillId="2" borderId="2" xfId="0" applyFont="1" applyFill="1" applyBorder="1" applyAlignment="1">
      <alignment vertical="center" wrapText="1"/>
    </xf>
    <xf numFmtId="167" fontId="29" fillId="2" borderId="8" xfId="2" applyNumberFormat="1" applyFont="1" applyFill="1" applyBorder="1" applyAlignment="1">
      <alignment horizontal="center" vertical="center" wrapText="1"/>
    </xf>
    <xf numFmtId="167" fontId="29" fillId="2" borderId="2" xfId="2" applyNumberFormat="1" applyFont="1" applyFill="1" applyBorder="1" applyAlignment="1">
      <alignment horizontal="center" vertical="center" wrapText="1"/>
    </xf>
    <xf numFmtId="167" fontId="29" fillId="2" borderId="7" xfId="2" applyNumberFormat="1" applyFont="1" applyFill="1" applyBorder="1" applyAlignment="1">
      <alignment horizontal="center" vertical="center" wrapText="1"/>
    </xf>
    <xf numFmtId="49" fontId="37" fillId="2" borderId="1" xfId="2" applyNumberFormat="1" applyFont="1" applyFill="1" applyBorder="1" applyAlignment="1">
      <alignment horizontal="center"/>
    </xf>
    <xf numFmtId="49" fontId="38" fillId="2" borderId="1" xfId="2" applyNumberFormat="1" applyFont="1" applyFill="1" applyBorder="1" applyAlignment="1">
      <alignment horizontal="center" vertical="center"/>
    </xf>
    <xf numFmtId="49" fontId="38" fillId="2" borderId="1" xfId="2" applyNumberFormat="1" applyFont="1" applyFill="1" applyBorder="1" applyAlignment="1">
      <alignment horizontal="center"/>
    </xf>
    <xf numFmtId="167" fontId="29" fillId="2" borderId="1" xfId="2" applyNumberFormat="1" applyFont="1" applyFill="1" applyBorder="1" applyAlignment="1">
      <alignment horizontal="center" vertical="center" wrapText="1"/>
    </xf>
    <xf numFmtId="49" fontId="37" fillId="2" borderId="1" xfId="2" applyNumberFormat="1" applyFont="1" applyFill="1" applyBorder="1" applyAlignment="1">
      <alignment horizontal="center" wrapText="1"/>
    </xf>
    <xf numFmtId="49" fontId="38" fillId="2" borderId="1" xfId="2" applyNumberFormat="1" applyFont="1" applyFill="1" applyBorder="1" applyAlignment="1">
      <alignment horizontal="center" wrapText="1"/>
    </xf>
    <xf numFmtId="49" fontId="33" fillId="2" borderId="1" xfId="2" applyNumberFormat="1" applyFont="1" applyFill="1" applyBorder="1" applyAlignment="1">
      <alignment horizontal="center"/>
    </xf>
    <xf numFmtId="49" fontId="34" fillId="2" borderId="1" xfId="2" applyNumberFormat="1" applyFont="1" applyFill="1" applyBorder="1" applyAlignment="1">
      <alignment horizontal="center" vertical="center"/>
    </xf>
    <xf numFmtId="49" fontId="34" fillId="2" borderId="1" xfId="2" applyNumberFormat="1" applyFont="1" applyFill="1" applyBorder="1" applyAlignment="1">
      <alignment horizontal="center"/>
    </xf>
    <xf numFmtId="0" fontId="34" fillId="2" borderId="8" xfId="0" applyFont="1" applyFill="1" applyBorder="1" applyAlignment="1">
      <alignment vertical="center" wrapText="1"/>
    </xf>
    <xf numFmtId="0" fontId="34" fillId="2" borderId="2" xfId="0" applyFont="1" applyFill="1" applyBorder="1" applyAlignment="1">
      <alignment vertical="center" wrapText="1"/>
    </xf>
    <xf numFmtId="0" fontId="34" fillId="2" borderId="7" xfId="0" applyFont="1" applyFill="1" applyBorder="1" applyAlignment="1">
      <alignment vertical="center" wrapText="1"/>
    </xf>
    <xf numFmtId="167" fontId="34" fillId="2" borderId="1" xfId="2" applyNumberFormat="1" applyFont="1" applyFill="1" applyBorder="1" applyAlignment="1">
      <alignment horizontal="center" vertical="center"/>
    </xf>
    <xf numFmtId="49" fontId="37" fillId="2" borderId="8" xfId="2" applyNumberFormat="1" applyFont="1" applyFill="1" applyBorder="1" applyAlignment="1">
      <alignment horizontal="center" vertical="center" wrapText="1"/>
    </xf>
    <xf numFmtId="49" fontId="37" fillId="2" borderId="2" xfId="2" applyNumberFormat="1" applyFont="1" applyFill="1" applyBorder="1" applyAlignment="1">
      <alignment horizontal="center" vertical="center" wrapText="1"/>
    </xf>
    <xf numFmtId="49" fontId="37" fillId="2" borderId="7" xfId="2" applyNumberFormat="1" applyFont="1" applyFill="1" applyBorder="1" applyAlignment="1">
      <alignment horizontal="center" vertical="center" wrapText="1"/>
    </xf>
    <xf numFmtId="49" fontId="38" fillId="2" borderId="8" xfId="2" applyNumberFormat="1" applyFont="1" applyFill="1" applyBorder="1" applyAlignment="1">
      <alignment horizontal="center" vertical="center" wrapText="1"/>
    </xf>
    <xf numFmtId="49" fontId="38" fillId="2" borderId="2" xfId="2" applyNumberFormat="1" applyFont="1" applyFill="1" applyBorder="1" applyAlignment="1">
      <alignment horizontal="center" vertical="center" wrapText="1"/>
    </xf>
    <xf numFmtId="49" fontId="38" fillId="2" borderId="7" xfId="2" applyNumberFormat="1" applyFont="1" applyFill="1" applyBorder="1" applyAlignment="1">
      <alignment horizontal="center" vertical="center" wrapText="1"/>
    </xf>
    <xf numFmtId="49" fontId="38" fillId="2" borderId="8" xfId="2" applyNumberFormat="1" applyFont="1" applyFill="1" applyBorder="1" applyAlignment="1">
      <alignment horizontal="center" wrapText="1"/>
    </xf>
    <xf numFmtId="49" fontId="38" fillId="2" borderId="2" xfId="2" applyNumberFormat="1" applyFont="1" applyFill="1" applyBorder="1" applyAlignment="1">
      <alignment horizontal="center" wrapText="1"/>
    </xf>
    <xf numFmtId="49" fontId="38" fillId="2" borderId="7" xfId="2" applyNumberFormat="1" applyFont="1" applyFill="1" applyBorder="1" applyAlignment="1">
      <alignment horizontal="center" wrapText="1"/>
    </xf>
    <xf numFmtId="167" fontId="38" fillId="2" borderId="8" xfId="2" applyNumberFormat="1" applyFont="1" applyFill="1" applyBorder="1" applyAlignment="1">
      <alignment horizontal="center" vertical="center" wrapText="1"/>
    </xf>
    <xf numFmtId="167" fontId="38" fillId="2" borderId="2" xfId="2" applyNumberFormat="1" applyFont="1" applyFill="1" applyBorder="1" applyAlignment="1">
      <alignment horizontal="center" vertical="center" wrapText="1"/>
    </xf>
    <xf numFmtId="167" fontId="38" fillId="2" borderId="7" xfId="2" applyNumberFormat="1" applyFont="1" applyFill="1" applyBorder="1" applyAlignment="1">
      <alignment horizontal="center" vertical="center" wrapText="1"/>
    </xf>
    <xf numFmtId="170" fontId="38" fillId="2" borderId="8" xfId="0" applyNumberFormat="1" applyFont="1" applyFill="1" applyBorder="1" applyAlignment="1">
      <alignment vertical="center" wrapText="1"/>
    </xf>
    <xf numFmtId="170" fontId="38" fillId="2" borderId="2" xfId="0" applyNumberFormat="1" applyFont="1" applyFill="1" applyBorder="1" applyAlignment="1">
      <alignment vertical="center" wrapText="1"/>
    </xf>
    <xf numFmtId="170" fontId="38" fillId="2" borderId="7" xfId="0" applyNumberFormat="1" applyFont="1" applyFill="1" applyBorder="1" applyAlignment="1">
      <alignment vertical="center" wrapText="1"/>
    </xf>
    <xf numFmtId="0" fontId="29" fillId="2" borderId="8" xfId="2" applyFont="1" applyFill="1" applyBorder="1" applyAlignment="1">
      <alignment horizontal="center" vertical="center" wrapText="1"/>
    </xf>
    <xf numFmtId="0" fontId="29" fillId="2" borderId="7" xfId="2" applyFont="1" applyFill="1" applyBorder="1" applyAlignment="1">
      <alignment horizontal="center" vertical="center" wrapText="1"/>
    </xf>
    <xf numFmtId="166" fontId="29" fillId="2" borderId="8" xfId="2" applyNumberFormat="1" applyFont="1" applyFill="1" applyBorder="1" applyAlignment="1">
      <alignment horizontal="center" vertical="center" wrapText="1"/>
    </xf>
    <xf numFmtId="166" fontId="29" fillId="2" borderId="7" xfId="2" applyNumberFormat="1" applyFont="1" applyFill="1" applyBorder="1" applyAlignment="1">
      <alignment horizontal="center" vertical="center" wrapText="1"/>
    </xf>
    <xf numFmtId="0" fontId="37" fillId="2" borderId="8" xfId="2" applyFont="1" applyFill="1" applyBorder="1" applyAlignment="1">
      <alignment horizontal="center" vertical="center" wrapText="1"/>
    </xf>
    <xf numFmtId="0" fontId="37" fillId="2" borderId="2" xfId="2" applyFont="1" applyFill="1" applyBorder="1" applyAlignment="1">
      <alignment horizontal="center" vertical="center" wrapText="1"/>
    </xf>
    <xf numFmtId="0" fontId="37" fillId="2" borderId="7" xfId="2" applyFont="1" applyFill="1" applyBorder="1" applyAlignment="1">
      <alignment horizontal="center" vertical="center" wrapText="1"/>
    </xf>
    <xf numFmtId="169" fontId="38" fillId="2" borderId="8" xfId="2" applyNumberFormat="1" applyFont="1" applyFill="1" applyBorder="1" applyAlignment="1">
      <alignment horizontal="center" vertical="center"/>
    </xf>
    <xf numFmtId="169" fontId="38" fillId="2" borderId="2" xfId="2" applyNumberFormat="1" applyFont="1" applyFill="1" applyBorder="1" applyAlignment="1">
      <alignment horizontal="center" vertical="center"/>
    </xf>
    <xf numFmtId="169" fontId="38" fillId="2" borderId="7" xfId="2" applyNumberFormat="1" applyFont="1" applyFill="1" applyBorder="1" applyAlignment="1">
      <alignment horizontal="center" vertical="center"/>
    </xf>
    <xf numFmtId="0" fontId="38" fillId="2" borderId="8" xfId="2" applyFont="1" applyFill="1" applyBorder="1" applyAlignment="1">
      <alignment horizontal="center" vertical="center"/>
    </xf>
    <xf numFmtId="0" fontId="38" fillId="2" borderId="2" xfId="2" applyFont="1" applyFill="1" applyBorder="1" applyAlignment="1">
      <alignment horizontal="center" vertical="center"/>
    </xf>
    <xf numFmtId="0" fontId="38" fillId="2" borderId="7" xfId="2" applyFont="1" applyFill="1" applyBorder="1" applyAlignment="1">
      <alignment horizontal="center" vertical="center"/>
    </xf>
    <xf numFmtId="0" fontId="38" fillId="2" borderId="8" xfId="2" applyFont="1" applyFill="1" applyBorder="1" applyAlignment="1">
      <alignment vertical="center" wrapText="1"/>
    </xf>
    <xf numFmtId="0" fontId="38" fillId="2" borderId="2" xfId="2" applyFont="1" applyFill="1" applyBorder="1" applyAlignment="1">
      <alignment vertical="center" wrapText="1"/>
    </xf>
    <xf numFmtId="0" fontId="38" fillId="2" borderId="7" xfId="2" applyFont="1" applyFill="1" applyBorder="1" applyAlignment="1">
      <alignment vertical="center" wrapText="1"/>
    </xf>
    <xf numFmtId="168" fontId="37" fillId="2" borderId="8" xfId="2" applyNumberFormat="1" applyFont="1" applyFill="1" applyBorder="1" applyAlignment="1">
      <alignment horizontal="center" vertical="center"/>
    </xf>
    <xf numFmtId="168" fontId="37" fillId="2" borderId="7" xfId="2" applyNumberFormat="1" applyFont="1" applyFill="1" applyBorder="1" applyAlignment="1">
      <alignment horizontal="center" vertical="center"/>
    </xf>
    <xf numFmtId="0" fontId="38" fillId="2" borderId="8" xfId="2" applyFont="1" applyFill="1" applyBorder="1" applyAlignment="1">
      <alignment horizontal="center"/>
    </xf>
    <xf numFmtId="0" fontId="38" fillId="2" borderId="7" xfId="2" applyFont="1" applyFill="1" applyBorder="1" applyAlignment="1">
      <alignment horizontal="center"/>
    </xf>
    <xf numFmtId="0" fontId="33" fillId="3" borderId="1" xfId="0" applyFont="1" applyFill="1" applyBorder="1" applyAlignment="1">
      <alignment vertical="center"/>
    </xf>
    <xf numFmtId="0" fontId="33" fillId="3" borderId="35" xfId="0" applyFont="1" applyFill="1" applyBorder="1" applyAlignment="1">
      <alignment vertical="center" wrapText="1"/>
    </xf>
    <xf numFmtId="0" fontId="33" fillId="3" borderId="2" xfId="0" applyFont="1" applyFill="1" applyBorder="1" applyAlignment="1">
      <alignment vertical="center"/>
    </xf>
    <xf numFmtId="168" fontId="29" fillId="2" borderId="1" xfId="0" applyNumberFormat="1" applyFont="1" applyFill="1" applyBorder="1" applyAlignment="1">
      <alignment horizontal="center" vertical="center" wrapText="1"/>
    </xf>
    <xf numFmtId="49" fontId="29" fillId="2" borderId="1" xfId="0" applyNumberFormat="1" applyFont="1" applyFill="1" applyBorder="1" applyAlignment="1">
      <alignment horizontal="center" vertical="center" wrapText="1"/>
    </xf>
    <xf numFmtId="0" fontId="29" fillId="2" borderId="2" xfId="0" applyFont="1" applyFill="1" applyBorder="1" applyAlignment="1">
      <alignment horizontal="left" vertical="center" wrapText="1"/>
    </xf>
    <xf numFmtId="168" fontId="30" fillId="2" borderId="1" xfId="0" applyNumberFormat="1" applyFont="1" applyFill="1" applyBorder="1" applyAlignment="1">
      <alignment horizontal="center" vertical="center" wrapText="1"/>
    </xf>
    <xf numFmtId="167" fontId="30" fillId="2" borderId="1" xfId="0" applyNumberFormat="1" applyFont="1" applyFill="1" applyBorder="1" applyAlignment="1">
      <alignment horizontal="center" vertical="center" wrapText="1"/>
    </xf>
    <xf numFmtId="0" fontId="42" fillId="2" borderId="1" xfId="0" applyFont="1" applyFill="1" applyBorder="1" applyAlignment="1">
      <alignment horizontal="center" vertical="top" wrapText="1"/>
    </xf>
    <xf numFmtId="9" fontId="42" fillId="2" borderId="1" xfId="0" applyNumberFormat="1" applyFont="1" applyFill="1" applyBorder="1" applyAlignment="1">
      <alignment horizontal="center" vertical="center" wrapText="1"/>
    </xf>
    <xf numFmtId="167" fontId="34" fillId="2" borderId="1" xfId="0" applyNumberFormat="1" applyFont="1" applyFill="1" applyBorder="1"/>
    <xf numFmtId="0" fontId="44" fillId="3" borderId="1" xfId="0" applyFont="1" applyFill="1" applyBorder="1" applyAlignment="1">
      <alignment horizontal="left" wrapText="1"/>
    </xf>
    <xf numFmtId="0" fontId="30" fillId="4" borderId="11" xfId="0" applyFont="1" applyFill="1" applyBorder="1" applyAlignment="1">
      <alignment horizontal="left" vertical="center" wrapText="1"/>
    </xf>
    <xf numFmtId="0" fontId="30" fillId="4" borderId="34" xfId="0" applyFont="1" applyFill="1" applyBorder="1" applyAlignment="1">
      <alignment horizontal="left" vertical="center" wrapText="1"/>
    </xf>
    <xf numFmtId="49" fontId="44" fillId="2" borderId="8" xfId="0" applyNumberFormat="1" applyFont="1" applyFill="1" applyBorder="1" applyAlignment="1">
      <alignment horizontal="center" vertical="center" wrapText="1"/>
    </xf>
    <xf numFmtId="49" fontId="44" fillId="2" borderId="7" xfId="0" applyNumberFormat="1" applyFont="1" applyFill="1" applyBorder="1" applyAlignment="1">
      <alignment horizontal="center" vertical="center" wrapText="1"/>
    </xf>
    <xf numFmtId="49" fontId="42" fillId="2" borderId="1" xfId="0" applyNumberFormat="1" applyFont="1" applyFill="1" applyBorder="1" applyAlignment="1">
      <alignment vertical="top" wrapText="1"/>
    </xf>
    <xf numFmtId="49" fontId="42" fillId="2" borderId="4" xfId="0" applyNumberFormat="1" applyFont="1" applyFill="1" applyBorder="1" applyAlignment="1">
      <alignment vertical="top" wrapText="1"/>
    </xf>
    <xf numFmtId="167" fontId="44" fillId="2" borderId="1" xfId="0" applyNumberFormat="1" applyFont="1" applyFill="1" applyBorder="1" applyAlignment="1">
      <alignment horizontal="center" vertical="center" wrapText="1"/>
    </xf>
    <xf numFmtId="49" fontId="33" fillId="2" borderId="13" xfId="0" applyNumberFormat="1" applyFont="1" applyFill="1" applyBorder="1" applyAlignment="1">
      <alignment horizontal="center" vertical="center"/>
    </xf>
    <xf numFmtId="0" fontId="34" fillId="2" borderId="9" xfId="0" applyFont="1" applyFill="1" applyBorder="1" applyAlignment="1">
      <alignment horizontal="center" vertical="center"/>
    </xf>
    <xf numFmtId="0" fontId="30" fillId="2" borderId="8" xfId="0" applyFont="1" applyFill="1" applyBorder="1" applyAlignment="1">
      <alignment horizontal="left" vertical="center" wrapText="1"/>
    </xf>
    <xf numFmtId="0" fontId="30" fillId="2" borderId="7" xfId="0" applyFont="1" applyFill="1" applyBorder="1" applyAlignment="1">
      <alignment horizontal="left" vertical="center" wrapText="1"/>
    </xf>
    <xf numFmtId="167" fontId="33" fillId="2" borderId="8" xfId="0" applyNumberFormat="1" applyFont="1" applyFill="1" applyBorder="1" applyAlignment="1">
      <alignment horizontal="center" vertical="center" wrapText="1"/>
    </xf>
    <xf numFmtId="0" fontId="33" fillId="2" borderId="13" xfId="0" applyNumberFormat="1" applyFont="1" applyFill="1" applyBorder="1" applyAlignment="1">
      <alignment horizontal="center" vertical="center"/>
    </xf>
    <xf numFmtId="168" fontId="33" fillId="2" borderId="8" xfId="0" applyNumberFormat="1" applyFont="1" applyFill="1" applyBorder="1" applyAlignment="1">
      <alignment horizontal="center" vertical="center"/>
    </xf>
    <xf numFmtId="168" fontId="33" fillId="2" borderId="2" xfId="0" applyNumberFormat="1" applyFont="1" applyFill="1" applyBorder="1" applyAlignment="1">
      <alignment horizontal="center" vertical="center"/>
    </xf>
    <xf numFmtId="169" fontId="34" fillId="2" borderId="2" xfId="0" applyNumberFormat="1" applyFont="1" applyFill="1" applyBorder="1" applyAlignment="1">
      <alignment horizontal="center" vertical="center"/>
    </xf>
    <xf numFmtId="0" fontId="33" fillId="3" borderId="35" xfId="0" applyFont="1" applyFill="1" applyBorder="1" applyAlignment="1">
      <alignment vertical="center"/>
    </xf>
    <xf numFmtId="167" fontId="33" fillId="3" borderId="2" xfId="0" applyNumberFormat="1" applyFont="1" applyFill="1" applyBorder="1"/>
    <xf numFmtId="167" fontId="33" fillId="3" borderId="43" xfId="0" applyNumberFormat="1" applyFont="1" applyFill="1" applyBorder="1"/>
    <xf numFmtId="49" fontId="34" fillId="2" borderId="8" xfId="0" applyNumberFormat="1" applyFont="1" applyFill="1" applyBorder="1" applyAlignment="1">
      <alignment vertical="center"/>
    </xf>
    <xf numFmtId="0" fontId="33" fillId="3" borderId="38" xfId="0" applyFont="1" applyFill="1" applyBorder="1" applyAlignment="1">
      <alignment vertical="center"/>
    </xf>
    <xf numFmtId="0" fontId="33" fillId="3" borderId="39" xfId="0" applyFont="1" applyFill="1" applyBorder="1" applyAlignment="1">
      <alignment vertical="center"/>
    </xf>
    <xf numFmtId="0" fontId="33" fillId="3" borderId="40" xfId="0" applyFont="1" applyFill="1" applyBorder="1" applyAlignment="1">
      <alignment vertical="center"/>
    </xf>
    <xf numFmtId="167" fontId="33" fillId="3" borderId="24" xfId="0" applyNumberFormat="1" applyFont="1" applyFill="1" applyBorder="1"/>
    <xf numFmtId="167" fontId="33" fillId="3" borderId="41" xfId="0" applyNumberFormat="1" applyFont="1" applyFill="1" applyBorder="1"/>
    <xf numFmtId="167" fontId="33" fillId="3" borderId="42" xfId="0" applyNumberFormat="1" applyFont="1" applyFill="1" applyBorder="1"/>
    <xf numFmtId="49" fontId="33" fillId="2" borderId="1" xfId="0" applyNumberFormat="1" applyFont="1" applyFill="1" applyBorder="1" applyAlignment="1">
      <alignment horizontal="center" vertical="center"/>
    </xf>
    <xf numFmtId="49" fontId="34" fillId="2" borderId="1" xfId="0" applyNumberFormat="1" applyFont="1" applyFill="1" applyBorder="1" applyAlignment="1">
      <alignment vertical="center"/>
    </xf>
    <xf numFmtId="0" fontId="46" fillId="2" borderId="8" xfId="0" applyFont="1" applyFill="1" applyBorder="1" applyAlignment="1">
      <alignment vertical="center" wrapText="1"/>
    </xf>
    <xf numFmtId="0" fontId="46" fillId="2" borderId="7" xfId="0" applyFont="1" applyFill="1" applyBorder="1" applyAlignment="1">
      <alignment vertical="center" wrapText="1"/>
    </xf>
    <xf numFmtId="0" fontId="33" fillId="2" borderId="8" xfId="0" applyFont="1" applyFill="1" applyBorder="1" applyAlignment="1">
      <alignment horizontal="left" vertical="center" wrapText="1"/>
    </xf>
    <xf numFmtId="0" fontId="33" fillId="2" borderId="7" xfId="0" applyFont="1" applyFill="1" applyBorder="1" applyAlignment="1">
      <alignment horizontal="left" vertical="center" wrapText="1"/>
    </xf>
    <xf numFmtId="0" fontId="38" fillId="2" borderId="8" xfId="0" applyFont="1" applyFill="1" applyBorder="1" applyAlignment="1">
      <alignment horizontal="left" vertical="center" wrapText="1"/>
    </xf>
    <xf numFmtId="0" fontId="38" fillId="2" borderId="7" xfId="0" applyFont="1" applyFill="1" applyBorder="1" applyAlignment="1">
      <alignment horizontal="left" vertical="center" wrapText="1"/>
    </xf>
    <xf numFmtId="49" fontId="33" fillId="2" borderId="8" xfId="0" applyNumberFormat="1" applyFont="1" applyFill="1" applyBorder="1" applyAlignment="1">
      <alignment vertical="center"/>
    </xf>
    <xf numFmtId="49" fontId="33" fillId="2" borderId="7" xfId="0" applyNumberFormat="1" applyFont="1" applyFill="1" applyBorder="1" applyAlignment="1">
      <alignment vertical="center"/>
    </xf>
    <xf numFmtId="49" fontId="34" fillId="2" borderId="7" xfId="0" applyNumberFormat="1" applyFont="1" applyFill="1" applyBorder="1" applyAlignment="1">
      <alignment vertical="center"/>
    </xf>
    <xf numFmtId="0" fontId="38" fillId="2" borderId="1" xfId="0" applyFont="1" applyFill="1" applyBorder="1" applyAlignment="1">
      <alignment horizontal="left" vertical="center" wrapText="1"/>
    </xf>
    <xf numFmtId="166" fontId="34" fillId="2" borderId="8" xfId="0" applyNumberFormat="1" applyFont="1" applyFill="1" applyBorder="1" applyAlignment="1">
      <alignment horizontal="center" vertical="center" wrapText="1"/>
    </xf>
    <xf numFmtId="166" fontId="34" fillId="2" borderId="7" xfId="0" applyNumberFormat="1" applyFont="1" applyFill="1" applyBorder="1" applyAlignment="1">
      <alignment horizontal="center" vertical="center" wrapText="1"/>
    </xf>
    <xf numFmtId="0" fontId="34" fillId="2" borderId="1" xfId="0" applyFont="1" applyFill="1" applyBorder="1" applyAlignment="1">
      <alignment vertical="center" wrapText="1"/>
    </xf>
    <xf numFmtId="0" fontId="38" fillId="2" borderId="8" xfId="0" applyFont="1" applyFill="1" applyBorder="1" applyAlignment="1">
      <alignment vertical="center" wrapText="1"/>
    </xf>
    <xf numFmtId="0" fontId="38" fillId="2" borderId="7" xfId="0" applyFont="1" applyFill="1" applyBorder="1" applyAlignment="1">
      <alignment vertical="center" wrapText="1"/>
    </xf>
    <xf numFmtId="49" fontId="38" fillId="2" borderId="1" xfId="0" applyNumberFormat="1" applyFont="1" applyFill="1" applyBorder="1" applyAlignment="1">
      <alignment horizontal="center" vertical="center"/>
    </xf>
    <xf numFmtId="167" fontId="38" fillId="2" borderId="8" xfId="0" applyNumberFormat="1" applyFont="1" applyFill="1" applyBorder="1" applyAlignment="1">
      <alignment horizontal="center" vertical="center" wrapText="1"/>
    </xf>
    <xf numFmtId="167" fontId="38" fillId="2" borderId="7" xfId="0" applyNumberFormat="1" applyFont="1" applyFill="1" applyBorder="1" applyAlignment="1">
      <alignment horizontal="center" vertical="center" wrapText="1"/>
    </xf>
    <xf numFmtId="0" fontId="38" fillId="2" borderId="2" xfId="0" applyFont="1" applyFill="1" applyBorder="1" applyAlignment="1">
      <alignment vertical="center" wrapText="1"/>
    </xf>
    <xf numFmtId="167" fontId="38" fillId="2" borderId="2" xfId="0" applyNumberFormat="1" applyFont="1" applyFill="1" applyBorder="1" applyAlignment="1">
      <alignment horizontal="center" vertical="center" wrapText="1"/>
    </xf>
    <xf numFmtId="167" fontId="29" fillId="2" borderId="2" xfId="0" applyNumberFormat="1" applyFont="1" applyFill="1" applyBorder="1" applyAlignment="1">
      <alignment horizontal="center" vertical="center" wrapText="1"/>
    </xf>
    <xf numFmtId="49" fontId="37" fillId="2" borderId="1" xfId="0" applyNumberFormat="1" applyFont="1" applyFill="1" applyBorder="1" applyAlignment="1">
      <alignment horizontal="center" vertical="center"/>
    </xf>
    <xf numFmtId="0" fontId="30" fillId="2" borderId="2" xfId="0" applyFont="1" applyFill="1" applyBorder="1" applyAlignment="1">
      <alignment horizontal="left" vertical="center" wrapText="1"/>
    </xf>
    <xf numFmtId="167" fontId="37" fillId="2" borderId="1" xfId="0" applyNumberFormat="1" applyFont="1" applyFill="1" applyBorder="1" applyAlignment="1">
      <alignment horizontal="center" vertical="center" wrapText="1"/>
    </xf>
    <xf numFmtId="0" fontId="38" fillId="2" borderId="2" xfId="0" applyFont="1" applyFill="1" applyBorder="1" applyAlignment="1">
      <alignment horizontal="left" vertical="center" wrapText="1"/>
    </xf>
    <xf numFmtId="167" fontId="38" fillId="2" borderId="1" xfId="0" applyNumberFormat="1" applyFont="1" applyFill="1" applyBorder="1" applyAlignment="1">
      <alignment horizontal="center" vertical="center" wrapText="1"/>
    </xf>
    <xf numFmtId="49" fontId="37" fillId="2" borderId="8" xfId="0" applyNumberFormat="1" applyFont="1" applyFill="1" applyBorder="1" applyAlignment="1">
      <alignment horizontal="center" vertical="center"/>
    </xf>
    <xf numFmtId="49" fontId="37" fillId="2" borderId="2" xfId="0" applyNumberFormat="1" applyFont="1" applyFill="1" applyBorder="1" applyAlignment="1">
      <alignment horizontal="center" vertical="center"/>
    </xf>
    <xf numFmtId="49" fontId="37" fillId="2" borderId="7" xfId="0" applyNumberFormat="1" applyFont="1" applyFill="1" applyBorder="1" applyAlignment="1">
      <alignment horizontal="center" vertical="center"/>
    </xf>
    <xf numFmtId="49" fontId="38" fillId="2" borderId="8" xfId="0" applyNumberFormat="1" applyFont="1" applyFill="1" applyBorder="1" applyAlignment="1">
      <alignment horizontal="center" vertical="center"/>
    </xf>
    <xf numFmtId="49" fontId="38" fillId="2" borderId="2" xfId="0" applyNumberFormat="1" applyFont="1" applyFill="1" applyBorder="1" applyAlignment="1">
      <alignment horizontal="center" vertical="center"/>
    </xf>
    <xf numFmtId="49" fontId="38" fillId="2" borderId="7" xfId="0" applyNumberFormat="1" applyFont="1" applyFill="1" applyBorder="1" applyAlignment="1">
      <alignment horizontal="center" vertical="center"/>
    </xf>
    <xf numFmtId="167" fontId="38" fillId="2" borderId="8" xfId="0" applyNumberFormat="1" applyFont="1" applyFill="1" applyBorder="1" applyAlignment="1">
      <alignment horizontal="left" vertical="center" wrapText="1"/>
    </xf>
    <xf numFmtId="167" fontId="38" fillId="2" borderId="2" xfId="0" applyNumberFormat="1" applyFont="1" applyFill="1" applyBorder="1" applyAlignment="1">
      <alignment horizontal="left" vertical="center" wrapText="1"/>
    </xf>
    <xf numFmtId="0" fontId="38" fillId="2" borderId="8"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8" xfId="0" applyFont="1" applyFill="1" applyBorder="1" applyAlignment="1">
      <alignment horizontal="center" vertical="center"/>
    </xf>
    <xf numFmtId="0" fontId="38" fillId="2" borderId="7" xfId="0" applyFont="1" applyFill="1" applyBorder="1" applyAlignment="1">
      <alignment horizontal="center" vertical="center"/>
    </xf>
    <xf numFmtId="0" fontId="29" fillId="2" borderId="1" xfId="2" applyFont="1" applyFill="1" applyBorder="1" applyAlignment="1">
      <alignment horizontal="left" vertical="center" wrapText="1"/>
    </xf>
    <xf numFmtId="0" fontId="29" fillId="31" borderId="7" xfId="0" applyFont="1" applyFill="1" applyBorder="1" applyAlignment="1">
      <alignment horizontal="left" vertical="center" wrapText="1"/>
    </xf>
    <xf numFmtId="167" fontId="33" fillId="3" borderId="1" xfId="0" applyNumberFormat="1" applyFont="1" applyFill="1" applyBorder="1" applyAlignment="1">
      <alignment horizontal="left"/>
    </xf>
    <xf numFmtId="0" fontId="37" fillId="3" borderId="1" xfId="0" applyFont="1" applyFill="1" applyBorder="1" applyAlignment="1">
      <alignment vertical="center"/>
    </xf>
    <xf numFmtId="167" fontId="37" fillId="3" borderId="1" xfId="0" applyNumberFormat="1" applyFont="1" applyFill="1" applyBorder="1"/>
    <xf numFmtId="0" fontId="30" fillId="2" borderId="2" xfId="0" applyFont="1" applyFill="1" applyBorder="1" applyAlignment="1">
      <alignment horizontal="center" vertical="center" wrapText="1"/>
    </xf>
    <xf numFmtId="0" fontId="29" fillId="2" borderId="2" xfId="0" applyFont="1" applyFill="1" applyBorder="1" applyAlignment="1">
      <alignment horizontal="center" vertical="center" wrapText="1"/>
    </xf>
    <xf numFmtId="0" fontId="29" fillId="2" borderId="8" xfId="0" applyFont="1" applyFill="1" applyBorder="1" applyAlignment="1">
      <alignment horizontal="right" vertical="center"/>
    </xf>
    <xf numFmtId="0" fontId="29" fillId="2" borderId="7" xfId="0" applyFont="1" applyFill="1" applyBorder="1" applyAlignment="1">
      <alignment horizontal="right" vertical="center"/>
    </xf>
    <xf numFmtId="0" fontId="30" fillId="3" borderId="4" xfId="0" applyFont="1" applyFill="1" applyBorder="1" applyAlignment="1">
      <alignment horizontal="left" vertical="center"/>
    </xf>
    <xf numFmtId="0" fontId="30" fillId="3" borderId="5" xfId="0" applyFont="1" applyFill="1" applyBorder="1" applyAlignment="1">
      <alignment horizontal="left" vertical="center"/>
    </xf>
    <xf numFmtId="0" fontId="30" fillId="3" borderId="6" xfId="0" applyFont="1" applyFill="1" applyBorder="1" applyAlignment="1">
      <alignment horizontal="left" vertical="center"/>
    </xf>
    <xf numFmtId="167" fontId="30" fillId="3" borderId="1" xfId="0" applyNumberFormat="1" applyFont="1" applyFill="1" applyBorder="1"/>
    <xf numFmtId="49" fontId="30" fillId="2" borderId="8" xfId="0" applyNumberFormat="1" applyFont="1" applyFill="1" applyBorder="1" applyAlignment="1">
      <alignment horizontal="center" vertical="center"/>
    </xf>
    <xf numFmtId="49" fontId="30" fillId="2" borderId="2" xfId="0" applyNumberFormat="1" applyFont="1" applyFill="1" applyBorder="1" applyAlignment="1">
      <alignment horizontal="center" vertical="center"/>
    </xf>
    <xf numFmtId="49" fontId="30" fillId="2" borderId="7" xfId="0" applyNumberFormat="1" applyFont="1" applyFill="1" applyBorder="1" applyAlignment="1">
      <alignment horizontal="center" vertical="center"/>
    </xf>
    <xf numFmtId="49" fontId="29" fillId="2" borderId="2" xfId="0" applyNumberFormat="1" applyFont="1" applyFill="1" applyBorder="1" applyAlignment="1">
      <alignment horizontal="center" vertical="center"/>
    </xf>
    <xf numFmtId="167" fontId="34" fillId="3" borderId="1" xfId="0" applyNumberFormat="1" applyFont="1" applyFill="1" applyBorder="1" applyAlignment="1">
      <alignment horizontal="center"/>
    </xf>
    <xf numFmtId="49" fontId="34" fillId="2" borderId="2" xfId="0" applyNumberFormat="1" applyFont="1" applyFill="1" applyBorder="1" applyAlignment="1">
      <alignment horizontal="center" vertical="center" wrapText="1"/>
    </xf>
    <xf numFmtId="0" fontId="33" fillId="2" borderId="13" xfId="0" applyFont="1" applyFill="1" applyBorder="1" applyAlignment="1">
      <alignment horizontal="left" vertical="center" wrapText="1"/>
    </xf>
    <xf numFmtId="0" fontId="33" fillId="2" borderId="29" xfId="0" applyFont="1" applyFill="1" applyBorder="1" applyAlignment="1">
      <alignment horizontal="left" vertical="center" wrapText="1"/>
    </xf>
    <xf numFmtId="0" fontId="33" fillId="2" borderId="9" xfId="0" applyFont="1" applyFill="1" applyBorder="1" applyAlignment="1">
      <alignment horizontal="left" vertical="center" wrapText="1"/>
    </xf>
    <xf numFmtId="167" fontId="30" fillId="2" borderId="8" xfId="0" applyNumberFormat="1" applyFont="1" applyFill="1" applyBorder="1" applyAlignment="1">
      <alignment horizontal="center" vertical="center" wrapText="1"/>
    </xf>
    <xf numFmtId="167" fontId="30" fillId="2" borderId="2" xfId="0" applyNumberFormat="1" applyFont="1" applyFill="1" applyBorder="1" applyAlignment="1">
      <alignment horizontal="center" vertical="center" wrapText="1"/>
    </xf>
    <xf numFmtId="167" fontId="30" fillId="2" borderId="7" xfId="0" applyNumberFormat="1" applyFont="1" applyFill="1" applyBorder="1" applyAlignment="1">
      <alignment horizontal="center" vertical="center" wrapText="1"/>
    </xf>
    <xf numFmtId="0" fontId="34" fillId="2" borderId="6" xfId="0" applyFont="1" applyFill="1" applyBorder="1" applyAlignment="1">
      <alignment horizontal="center" vertical="center" wrapText="1"/>
    </xf>
    <xf numFmtId="167" fontId="29" fillId="2" borderId="8" xfId="0" applyNumberFormat="1" applyFont="1" applyFill="1" applyBorder="1" applyAlignment="1">
      <alignment horizontal="center" vertical="center"/>
    </xf>
    <xf numFmtId="167" fontId="29" fillId="2" borderId="7" xfId="0" applyNumberFormat="1" applyFont="1" applyFill="1" applyBorder="1" applyAlignment="1">
      <alignment horizontal="center" vertical="center"/>
    </xf>
    <xf numFmtId="167" fontId="29" fillId="2" borderId="2" xfId="0" applyNumberFormat="1" applyFont="1" applyFill="1" applyBorder="1" applyAlignment="1">
      <alignment horizontal="center" vertical="center"/>
    </xf>
    <xf numFmtId="49" fontId="34" fillId="2" borderId="8" xfId="0" applyNumberFormat="1" applyFont="1" applyFill="1" applyBorder="1" applyAlignment="1">
      <alignment horizontal="left" vertical="center"/>
    </xf>
    <xf numFmtId="49" fontId="34" fillId="2" borderId="2" xfId="0" applyNumberFormat="1" applyFont="1" applyFill="1" applyBorder="1" applyAlignment="1">
      <alignment horizontal="left" vertical="center"/>
    </xf>
    <xf numFmtId="49" fontId="34" fillId="2" borderId="7" xfId="0" applyNumberFormat="1" applyFont="1" applyFill="1" applyBorder="1" applyAlignment="1">
      <alignment horizontal="left" vertical="center"/>
    </xf>
    <xf numFmtId="167" fontId="34" fillId="2" borderId="11" xfId="0" applyNumberFormat="1" applyFont="1" applyFill="1" applyBorder="1" applyAlignment="1">
      <alignment horizontal="center" vertical="center" wrapText="1"/>
    </xf>
    <xf numFmtId="167" fontId="34" fillId="2" borderId="34" xfId="0" applyNumberFormat="1" applyFont="1" applyFill="1" applyBorder="1" applyAlignment="1">
      <alignment horizontal="center" vertical="center" wrapText="1"/>
    </xf>
    <xf numFmtId="167" fontId="34" fillId="2" borderId="13" xfId="0" applyNumberFormat="1" applyFont="1" applyFill="1" applyBorder="1" applyAlignment="1">
      <alignment horizontal="center" vertical="center" wrapText="1"/>
    </xf>
    <xf numFmtId="167" fontId="34" fillId="2" borderId="3" xfId="0" applyNumberFormat="1" applyFont="1" applyFill="1" applyBorder="1" applyAlignment="1">
      <alignment horizontal="center" vertical="center" wrapText="1"/>
    </xf>
    <xf numFmtId="167" fontId="34" fillId="2" borderId="0" xfId="0" applyNumberFormat="1" applyFont="1" applyFill="1" applyBorder="1" applyAlignment="1">
      <alignment horizontal="center" vertical="center" wrapText="1"/>
    </xf>
    <xf numFmtId="167" fontId="34" fillId="2" borderId="29" xfId="0" applyNumberFormat="1" applyFont="1" applyFill="1" applyBorder="1" applyAlignment="1">
      <alignment horizontal="center" vertical="center" wrapText="1"/>
    </xf>
    <xf numFmtId="167" fontId="34" fillId="2" borderId="10" xfId="0" applyNumberFormat="1" applyFont="1" applyFill="1" applyBorder="1" applyAlignment="1">
      <alignment horizontal="center" vertical="center" wrapText="1"/>
    </xf>
    <xf numFmtId="167" fontId="34" fillId="2" borderId="12" xfId="0" applyNumberFormat="1" applyFont="1" applyFill="1" applyBorder="1" applyAlignment="1">
      <alignment horizontal="center" vertical="center" wrapText="1"/>
    </xf>
    <xf numFmtId="167" fontId="34" fillId="2" borderId="9" xfId="0" applyNumberFormat="1" applyFont="1" applyFill="1" applyBorder="1" applyAlignment="1">
      <alignment horizontal="center" vertical="center" wrapText="1"/>
    </xf>
    <xf numFmtId="0" fontId="34" fillId="2" borderId="2" xfId="0" applyFont="1" applyFill="1" applyBorder="1" applyAlignment="1">
      <alignment horizontal="center" vertical="center" wrapText="1"/>
    </xf>
    <xf numFmtId="49" fontId="34" fillId="2" borderId="8" xfId="0" applyNumberFormat="1" applyFont="1" applyFill="1" applyBorder="1" applyAlignment="1">
      <alignment horizontal="left" vertical="center" wrapText="1"/>
    </xf>
    <xf numFmtId="49" fontId="34" fillId="2" borderId="2" xfId="0" applyNumberFormat="1" applyFont="1" applyFill="1" applyBorder="1" applyAlignment="1">
      <alignment horizontal="left" vertical="center" wrapText="1"/>
    </xf>
    <xf numFmtId="49" fontId="34" fillId="2" borderId="7" xfId="0" applyNumberFormat="1" applyFont="1" applyFill="1" applyBorder="1" applyAlignment="1">
      <alignment horizontal="left" vertical="center" wrapText="1"/>
    </xf>
    <xf numFmtId="0" fontId="30" fillId="3" borderId="4" xfId="0" applyFont="1" applyFill="1" applyBorder="1" applyAlignment="1">
      <alignment horizontal="left" wrapText="1"/>
    </xf>
    <xf numFmtId="0" fontId="30" fillId="3" borderId="5" xfId="0" applyFont="1" applyFill="1" applyBorder="1" applyAlignment="1">
      <alignment horizontal="left" wrapText="1"/>
    </xf>
    <xf numFmtId="0" fontId="30" fillId="3" borderId="6" xfId="0" applyFont="1" applyFill="1" applyBorder="1" applyAlignment="1">
      <alignment horizontal="left" wrapText="1"/>
    </xf>
    <xf numFmtId="0" fontId="30" fillId="4" borderId="1" xfId="0" applyFont="1" applyFill="1" applyBorder="1" applyAlignment="1">
      <alignment horizontal="left"/>
    </xf>
    <xf numFmtId="0" fontId="30" fillId="3" borderId="1" xfId="0" applyFont="1" applyFill="1" applyBorder="1" applyAlignment="1">
      <alignment horizontal="left" wrapText="1"/>
    </xf>
    <xf numFmtId="168" fontId="29" fillId="2" borderId="8" xfId="0" applyNumberFormat="1" applyFont="1" applyFill="1" applyBorder="1" applyAlignment="1">
      <alignment horizontal="center" vertical="center" wrapText="1"/>
    </xf>
    <xf numFmtId="168" fontId="29" fillId="2" borderId="7" xfId="0" applyNumberFormat="1" applyFont="1" applyFill="1" applyBorder="1" applyAlignment="1">
      <alignment horizontal="center" vertical="center" wrapText="1"/>
    </xf>
    <xf numFmtId="49" fontId="29" fillId="2" borderId="8" xfId="0" applyNumberFormat="1" applyFont="1" applyFill="1" applyBorder="1" applyAlignment="1">
      <alignment horizontal="center" vertical="center" wrapText="1"/>
    </xf>
    <xf numFmtId="49" fontId="29" fillId="2" borderId="7" xfId="0" applyNumberFormat="1" applyFont="1" applyFill="1" applyBorder="1" applyAlignment="1">
      <alignment horizontal="center" vertical="center" wrapText="1"/>
    </xf>
    <xf numFmtId="173" fontId="29" fillId="2" borderId="8" xfId="36" applyNumberFormat="1" applyFont="1" applyFill="1" applyBorder="1" applyAlignment="1">
      <alignment horizontal="center" vertical="center"/>
    </xf>
    <xf numFmtId="173" fontId="29" fillId="2" borderId="7" xfId="36" applyNumberFormat="1" applyFont="1" applyFill="1" applyBorder="1" applyAlignment="1">
      <alignment horizontal="center" vertical="center"/>
    </xf>
    <xf numFmtId="168" fontId="29" fillId="2" borderId="8" xfId="0" applyNumberFormat="1" applyFont="1" applyFill="1" applyBorder="1" applyAlignment="1">
      <alignment horizontal="center" wrapText="1"/>
    </xf>
    <xf numFmtId="168" fontId="29" fillId="2" borderId="7" xfId="0" applyNumberFormat="1" applyFont="1" applyFill="1" applyBorder="1" applyAlignment="1">
      <alignment horizontal="center" wrapText="1"/>
    </xf>
    <xf numFmtId="0" fontId="29" fillId="2" borderId="8" xfId="0" applyFont="1" applyFill="1" applyBorder="1" applyAlignment="1">
      <alignment horizontal="center" wrapText="1"/>
    </xf>
    <xf numFmtId="0" fontId="29" fillId="2" borderId="7" xfId="0" applyFont="1" applyFill="1" applyBorder="1" applyAlignment="1">
      <alignment horizontal="center" wrapText="1"/>
    </xf>
    <xf numFmtId="168" fontId="29" fillId="2" borderId="2" xfId="0" applyNumberFormat="1" applyFont="1" applyFill="1" applyBorder="1" applyAlignment="1">
      <alignment horizontal="center" vertical="center" wrapText="1"/>
    </xf>
    <xf numFmtId="49" fontId="29" fillId="2" borderId="2" xfId="0" applyNumberFormat="1" applyFont="1" applyFill="1" applyBorder="1" applyAlignment="1">
      <alignment horizontal="center" vertical="center" wrapText="1"/>
    </xf>
    <xf numFmtId="0" fontId="29" fillId="2" borderId="8" xfId="0" applyFont="1" applyFill="1" applyBorder="1" applyAlignment="1">
      <alignment horizontal="left" wrapText="1"/>
    </xf>
    <xf numFmtId="0" fontId="29" fillId="2" borderId="7" xfId="0" applyFont="1" applyFill="1" applyBorder="1" applyAlignment="1">
      <alignment horizontal="left" wrapText="1"/>
    </xf>
    <xf numFmtId="0" fontId="34" fillId="2" borderId="1" xfId="0" applyNumberFormat="1" applyFont="1" applyFill="1" applyBorder="1" applyAlignment="1">
      <alignment horizontal="left" vertical="center" wrapText="1"/>
    </xf>
    <xf numFmtId="168" fontId="29" fillId="2" borderId="2" xfId="0" applyNumberFormat="1" applyFont="1" applyFill="1" applyBorder="1" applyAlignment="1">
      <alignment horizontal="center" wrapText="1"/>
    </xf>
    <xf numFmtId="0" fontId="29" fillId="2" borderId="2" xfId="0" applyFont="1" applyFill="1" applyBorder="1" applyAlignment="1">
      <alignment horizontal="center" wrapText="1"/>
    </xf>
    <xf numFmtId="0" fontId="29" fillId="0" borderId="0" xfId="0" applyFont="1" applyBorder="1" applyAlignment="1">
      <alignment horizontal="right" vertical="center" wrapText="1"/>
    </xf>
    <xf numFmtId="49" fontId="29" fillId="0" borderId="1" xfId="0" applyNumberFormat="1" applyFont="1" applyFill="1" applyBorder="1" applyAlignment="1">
      <alignment horizontal="center" vertical="center"/>
    </xf>
    <xf numFmtId="167" fontId="29" fillId="0" borderId="8" xfId="7" applyNumberFormat="1" applyFont="1" applyFill="1" applyBorder="1" applyAlignment="1">
      <alignment horizontal="center" vertical="center"/>
    </xf>
    <xf numFmtId="167" fontId="29" fillId="0" borderId="2" xfId="7" applyNumberFormat="1" applyFont="1" applyFill="1" applyBorder="1" applyAlignment="1">
      <alignment horizontal="center" vertical="center"/>
    </xf>
    <xf numFmtId="167" fontId="29" fillId="0" borderId="7" xfId="7" applyNumberFormat="1" applyFont="1" applyFill="1" applyBorder="1" applyAlignment="1">
      <alignment horizontal="center" vertical="center"/>
    </xf>
    <xf numFmtId="167" fontId="29" fillId="0" borderId="8" xfId="7" applyNumberFormat="1" applyFont="1" applyFill="1" applyBorder="1" applyAlignment="1">
      <alignment horizontal="center" vertical="center" wrapText="1"/>
    </xf>
    <xf numFmtId="167" fontId="29" fillId="0" borderId="2" xfId="7" applyNumberFormat="1" applyFont="1" applyFill="1" applyBorder="1" applyAlignment="1">
      <alignment horizontal="center" vertical="center" wrapText="1"/>
    </xf>
    <xf numFmtId="167" fontId="29" fillId="0" borderId="7" xfId="7" applyNumberFormat="1" applyFont="1" applyFill="1" applyBorder="1" applyAlignment="1">
      <alignment horizontal="center" vertical="center" wrapText="1"/>
    </xf>
    <xf numFmtId="167" fontId="30" fillId="0" borderId="8" xfId="7" applyNumberFormat="1" applyFont="1" applyFill="1" applyBorder="1" applyAlignment="1">
      <alignment horizontal="center" vertical="center" wrapText="1"/>
    </xf>
    <xf numFmtId="167" fontId="30" fillId="0" borderId="7" xfId="7" applyNumberFormat="1" applyFont="1" applyFill="1" applyBorder="1" applyAlignment="1">
      <alignment horizontal="center" vertical="center" wrapText="1"/>
    </xf>
    <xf numFmtId="0" fontId="29" fillId="0" borderId="1" xfId="0" applyFont="1" applyFill="1" applyBorder="1" applyAlignment="1">
      <alignment horizontal="left" vertical="top" wrapText="1"/>
    </xf>
    <xf numFmtId="167" fontId="30" fillId="0" borderId="6" xfId="7" applyNumberFormat="1" applyFont="1" applyFill="1" applyBorder="1" applyAlignment="1">
      <alignment horizontal="center" vertical="center" wrapText="1"/>
    </xf>
    <xf numFmtId="167" fontId="29" fillId="2" borderId="8" xfId="7" applyNumberFormat="1" applyFont="1" applyFill="1" applyBorder="1" applyAlignment="1">
      <alignment horizontal="center" vertical="center" wrapText="1"/>
    </xf>
    <xf numFmtId="167" fontId="29" fillId="2" borderId="2" xfId="7" applyNumberFormat="1" applyFont="1" applyFill="1" applyBorder="1" applyAlignment="1">
      <alignment horizontal="center" vertical="center" wrapText="1"/>
    </xf>
    <xf numFmtId="167" fontId="29" fillId="2" borderId="7" xfId="7" applyNumberFormat="1" applyFont="1" applyFill="1" applyBorder="1" applyAlignment="1">
      <alignment horizontal="center" vertical="center" wrapText="1"/>
    </xf>
    <xf numFmtId="167" fontId="30" fillId="0" borderId="28" xfId="7" applyNumberFormat="1" applyFont="1" applyFill="1" applyBorder="1" applyAlignment="1">
      <alignment horizontal="center" vertical="center"/>
    </xf>
    <xf numFmtId="167" fontId="30" fillId="0" borderId="9" xfId="7" applyNumberFormat="1" applyFont="1" applyFill="1" applyBorder="1" applyAlignment="1">
      <alignment horizontal="center" vertical="center"/>
    </xf>
    <xf numFmtId="167" fontId="34" fillId="0" borderId="25" xfId="0" applyNumberFormat="1" applyFont="1" applyFill="1" applyBorder="1" applyAlignment="1">
      <alignment horizontal="center" vertical="center" wrapText="1"/>
    </xf>
    <xf numFmtId="167" fontId="34" fillId="2" borderId="25" xfId="0" applyNumberFormat="1" applyFont="1" applyFill="1" applyBorder="1" applyAlignment="1">
      <alignment horizontal="center" vertical="center" wrapText="1"/>
    </xf>
    <xf numFmtId="168" fontId="30" fillId="0" borderId="25" xfId="0" applyNumberFormat="1" applyFont="1" applyBorder="1" applyAlignment="1">
      <alignment horizontal="center" vertical="center"/>
    </xf>
    <xf numFmtId="0" fontId="29" fillId="0" borderId="7" xfId="0" applyFont="1" applyBorder="1" applyAlignment="1">
      <alignment horizontal="center" vertical="center"/>
    </xf>
    <xf numFmtId="49" fontId="34" fillId="0" borderId="1" xfId="0" applyNumberFormat="1" applyFont="1" applyBorder="1" applyAlignment="1">
      <alignment horizontal="left" vertical="center" wrapText="1"/>
    </xf>
    <xf numFmtId="0" fontId="34" fillId="0" borderId="8" xfId="0" applyFont="1" applyFill="1" applyBorder="1" applyAlignment="1">
      <alignment horizontal="center" vertical="center" wrapText="1"/>
    </xf>
    <xf numFmtId="0" fontId="34" fillId="0" borderId="7" xfId="0" applyFont="1" applyFill="1" applyBorder="1" applyAlignment="1">
      <alignment horizontal="center" vertical="center" wrapText="1"/>
    </xf>
    <xf numFmtId="167" fontId="29" fillId="0" borderId="25" xfId="7" applyNumberFormat="1" applyFont="1" applyFill="1" applyBorder="1" applyAlignment="1">
      <alignment horizontal="center" vertical="center" wrapText="1"/>
    </xf>
    <xf numFmtId="169" fontId="34" fillId="0" borderId="25" xfId="0" applyNumberFormat="1" applyFont="1" applyFill="1" applyBorder="1" applyAlignment="1">
      <alignment horizontal="center" vertical="center"/>
    </xf>
    <xf numFmtId="169" fontId="34" fillId="0" borderId="2" xfId="0" applyNumberFormat="1" applyFont="1" applyFill="1" applyBorder="1" applyAlignment="1">
      <alignment horizontal="center" vertical="center"/>
    </xf>
    <xf numFmtId="169" fontId="34" fillId="0" borderId="7" xfId="0" applyNumberFormat="1" applyFont="1" applyFill="1" applyBorder="1" applyAlignment="1">
      <alignment horizontal="center" vertical="center"/>
    </xf>
    <xf numFmtId="49" fontId="30" fillId="4" borderId="3" xfId="0" applyNumberFormat="1" applyFont="1" applyFill="1" applyBorder="1" applyAlignment="1">
      <alignment horizontal="left"/>
    </xf>
    <xf numFmtId="49" fontId="30" fillId="4" borderId="0" xfId="0" applyNumberFormat="1" applyFont="1" applyFill="1" applyBorder="1" applyAlignment="1">
      <alignment horizontal="left"/>
    </xf>
    <xf numFmtId="49" fontId="30" fillId="4" borderId="29" xfId="0" applyNumberFormat="1" applyFont="1" applyFill="1" applyBorder="1" applyAlignment="1">
      <alignment horizontal="left"/>
    </xf>
    <xf numFmtId="167" fontId="33" fillId="2" borderId="25" xfId="0" applyNumberFormat="1" applyFont="1" applyFill="1" applyBorder="1" applyAlignment="1">
      <alignment horizontal="center" vertical="center" wrapText="1"/>
    </xf>
    <xf numFmtId="167" fontId="33" fillId="2" borderId="7" xfId="0" applyNumberFormat="1" applyFont="1" applyFill="1" applyBorder="1" applyAlignment="1">
      <alignment horizontal="center" vertical="center" wrapText="1"/>
    </xf>
    <xf numFmtId="0" fontId="34" fillId="0" borderId="8" xfId="0" applyFont="1" applyFill="1" applyBorder="1" applyAlignment="1">
      <alignment horizontal="center" vertical="center"/>
    </xf>
    <xf numFmtId="0" fontId="34" fillId="0" borderId="2" xfId="0" applyFont="1" applyFill="1" applyBorder="1" applyAlignment="1">
      <alignment horizontal="center" vertical="center"/>
    </xf>
    <xf numFmtId="0" fontId="34" fillId="0" borderId="7" xfId="0" applyFont="1" applyFill="1" applyBorder="1" applyAlignment="1">
      <alignment horizontal="center" vertical="center"/>
    </xf>
    <xf numFmtId="167" fontId="29" fillId="2" borderId="25" xfId="0" applyNumberFormat="1" applyFont="1" applyFill="1" applyBorder="1" applyAlignment="1">
      <alignment horizontal="center" vertical="center" wrapText="1"/>
    </xf>
    <xf numFmtId="167" fontId="29" fillId="0" borderId="7" xfId="0" applyNumberFormat="1" applyFont="1" applyBorder="1" applyAlignment="1">
      <alignment horizontal="center" vertical="center" wrapText="1"/>
    </xf>
    <xf numFmtId="0" fontId="29" fillId="2" borderId="1" xfId="0" applyFont="1" applyFill="1" applyBorder="1" applyAlignment="1">
      <alignment horizontal="center" vertical="center" wrapText="1"/>
    </xf>
    <xf numFmtId="167" fontId="29" fillId="0" borderId="2" xfId="0" applyNumberFormat="1" applyFont="1" applyBorder="1" applyAlignment="1">
      <alignment horizontal="center" vertical="center" wrapText="1"/>
    </xf>
    <xf numFmtId="0" fontId="34" fillId="0" borderId="2" xfId="0" applyFont="1" applyFill="1" applyBorder="1" applyAlignment="1">
      <alignment horizontal="center" vertical="center" wrapText="1"/>
    </xf>
    <xf numFmtId="49" fontId="30" fillId="2" borderId="1" xfId="0" applyNumberFormat="1" applyFont="1" applyFill="1" applyBorder="1" applyAlignment="1">
      <alignment horizontal="center" vertical="center" wrapText="1"/>
    </xf>
    <xf numFmtId="167" fontId="30" fillId="2" borderId="25" xfId="0" applyNumberFormat="1" applyFont="1" applyFill="1" applyBorder="1" applyAlignment="1">
      <alignment horizontal="center" vertical="center" wrapText="1"/>
    </xf>
    <xf numFmtId="0" fontId="29" fillId="2" borderId="25" xfId="0" applyFont="1" applyFill="1" applyBorder="1" applyAlignment="1">
      <alignment horizontal="center" vertical="center"/>
    </xf>
    <xf numFmtId="0" fontId="29" fillId="2" borderId="2" xfId="0" applyFont="1" applyFill="1" applyBorder="1" applyAlignment="1">
      <alignment horizontal="center" vertical="center"/>
    </xf>
    <xf numFmtId="167" fontId="30" fillId="3" borderId="3" xfId="0" applyNumberFormat="1" applyFont="1" applyFill="1" applyBorder="1" applyAlignment="1"/>
    <xf numFmtId="167" fontId="30" fillId="3" borderId="0" xfId="0" applyNumberFormat="1" applyFont="1" applyFill="1" applyBorder="1" applyAlignment="1"/>
    <xf numFmtId="0" fontId="29" fillId="3" borderId="0" xfId="0" applyFont="1" applyFill="1" applyAlignment="1"/>
    <xf numFmtId="0" fontId="30" fillId="4" borderId="1" xfId="0" applyFont="1" applyFill="1" applyBorder="1" applyAlignment="1">
      <alignment horizontal="left" vertical="center"/>
    </xf>
    <xf numFmtId="0" fontId="33" fillId="0" borderId="1" xfId="0" applyFont="1" applyBorder="1" applyAlignment="1">
      <alignment horizontal="left" vertical="center" wrapText="1"/>
    </xf>
    <xf numFmtId="0" fontId="34" fillId="0" borderId="1" xfId="0" applyFont="1" applyBorder="1" applyAlignment="1">
      <alignment horizontal="left" vertical="center" wrapText="1"/>
    </xf>
    <xf numFmtId="169" fontId="29" fillId="0" borderId="25" xfId="0" applyNumberFormat="1" applyFont="1" applyBorder="1" applyAlignment="1">
      <alignment horizontal="center" vertical="center"/>
    </xf>
    <xf numFmtId="0" fontId="29" fillId="0" borderId="2" xfId="0" applyFont="1" applyBorder="1" applyAlignment="1">
      <alignment horizontal="center" vertical="center"/>
    </xf>
    <xf numFmtId="169" fontId="34" fillId="0" borderId="25" xfId="0" applyNumberFormat="1" applyFont="1" applyBorder="1" applyAlignment="1">
      <alignment horizontal="center" vertical="center"/>
    </xf>
    <xf numFmtId="168" fontId="33" fillId="0" borderId="8" xfId="0" applyNumberFormat="1" applyFont="1" applyFill="1" applyBorder="1" applyAlignment="1">
      <alignment horizontal="center" vertical="center"/>
    </xf>
    <xf numFmtId="168" fontId="33" fillId="0" borderId="2" xfId="0" applyNumberFormat="1" applyFont="1" applyFill="1" applyBorder="1" applyAlignment="1">
      <alignment horizontal="center" vertical="center"/>
    </xf>
    <xf numFmtId="168" fontId="33" fillId="0" borderId="7" xfId="0" applyNumberFormat="1" applyFont="1" applyFill="1" applyBorder="1" applyAlignment="1">
      <alignment horizontal="center" vertical="center"/>
    </xf>
    <xf numFmtId="0" fontId="30" fillId="3" borderId="1" xfId="0" applyFont="1" applyFill="1" applyBorder="1" applyAlignment="1">
      <alignment vertical="center" wrapText="1"/>
    </xf>
    <xf numFmtId="0" fontId="34" fillId="2" borderId="25" xfId="0" applyFont="1" applyFill="1" applyBorder="1" applyAlignment="1">
      <alignment horizontal="center" vertical="center"/>
    </xf>
    <xf numFmtId="167" fontId="30" fillId="2" borderId="28" xfId="0" applyNumberFormat="1" applyFont="1" applyFill="1" applyBorder="1" applyAlignment="1">
      <alignment horizontal="center" vertical="center" wrapText="1"/>
    </xf>
    <xf numFmtId="167" fontId="30" fillId="2" borderId="9" xfId="0" applyNumberFormat="1" applyFont="1" applyFill="1" applyBorder="1" applyAlignment="1">
      <alignment horizontal="center" vertical="center" wrapText="1"/>
    </xf>
    <xf numFmtId="167" fontId="30" fillId="3" borderId="23" xfId="0" applyNumberFormat="1" applyFont="1" applyFill="1" applyBorder="1"/>
    <xf numFmtId="167" fontId="30" fillId="3" borderId="31" xfId="0" applyNumberFormat="1" applyFont="1" applyFill="1" applyBorder="1"/>
    <xf numFmtId="0" fontId="30" fillId="3" borderId="4" xfId="0" applyFont="1" applyFill="1" applyBorder="1" applyAlignment="1">
      <alignment horizontal="left" vertical="center" wrapText="1"/>
    </xf>
    <xf numFmtId="0" fontId="30" fillId="3" borderId="5" xfId="0" applyFont="1" applyFill="1" applyBorder="1" applyAlignment="1">
      <alignment horizontal="left" vertical="center" wrapText="1"/>
    </xf>
    <xf numFmtId="0" fontId="30" fillId="3" borderId="6" xfId="0" applyFont="1" applyFill="1" applyBorder="1" applyAlignment="1">
      <alignment horizontal="left" vertical="center" wrapText="1"/>
    </xf>
    <xf numFmtId="49" fontId="30" fillId="2" borderId="8" xfId="0" applyNumberFormat="1" applyFont="1" applyFill="1" applyBorder="1" applyAlignment="1">
      <alignment horizontal="center" vertical="center" wrapText="1"/>
    </xf>
    <xf numFmtId="49" fontId="30" fillId="2" borderId="7" xfId="0" applyNumberFormat="1" applyFont="1" applyFill="1" applyBorder="1" applyAlignment="1">
      <alignment horizontal="center" vertical="center" wrapText="1"/>
    </xf>
    <xf numFmtId="0" fontId="30" fillId="3" borderId="1" xfId="0" applyFont="1" applyFill="1" applyBorder="1" applyAlignment="1">
      <alignment horizontal="left" vertical="center" wrapText="1"/>
    </xf>
    <xf numFmtId="0" fontId="29" fillId="0" borderId="8" xfId="0" applyFont="1" applyFill="1" applyBorder="1" applyAlignment="1">
      <alignment horizontal="center" vertical="top"/>
    </xf>
    <xf numFmtId="0" fontId="29" fillId="0" borderId="2" xfId="0" applyFont="1" applyFill="1" applyBorder="1" applyAlignment="1">
      <alignment horizontal="center" vertical="top"/>
    </xf>
    <xf numFmtId="49" fontId="30" fillId="0" borderId="8" xfId="0" applyNumberFormat="1" applyFont="1" applyFill="1" applyBorder="1" applyAlignment="1">
      <alignment horizontal="center" vertical="top"/>
    </xf>
    <xf numFmtId="49" fontId="30" fillId="0" borderId="2" xfId="0" applyNumberFormat="1" applyFont="1" applyFill="1" applyBorder="1" applyAlignment="1">
      <alignment horizontal="center" vertical="top"/>
    </xf>
    <xf numFmtId="49" fontId="30" fillId="0" borderId="7" xfId="0" applyNumberFormat="1" applyFont="1" applyFill="1" applyBorder="1" applyAlignment="1">
      <alignment horizontal="center" vertical="top"/>
    </xf>
    <xf numFmtId="0" fontId="30" fillId="0" borderId="1" xfId="0" applyFont="1" applyFill="1" applyBorder="1" applyAlignment="1">
      <alignment horizontal="left" vertical="center" wrapText="1"/>
    </xf>
    <xf numFmtId="0" fontId="30" fillId="0" borderId="26" xfId="0" applyFont="1" applyFill="1" applyBorder="1" applyAlignment="1">
      <alignment horizontal="center" vertical="center" wrapText="1"/>
    </xf>
    <xf numFmtId="0" fontId="30" fillId="0" borderId="27" xfId="0" applyFont="1" applyFill="1" applyBorder="1" applyAlignment="1">
      <alignment horizontal="center" vertical="center" wrapText="1"/>
    </xf>
    <xf numFmtId="0" fontId="30" fillId="0" borderId="28" xfId="0" applyFont="1" applyFill="1" applyBorder="1" applyAlignment="1">
      <alignment horizontal="center" vertical="center" wrapText="1"/>
    </xf>
    <xf numFmtId="0" fontId="30" fillId="0" borderId="10" xfId="0" applyFont="1" applyFill="1" applyBorder="1" applyAlignment="1">
      <alignment horizontal="center" vertical="center" wrapText="1"/>
    </xf>
    <xf numFmtId="0" fontId="30" fillId="0" borderId="12" xfId="0" applyFont="1" applyFill="1" applyBorder="1" applyAlignment="1">
      <alignment horizontal="center" vertical="center" wrapText="1"/>
    </xf>
    <xf numFmtId="0" fontId="30" fillId="0" borderId="9" xfId="0" applyFont="1" applyFill="1" applyBorder="1" applyAlignment="1">
      <alignment horizontal="center" vertical="center" wrapText="1"/>
    </xf>
    <xf numFmtId="167" fontId="30" fillId="0" borderId="8" xfId="7" applyNumberFormat="1" applyFont="1" applyFill="1" applyBorder="1" applyAlignment="1">
      <alignment horizontal="center" vertical="center"/>
    </xf>
    <xf numFmtId="167" fontId="30" fillId="0" borderId="7" xfId="7" applyNumberFormat="1" applyFont="1" applyFill="1" applyBorder="1" applyAlignment="1">
      <alignment horizontal="center" vertical="center"/>
    </xf>
    <xf numFmtId="49" fontId="29" fillId="0" borderId="8" xfId="0" applyNumberFormat="1" applyFont="1" applyFill="1" applyBorder="1" applyAlignment="1">
      <alignment horizontal="center" vertical="center" wrapText="1"/>
    </xf>
    <xf numFmtId="49" fontId="29" fillId="0" borderId="2" xfId="0" applyNumberFormat="1" applyFont="1" applyFill="1" applyBorder="1" applyAlignment="1">
      <alignment horizontal="center" vertical="center" wrapText="1"/>
    </xf>
    <xf numFmtId="49" fontId="29" fillId="0" borderId="7" xfId="0" applyNumberFormat="1" applyFont="1" applyFill="1" applyBorder="1" applyAlignment="1">
      <alignment horizontal="center" vertical="center" wrapText="1"/>
    </xf>
    <xf numFmtId="0" fontId="29" fillId="0" borderId="8" xfId="0" applyFont="1" applyFill="1" applyBorder="1" applyAlignment="1">
      <alignment horizontal="center" vertical="top" wrapText="1"/>
    </xf>
    <xf numFmtId="0" fontId="29" fillId="0" borderId="2" xfId="0" applyFont="1" applyFill="1" applyBorder="1" applyAlignment="1">
      <alignment horizontal="center" vertical="top" wrapText="1"/>
    </xf>
    <xf numFmtId="0" fontId="29" fillId="0" borderId="7" xfId="0" applyFont="1" applyFill="1" applyBorder="1" applyAlignment="1">
      <alignment horizontal="center" vertical="top" wrapText="1"/>
    </xf>
    <xf numFmtId="49" fontId="29" fillId="0" borderId="8" xfId="0" applyNumberFormat="1" applyFont="1" applyFill="1" applyBorder="1" applyAlignment="1">
      <alignment horizontal="center" vertical="top"/>
    </xf>
    <xf numFmtId="49" fontId="29" fillId="0" borderId="2" xfId="0" applyNumberFormat="1" applyFont="1" applyFill="1" applyBorder="1" applyAlignment="1">
      <alignment horizontal="center" vertical="top"/>
    </xf>
    <xf numFmtId="49" fontId="29" fillId="0" borderId="1" xfId="0" applyNumberFormat="1" applyFont="1" applyFill="1" applyBorder="1" applyAlignment="1">
      <alignment horizontal="center" vertical="top"/>
    </xf>
    <xf numFmtId="168" fontId="30" fillId="0" borderId="8" xfId="0" applyNumberFormat="1" applyFont="1" applyFill="1" applyBorder="1" applyAlignment="1">
      <alignment horizontal="center" vertical="center"/>
    </xf>
    <xf numFmtId="168" fontId="30" fillId="0" borderId="7" xfId="0" applyNumberFormat="1" applyFont="1" applyFill="1" applyBorder="1" applyAlignment="1">
      <alignment horizontal="center" vertical="center"/>
    </xf>
    <xf numFmtId="49" fontId="29" fillId="0" borderId="7" xfId="0" applyNumberFormat="1" applyFont="1" applyFill="1" applyBorder="1" applyAlignment="1">
      <alignment horizontal="center" vertical="top"/>
    </xf>
    <xf numFmtId="0" fontId="30" fillId="0" borderId="26" xfId="0" applyFont="1" applyFill="1" applyBorder="1" applyAlignment="1">
      <alignment horizontal="center" vertical="top"/>
    </xf>
    <xf numFmtId="0" fontId="30" fillId="0" borderId="10" xfId="0" applyFont="1" applyFill="1" applyBorder="1" applyAlignment="1">
      <alignment horizontal="center" vertical="top"/>
    </xf>
    <xf numFmtId="49" fontId="29" fillId="0" borderId="8" xfId="0" applyNumberFormat="1" applyFont="1" applyFill="1" applyBorder="1" applyAlignment="1">
      <alignment horizontal="center" vertical="center"/>
    </xf>
    <xf numFmtId="49" fontId="29" fillId="0" borderId="2" xfId="0" applyNumberFormat="1" applyFont="1" applyFill="1" applyBorder="1" applyAlignment="1">
      <alignment horizontal="center" vertical="center"/>
    </xf>
    <xf numFmtId="49" fontId="29" fillId="0" borderId="7" xfId="0" applyNumberFormat="1" applyFont="1" applyFill="1" applyBorder="1" applyAlignment="1">
      <alignment horizontal="center" vertical="center"/>
    </xf>
    <xf numFmtId="49" fontId="29" fillId="0" borderId="26" xfId="0" applyNumberFormat="1" applyFont="1" applyFill="1" applyBorder="1" applyAlignment="1">
      <alignment horizontal="center" vertical="top"/>
    </xf>
    <xf numFmtId="49" fontId="29" fillId="0" borderId="10" xfId="0" applyNumberFormat="1" applyFont="1" applyFill="1" applyBorder="1" applyAlignment="1">
      <alignment horizontal="center" vertical="top"/>
    </xf>
    <xf numFmtId="0" fontId="29" fillId="0" borderId="1" xfId="0" applyFont="1" applyFill="1" applyBorder="1" applyAlignment="1">
      <alignment horizontal="left" vertical="center" wrapText="1"/>
    </xf>
    <xf numFmtId="49" fontId="30" fillId="0" borderId="8" xfId="0" applyNumberFormat="1" applyFont="1" applyFill="1" applyBorder="1" applyAlignment="1">
      <alignment horizontal="center" vertical="center"/>
    </xf>
    <xf numFmtId="49" fontId="30" fillId="0" borderId="2" xfId="0" applyNumberFormat="1" applyFont="1" applyFill="1" applyBorder="1" applyAlignment="1">
      <alignment horizontal="center" vertical="center"/>
    </xf>
    <xf numFmtId="49" fontId="30" fillId="0" borderId="7" xfId="0" applyNumberFormat="1" applyFont="1" applyFill="1" applyBorder="1" applyAlignment="1">
      <alignment horizontal="center" vertical="center"/>
    </xf>
    <xf numFmtId="167" fontId="30" fillId="0" borderId="28" xfId="7" applyNumberFormat="1" applyFont="1" applyFill="1" applyBorder="1" applyAlignment="1">
      <alignment horizontal="center" vertical="center" wrapText="1"/>
    </xf>
    <xf numFmtId="167" fontId="30" fillId="0" borderId="9" xfId="7" applyNumberFormat="1" applyFont="1" applyFill="1" applyBorder="1" applyAlignment="1">
      <alignment horizontal="center" vertical="center" wrapText="1"/>
    </xf>
    <xf numFmtId="0" fontId="29" fillId="2" borderId="4" xfId="0" applyFont="1" applyFill="1" applyBorder="1" applyAlignment="1">
      <alignment horizontal="center" vertical="center" wrapText="1"/>
    </xf>
    <xf numFmtId="0" fontId="30" fillId="0" borderId="1" xfId="2" applyFont="1" applyFill="1" applyBorder="1" applyAlignment="1">
      <alignment horizontal="center" vertical="center" wrapText="1"/>
    </xf>
    <xf numFmtId="0" fontId="30" fillId="3" borderId="25" xfId="2" applyFont="1" applyFill="1" applyBorder="1" applyAlignment="1">
      <alignment horizontal="center" vertical="center" wrapText="1"/>
    </xf>
    <xf numFmtId="0" fontId="29" fillId="3" borderId="4" xfId="2" applyFont="1" applyFill="1" applyBorder="1" applyAlignment="1">
      <alignment horizontal="center" vertical="top" wrapText="1"/>
    </xf>
    <xf numFmtId="0" fontId="29" fillId="3" borderId="5" xfId="2" applyFont="1" applyFill="1" applyBorder="1" applyAlignment="1">
      <alignment horizontal="center" vertical="top" wrapText="1"/>
    </xf>
    <xf numFmtId="0" fontId="29" fillId="3" borderId="6" xfId="2" applyFont="1" applyFill="1" applyBorder="1" applyAlignment="1">
      <alignment horizontal="center" vertical="top" wrapText="1"/>
    </xf>
    <xf numFmtId="168" fontId="34" fillId="2" borderId="25" xfId="0" applyNumberFormat="1" applyFont="1" applyFill="1" applyBorder="1" applyAlignment="1">
      <alignment horizontal="center" vertical="center"/>
    </xf>
    <xf numFmtId="168" fontId="33" fillId="0" borderId="25" xfId="0" applyNumberFormat="1" applyFont="1" applyBorder="1" applyAlignment="1">
      <alignment horizontal="center" vertical="center"/>
    </xf>
    <xf numFmtId="169" fontId="34" fillId="0" borderId="8" xfId="0" applyNumberFormat="1" applyFont="1" applyFill="1" applyBorder="1" applyAlignment="1">
      <alignment horizontal="center" vertical="center"/>
    </xf>
    <xf numFmtId="0" fontId="30" fillId="0" borderId="26" xfId="0" applyFont="1" applyFill="1" applyBorder="1" applyAlignment="1">
      <alignment horizontal="center" vertical="center"/>
    </xf>
    <xf numFmtId="0" fontId="30" fillId="0" borderId="27" xfId="0" applyFont="1" applyFill="1" applyBorder="1" applyAlignment="1">
      <alignment horizontal="center" vertical="center"/>
    </xf>
    <xf numFmtId="0" fontId="30" fillId="0" borderId="28"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2" xfId="0" applyFont="1" applyFill="1" applyBorder="1" applyAlignment="1">
      <alignment horizontal="center" vertical="center"/>
    </xf>
    <xf numFmtId="0" fontId="30" fillId="0" borderId="9" xfId="0" applyFont="1" applyFill="1" applyBorder="1" applyAlignment="1">
      <alignment horizontal="center" vertical="center"/>
    </xf>
    <xf numFmtId="49" fontId="30" fillId="0" borderId="8" xfId="0" applyNumberFormat="1" applyFont="1" applyFill="1" applyBorder="1" applyAlignment="1">
      <alignment horizontal="center" vertical="top" wrapText="1"/>
    </xf>
    <xf numFmtId="49" fontId="30" fillId="0" borderId="7" xfId="0" applyNumberFormat="1" applyFont="1" applyFill="1" applyBorder="1" applyAlignment="1">
      <alignment horizontal="center" vertical="top" wrapText="1"/>
    </xf>
    <xf numFmtId="49" fontId="30" fillId="3" borderId="1" xfId="0" applyNumberFormat="1" applyFont="1" applyFill="1" applyBorder="1" applyAlignment="1">
      <alignment horizontal="left" vertical="center"/>
    </xf>
    <xf numFmtId="49" fontId="30" fillId="4" borderId="1" xfId="0" applyNumberFormat="1" applyFont="1" applyFill="1" applyBorder="1" applyAlignment="1">
      <alignment horizontal="left"/>
    </xf>
    <xf numFmtId="0" fontId="30" fillId="3" borderId="1" xfId="0" applyFont="1" applyFill="1" applyBorder="1" applyAlignment="1">
      <alignment horizontal="left" vertical="center"/>
    </xf>
    <xf numFmtId="169" fontId="34" fillId="2" borderId="1" xfId="0" applyNumberFormat="1" applyFont="1" applyFill="1" applyBorder="1" applyAlignment="1">
      <alignment horizontal="center" vertical="center" wrapText="1"/>
    </xf>
    <xf numFmtId="1" fontId="34" fillId="2" borderId="2" xfId="0" applyNumberFormat="1" applyFont="1" applyFill="1" applyBorder="1" applyAlignment="1">
      <alignment horizontal="center" vertical="center"/>
    </xf>
    <xf numFmtId="169" fontId="34" fillId="2" borderId="1" xfId="0" applyNumberFormat="1" applyFont="1" applyFill="1" applyBorder="1" applyAlignment="1">
      <alignment horizontal="center" vertical="center"/>
    </xf>
    <xf numFmtId="168" fontId="33" fillId="2" borderId="7" xfId="0" applyNumberFormat="1" applyFont="1" applyFill="1" applyBorder="1" applyAlignment="1">
      <alignment horizontal="center" vertical="center"/>
    </xf>
    <xf numFmtId="1" fontId="34" fillId="2" borderId="8" xfId="0" applyNumberFormat="1" applyFont="1" applyFill="1" applyBorder="1" applyAlignment="1">
      <alignment horizontal="center" vertical="center"/>
    </xf>
    <xf numFmtId="1" fontId="34" fillId="2" borderId="7" xfId="0" applyNumberFormat="1" applyFont="1" applyFill="1" applyBorder="1" applyAlignment="1">
      <alignment horizontal="center" vertical="center"/>
    </xf>
    <xf numFmtId="167" fontId="29" fillId="0" borderId="8" xfId="2" applyNumberFormat="1" applyFont="1" applyFill="1" applyBorder="1" applyAlignment="1">
      <alignment horizontal="center" vertical="center" wrapText="1"/>
    </xf>
    <xf numFmtId="167" fontId="29" fillId="0" borderId="2" xfId="2" applyNumberFormat="1" applyFont="1" applyFill="1" applyBorder="1" applyAlignment="1">
      <alignment horizontal="center" vertical="center" wrapText="1"/>
    </xf>
    <xf numFmtId="167" fontId="29" fillId="0" borderId="7" xfId="2" applyNumberFormat="1" applyFont="1" applyFill="1" applyBorder="1" applyAlignment="1">
      <alignment horizontal="center" vertical="center" wrapText="1"/>
    </xf>
    <xf numFmtId="1" fontId="34" fillId="2" borderId="4" xfId="0" applyNumberFormat="1" applyFont="1" applyFill="1" applyBorder="1" applyAlignment="1">
      <alignment horizontal="center" vertical="center"/>
    </xf>
    <xf numFmtId="170" fontId="30" fillId="2" borderId="0" xfId="0" applyNumberFormat="1" applyFont="1" applyFill="1" applyBorder="1" applyAlignment="1">
      <alignment horizontal="left" vertical="center" wrapText="1"/>
    </xf>
    <xf numFmtId="169" fontId="30" fillId="0" borderId="8" xfId="0" applyNumberFormat="1" applyFont="1" applyBorder="1" applyAlignment="1">
      <alignment horizontal="center" vertical="center" wrapText="1"/>
    </xf>
    <xf numFmtId="169" fontId="30" fillId="0" borderId="2" xfId="0" applyNumberFormat="1" applyFont="1" applyBorder="1" applyAlignment="1">
      <alignment horizontal="center" vertical="center" wrapText="1"/>
    </xf>
    <xf numFmtId="169" fontId="30" fillId="0" borderId="7" xfId="0" applyNumberFormat="1" applyFont="1" applyBorder="1" applyAlignment="1">
      <alignment horizontal="center" vertical="center" wrapText="1"/>
    </xf>
    <xf numFmtId="49" fontId="30" fillId="0" borderId="1" xfId="0" applyNumberFormat="1" applyFont="1" applyBorder="1" applyAlignment="1">
      <alignment horizontal="center" vertical="center" wrapText="1"/>
    </xf>
    <xf numFmtId="0" fontId="30" fillId="0" borderId="1" xfId="0" applyFont="1" applyBorder="1" applyAlignment="1">
      <alignment horizontal="center" vertical="center" wrapText="1"/>
    </xf>
    <xf numFmtId="168" fontId="30" fillId="0" borderId="1" xfId="0" applyNumberFormat="1" applyFont="1" applyBorder="1" applyAlignment="1">
      <alignment horizontal="center" vertical="center" wrapText="1"/>
    </xf>
    <xf numFmtId="0" fontId="33" fillId="2" borderId="1" xfId="0" applyFont="1" applyFill="1" applyBorder="1" applyAlignment="1">
      <alignment horizontal="center" vertical="center" wrapText="1"/>
    </xf>
    <xf numFmtId="0" fontId="33" fillId="2" borderId="1" xfId="0" applyFont="1" applyFill="1" applyBorder="1" applyAlignment="1">
      <alignment horizontal="left" vertical="center" wrapText="1"/>
    </xf>
    <xf numFmtId="167" fontId="29" fillId="2" borderId="4" xfId="1" applyNumberFormat="1" applyFont="1" applyFill="1" applyBorder="1" applyAlignment="1">
      <alignment horizontal="center" vertical="center" wrapText="1"/>
    </xf>
    <xf numFmtId="167" fontId="29" fillId="2" borderId="5" xfId="1" applyNumberFormat="1" applyFont="1" applyFill="1" applyBorder="1" applyAlignment="1">
      <alignment horizontal="center" vertical="center" wrapText="1"/>
    </xf>
    <xf numFmtId="167" fontId="30" fillId="2" borderId="4" xfId="1" applyNumberFormat="1" applyFont="1" applyFill="1" applyBorder="1" applyAlignment="1">
      <alignment horizontal="center" vertical="center" wrapText="1"/>
    </xf>
    <xf numFmtId="167" fontId="30" fillId="2" borderId="5" xfId="1" applyNumberFormat="1" applyFont="1" applyFill="1" applyBorder="1" applyAlignment="1">
      <alignment horizontal="center" vertical="center" wrapText="1"/>
    </xf>
    <xf numFmtId="167" fontId="29" fillId="0" borderId="8" xfId="0" applyNumberFormat="1" applyFont="1" applyFill="1" applyBorder="1" applyAlignment="1">
      <alignment horizontal="center" vertical="center" wrapText="1"/>
    </xf>
    <xf numFmtId="167" fontId="29" fillId="0" borderId="7" xfId="0" applyNumberFormat="1" applyFont="1" applyFill="1" applyBorder="1" applyAlignment="1">
      <alignment horizontal="center" vertical="center" wrapText="1"/>
    </xf>
    <xf numFmtId="169" fontId="29" fillId="0" borderId="8" xfId="158" applyNumberFormat="1" applyFont="1" applyFill="1" applyBorder="1" applyAlignment="1">
      <alignment horizontal="center" vertical="center"/>
    </xf>
    <xf numFmtId="169" fontId="29" fillId="0" borderId="7" xfId="158" applyNumberFormat="1" applyFont="1" applyFill="1" applyBorder="1" applyAlignment="1">
      <alignment horizontal="center" vertical="center"/>
    </xf>
    <xf numFmtId="168" fontId="30" fillId="0" borderId="8" xfId="0" applyNumberFormat="1" applyFont="1" applyBorder="1" applyAlignment="1">
      <alignment horizontal="center" vertical="center"/>
    </xf>
    <xf numFmtId="168" fontId="30" fillId="0" borderId="2" xfId="0" applyNumberFormat="1" applyFont="1" applyBorder="1" applyAlignment="1">
      <alignment horizontal="center" vertical="center"/>
    </xf>
    <xf numFmtId="168" fontId="30" fillId="0" borderId="7" xfId="0" applyNumberFormat="1" applyFont="1" applyBorder="1" applyAlignment="1">
      <alignment horizontal="center" vertical="center"/>
    </xf>
    <xf numFmtId="167" fontId="29" fillId="0" borderId="2" xfId="0" applyNumberFormat="1" applyFont="1" applyFill="1" applyBorder="1" applyAlignment="1">
      <alignment horizontal="center" vertical="center" wrapText="1"/>
    </xf>
    <xf numFmtId="0" fontId="29" fillId="0" borderId="8" xfId="158" applyFont="1" applyFill="1" applyBorder="1" applyAlignment="1">
      <alignment horizontal="center" vertical="center"/>
    </xf>
    <xf numFmtId="0" fontId="29" fillId="0" borderId="7" xfId="158" applyFont="1" applyFill="1" applyBorder="1" applyAlignment="1">
      <alignment horizontal="center" vertical="center"/>
    </xf>
    <xf numFmtId="0" fontId="34" fillId="0" borderId="1" xfId="2" applyFont="1" applyFill="1" applyBorder="1" applyAlignment="1">
      <alignment horizontal="left" vertical="center" wrapText="1"/>
    </xf>
    <xf numFmtId="167" fontId="30" fillId="2" borderId="8" xfId="2" applyNumberFormat="1" applyFont="1" applyFill="1" applyBorder="1" applyAlignment="1">
      <alignment horizontal="center" vertical="center" wrapText="1"/>
    </xf>
    <xf numFmtId="0" fontId="30" fillId="2" borderId="7" xfId="2" applyFont="1" applyFill="1" applyBorder="1" applyAlignment="1">
      <alignment horizontal="center" vertical="center" wrapText="1"/>
    </xf>
    <xf numFmtId="170" fontId="33" fillId="4" borderId="27" xfId="0" applyNumberFormat="1" applyFont="1" applyFill="1" applyBorder="1" applyAlignment="1">
      <alignment horizontal="left" vertical="center"/>
    </xf>
    <xf numFmtId="170" fontId="33" fillId="4" borderId="28" xfId="0" applyNumberFormat="1" applyFont="1" applyFill="1" applyBorder="1" applyAlignment="1">
      <alignment horizontal="left" vertical="center"/>
    </xf>
    <xf numFmtId="0" fontId="33" fillId="0" borderId="8" xfId="0" applyFont="1" applyFill="1" applyBorder="1" applyAlignment="1">
      <alignment horizontal="center" vertical="center" wrapText="1"/>
    </xf>
    <xf numFmtId="0" fontId="33" fillId="0" borderId="7" xfId="0" applyFont="1" applyFill="1" applyBorder="1" applyAlignment="1">
      <alignment horizontal="center" vertical="center" wrapText="1"/>
    </xf>
    <xf numFmtId="0" fontId="34" fillId="0" borderId="8" xfId="2" applyFont="1" applyFill="1" applyBorder="1" applyAlignment="1">
      <alignment horizontal="center" vertical="center" wrapText="1"/>
    </xf>
    <xf numFmtId="0" fontId="34" fillId="0" borderId="7" xfId="2" applyFont="1" applyFill="1" applyBorder="1" applyAlignment="1">
      <alignment horizontal="center" vertical="center" wrapText="1"/>
    </xf>
    <xf numFmtId="49" fontId="33" fillId="0" borderId="1" xfId="0" applyNumberFormat="1" applyFont="1" applyFill="1" applyBorder="1" applyAlignment="1">
      <alignment horizontal="center" vertical="center"/>
    </xf>
    <xf numFmtId="0" fontId="33" fillId="0" borderId="25" xfId="0" applyFont="1" applyFill="1" applyBorder="1" applyAlignment="1">
      <alignment horizontal="center" vertical="center"/>
    </xf>
    <xf numFmtId="0" fontId="33" fillId="0" borderId="7" xfId="0" applyFont="1" applyFill="1" applyBorder="1" applyAlignment="1">
      <alignment horizontal="center" vertical="center"/>
    </xf>
    <xf numFmtId="49" fontId="29" fillId="2" borderId="8" xfId="0" applyNumberFormat="1" applyFont="1" applyFill="1" applyBorder="1" applyAlignment="1">
      <alignment horizontal="center" vertical="top"/>
    </xf>
    <xf numFmtId="49" fontId="29" fillId="2" borderId="7" xfId="0" applyNumberFormat="1" applyFont="1" applyFill="1" applyBorder="1" applyAlignment="1">
      <alignment horizontal="center" vertical="top"/>
    </xf>
    <xf numFmtId="167" fontId="30" fillId="0" borderId="1" xfId="7" applyNumberFormat="1" applyFont="1" applyFill="1" applyBorder="1" applyAlignment="1">
      <alignment horizontal="center" vertical="center" wrapText="1"/>
    </xf>
    <xf numFmtId="0" fontId="30" fillId="0" borderId="1" xfId="0" applyFont="1" applyFill="1" applyBorder="1" applyAlignment="1">
      <alignment horizontal="center" vertical="top"/>
    </xf>
    <xf numFmtId="0" fontId="29" fillId="0" borderId="1" xfId="0" applyFont="1" applyFill="1" applyBorder="1" applyAlignment="1">
      <alignment horizontal="center" vertical="top"/>
    </xf>
    <xf numFmtId="49" fontId="29" fillId="2" borderId="8" xfId="0" applyNumberFormat="1" applyFont="1" applyFill="1" applyBorder="1" applyAlignment="1">
      <alignment horizontal="center" vertical="top" wrapText="1"/>
    </xf>
    <xf numFmtId="49" fontId="29" fillId="2" borderId="2" xfId="0" applyNumberFormat="1" applyFont="1" applyFill="1" applyBorder="1" applyAlignment="1">
      <alignment horizontal="center" vertical="top" wrapText="1"/>
    </xf>
    <xf numFmtId="49" fontId="29" fillId="2" borderId="7" xfId="0" applyNumberFormat="1" applyFont="1" applyFill="1" applyBorder="1" applyAlignment="1">
      <alignment horizontal="center" vertical="top" wrapText="1"/>
    </xf>
    <xf numFmtId="167" fontId="29" fillId="2" borderId="1" xfId="7" applyNumberFormat="1" applyFont="1" applyFill="1" applyBorder="1" applyAlignment="1">
      <alignment horizontal="center" vertical="center" wrapText="1"/>
    </xf>
    <xf numFmtId="49" fontId="29" fillId="0" borderId="4" xfId="0" applyNumberFormat="1" applyFont="1" applyFill="1" applyBorder="1" applyAlignment="1">
      <alignment horizontal="center" vertical="top"/>
    </xf>
    <xf numFmtId="49" fontId="30" fillId="0" borderId="1" xfId="0" applyNumberFormat="1" applyFont="1" applyFill="1" applyBorder="1" applyAlignment="1">
      <alignment horizontal="center" vertical="center"/>
    </xf>
    <xf numFmtId="49" fontId="30" fillId="0" borderId="2" xfId="0" applyNumberFormat="1" applyFont="1" applyFill="1" applyBorder="1" applyAlignment="1">
      <alignment horizontal="center" vertical="top" wrapText="1"/>
    </xf>
    <xf numFmtId="167" fontId="29" fillId="0" borderId="1" xfId="7" applyNumberFormat="1" applyFont="1" applyFill="1" applyBorder="1" applyAlignment="1">
      <alignment horizontal="center" vertical="center" wrapText="1"/>
    </xf>
    <xf numFmtId="167" fontId="29" fillId="2" borderId="8" xfId="7" applyNumberFormat="1" applyFont="1" applyFill="1" applyBorder="1" applyAlignment="1">
      <alignment horizontal="center" vertical="center"/>
    </xf>
    <xf numFmtId="167" fontId="29" fillId="2" borderId="2" xfId="7" applyNumberFormat="1" applyFont="1" applyFill="1" applyBorder="1" applyAlignment="1">
      <alignment horizontal="center" vertical="center"/>
    </xf>
    <xf numFmtId="167" fontId="29" fillId="2" borderId="7" xfId="7" applyNumberFormat="1" applyFont="1" applyFill="1" applyBorder="1" applyAlignment="1">
      <alignment horizontal="center" vertical="center"/>
    </xf>
    <xf numFmtId="0" fontId="30" fillId="0" borderId="1" xfId="2" applyFont="1" applyFill="1" applyBorder="1" applyAlignment="1">
      <alignment horizontal="center" vertical="top" wrapText="1"/>
    </xf>
    <xf numFmtId="0" fontId="29" fillId="0" borderId="8" xfId="2" applyFont="1" applyFill="1" applyBorder="1" applyAlignment="1">
      <alignment horizontal="center" vertical="center" wrapText="1"/>
    </xf>
    <xf numFmtId="0" fontId="29" fillId="0" borderId="2" xfId="2" applyFont="1" applyFill="1" applyBorder="1" applyAlignment="1">
      <alignment horizontal="center" vertical="center" wrapText="1"/>
    </xf>
    <xf numFmtId="0" fontId="29" fillId="0" borderId="7" xfId="2" applyFont="1" applyFill="1" applyBorder="1" applyAlignment="1">
      <alignment horizontal="center" vertical="center" wrapText="1"/>
    </xf>
    <xf numFmtId="167" fontId="34" fillId="0" borderId="7" xfId="0" applyNumberFormat="1" applyFont="1" applyBorder="1" applyAlignment="1">
      <alignment horizontal="center" vertical="center" wrapText="1"/>
    </xf>
    <xf numFmtId="1" fontId="34" fillId="2" borderId="1" xfId="0" applyNumberFormat="1" applyFont="1" applyFill="1" applyBorder="1" applyAlignment="1">
      <alignment vertical="center" wrapText="1"/>
    </xf>
    <xf numFmtId="167" fontId="30" fillId="0" borderId="8" xfId="2" applyNumberFormat="1" applyFont="1" applyFill="1" applyBorder="1" applyAlignment="1">
      <alignment horizontal="center" vertical="center" wrapText="1"/>
    </xf>
    <xf numFmtId="0" fontId="30" fillId="0" borderId="2" xfId="2" applyFont="1" applyFill="1" applyBorder="1" applyAlignment="1">
      <alignment horizontal="center" vertical="center" wrapText="1"/>
    </xf>
    <xf numFmtId="0" fontId="30" fillId="0" borderId="7" xfId="2" applyFont="1" applyFill="1" applyBorder="1" applyAlignment="1">
      <alignment horizontal="center" vertical="center" wrapText="1"/>
    </xf>
    <xf numFmtId="0" fontId="30" fillId="3" borderId="12" xfId="0" applyFont="1" applyFill="1" applyBorder="1" applyAlignment="1">
      <alignment horizontal="left" vertical="center" wrapText="1"/>
    </xf>
    <xf numFmtId="0" fontId="30" fillId="3" borderId="9" xfId="0" applyFont="1" applyFill="1" applyBorder="1" applyAlignment="1">
      <alignment horizontal="left" vertical="center" wrapText="1"/>
    </xf>
    <xf numFmtId="169" fontId="34" fillId="2" borderId="25" xfId="0" applyNumberFormat="1" applyFont="1" applyFill="1" applyBorder="1" applyAlignment="1">
      <alignment horizontal="center" vertical="center"/>
    </xf>
    <xf numFmtId="171" fontId="30" fillId="0" borderId="8" xfId="0" applyNumberFormat="1" applyFont="1" applyFill="1" applyBorder="1" applyAlignment="1">
      <alignment horizontal="center" vertical="center"/>
    </xf>
    <xf numFmtId="171" fontId="30" fillId="0" borderId="7" xfId="0" applyNumberFormat="1" applyFont="1" applyFill="1" applyBorder="1" applyAlignment="1">
      <alignment horizontal="center" vertical="center"/>
    </xf>
    <xf numFmtId="169" fontId="30" fillId="0" borderId="8" xfId="0" applyNumberFormat="1" applyFont="1" applyFill="1" applyBorder="1" applyAlignment="1">
      <alignment horizontal="center" vertical="center" wrapText="1"/>
    </xf>
    <xf numFmtId="169" fontId="30" fillId="0" borderId="7" xfId="0" applyNumberFormat="1" applyFont="1" applyFill="1" applyBorder="1" applyAlignment="1">
      <alignment horizontal="center" vertical="center" wrapText="1"/>
    </xf>
    <xf numFmtId="1" fontId="34" fillId="2" borderId="1" xfId="0" applyNumberFormat="1" applyFont="1" applyFill="1" applyBorder="1" applyAlignment="1">
      <alignment horizontal="center" vertical="center"/>
    </xf>
    <xf numFmtId="0" fontId="29" fillId="0" borderId="1" xfId="158" applyFont="1" applyFill="1" applyBorder="1" applyAlignment="1">
      <alignment horizontal="left" vertical="center" wrapText="1"/>
    </xf>
    <xf numFmtId="167" fontId="29" fillId="0" borderId="25" xfId="0" applyNumberFormat="1" applyFont="1" applyFill="1" applyBorder="1" applyAlignment="1">
      <alignment horizontal="center" vertical="center" wrapText="1"/>
    </xf>
    <xf numFmtId="169" fontId="30" fillId="3" borderId="4" xfId="0" applyNumberFormat="1" applyFont="1" applyFill="1" applyBorder="1" applyAlignment="1">
      <alignment horizontal="left"/>
    </xf>
    <xf numFmtId="169" fontId="30" fillId="3" borderId="5" xfId="0" applyNumberFormat="1" applyFont="1" applyFill="1" applyBorder="1" applyAlignment="1">
      <alignment horizontal="left"/>
    </xf>
    <xf numFmtId="169" fontId="30" fillId="3" borderId="6" xfId="0" applyNumberFormat="1" applyFont="1" applyFill="1" applyBorder="1" applyAlignment="1">
      <alignment horizontal="left"/>
    </xf>
    <xf numFmtId="169" fontId="29" fillId="2" borderId="1" xfId="0" applyNumberFormat="1" applyFont="1" applyFill="1" applyBorder="1" applyAlignment="1">
      <alignment horizontal="center" vertical="center"/>
    </xf>
    <xf numFmtId="0" fontId="30" fillId="2" borderId="25" xfId="0" applyFont="1" applyFill="1" applyBorder="1" applyAlignment="1">
      <alignment horizontal="center" vertical="center"/>
    </xf>
    <xf numFmtId="0" fontId="30" fillId="2" borderId="2" xfId="0" applyFont="1" applyFill="1" applyBorder="1" applyAlignment="1">
      <alignment horizontal="center" vertical="center"/>
    </xf>
    <xf numFmtId="0" fontId="30" fillId="2" borderId="7" xfId="0" applyFont="1" applyFill="1" applyBorder="1" applyAlignment="1">
      <alignment horizontal="center" vertical="center"/>
    </xf>
    <xf numFmtId="169" fontId="30" fillId="4" borderId="1" xfId="0" applyNumberFormat="1" applyFont="1" applyFill="1" applyBorder="1" applyAlignment="1">
      <alignment horizontal="left" vertical="center" wrapText="1"/>
    </xf>
    <xf numFmtId="169" fontId="34" fillId="0" borderId="8" xfId="0" applyNumberFormat="1" applyFont="1" applyFill="1" applyBorder="1" applyAlignment="1">
      <alignment vertical="center"/>
    </xf>
    <xf numFmtId="169" fontId="34" fillId="0" borderId="7" xfId="0" applyNumberFormat="1" applyFont="1" applyFill="1" applyBorder="1" applyAlignment="1">
      <alignment vertical="center"/>
    </xf>
    <xf numFmtId="169" fontId="30" fillId="3" borderId="1" xfId="0" applyNumberFormat="1" applyFont="1" applyFill="1" applyBorder="1" applyAlignment="1"/>
    <xf numFmtId="0" fontId="33" fillId="4" borderId="4" xfId="0" applyFont="1" applyFill="1" applyBorder="1" applyAlignment="1">
      <alignment horizontal="left" vertical="center" wrapText="1"/>
    </xf>
    <xf numFmtId="0" fontId="33" fillId="4" borderId="5" xfId="0" applyFont="1" applyFill="1" applyBorder="1" applyAlignment="1">
      <alignment horizontal="left" vertical="center" wrapText="1"/>
    </xf>
    <xf numFmtId="0" fontId="33" fillId="4" borderId="6" xfId="0" applyFont="1" applyFill="1" applyBorder="1" applyAlignment="1">
      <alignment horizontal="left" vertical="center" wrapText="1"/>
    </xf>
    <xf numFmtId="0" fontId="30" fillId="4" borderId="27" xfId="0" applyFont="1" applyFill="1" applyBorder="1" applyAlignment="1">
      <alignment horizontal="left"/>
    </xf>
    <xf numFmtId="0" fontId="30" fillId="4" borderId="28" xfId="0" applyFont="1" applyFill="1" applyBorder="1" applyAlignment="1">
      <alignment horizontal="left"/>
    </xf>
    <xf numFmtId="169" fontId="30" fillId="3" borderId="26" xfId="0" applyNumberFormat="1" applyFont="1" applyFill="1" applyBorder="1" applyAlignment="1">
      <alignment horizontal="left"/>
    </xf>
    <xf numFmtId="169" fontId="30" fillId="3" borderId="27" xfId="0" applyNumberFormat="1" applyFont="1" applyFill="1" applyBorder="1" applyAlignment="1">
      <alignment horizontal="left"/>
    </xf>
    <xf numFmtId="169" fontId="30" fillId="3" borderId="28" xfId="0" applyNumberFormat="1" applyFont="1" applyFill="1" applyBorder="1" applyAlignment="1">
      <alignment horizontal="left"/>
    </xf>
    <xf numFmtId="49" fontId="29" fillId="0" borderId="8" xfId="158" applyNumberFormat="1" applyFont="1" applyFill="1" applyBorder="1" applyAlignment="1">
      <alignment horizontal="center" vertical="center"/>
    </xf>
    <xf numFmtId="49" fontId="29" fillId="0" borderId="7" xfId="158" applyNumberFormat="1" applyFont="1" applyFill="1" applyBorder="1" applyAlignment="1">
      <alignment horizontal="center" vertical="center"/>
    </xf>
    <xf numFmtId="169" fontId="29" fillId="0" borderId="2" xfId="158" applyNumberFormat="1" applyFont="1" applyFill="1" applyBorder="1" applyAlignment="1">
      <alignment horizontal="center" vertical="center"/>
    </xf>
    <xf numFmtId="49" fontId="29" fillId="0" borderId="2" xfId="158" applyNumberFormat="1" applyFont="1" applyFill="1" applyBorder="1" applyAlignment="1">
      <alignment horizontal="center" vertical="center"/>
    </xf>
    <xf numFmtId="0" fontId="33" fillId="3" borderId="0" xfId="0" applyFont="1" applyFill="1" applyBorder="1" applyAlignment="1">
      <alignment horizontal="left" vertical="center"/>
    </xf>
    <xf numFmtId="0" fontId="33" fillId="3" borderId="29" xfId="0" applyFont="1" applyFill="1" applyBorder="1" applyAlignment="1">
      <alignment horizontal="left" vertical="center"/>
    </xf>
    <xf numFmtId="0" fontId="33" fillId="4" borderId="1" xfId="0" applyFont="1" applyFill="1" applyBorder="1" applyAlignment="1">
      <alignment horizontal="left" vertical="center" wrapText="1"/>
    </xf>
    <xf numFmtId="0" fontId="36" fillId="0" borderId="1" xfId="0" applyFont="1" applyFill="1" applyBorder="1" applyAlignment="1">
      <alignment horizontal="left" vertical="center" wrapText="1"/>
    </xf>
    <xf numFmtId="0" fontId="29" fillId="2" borderId="25" xfId="0" applyFont="1" applyFill="1" applyBorder="1" applyAlignment="1">
      <alignment horizontal="center" vertical="center" wrapText="1"/>
    </xf>
    <xf numFmtId="169" fontId="30" fillId="4" borderId="1" xfId="0" applyNumberFormat="1" applyFont="1" applyFill="1" applyBorder="1" applyAlignment="1">
      <alignment horizontal="left"/>
    </xf>
    <xf numFmtId="169" fontId="30" fillId="3" borderId="4" xfId="0" applyNumberFormat="1" applyFont="1" applyFill="1" applyBorder="1" applyAlignment="1"/>
    <xf numFmtId="0" fontId="30" fillId="4" borderId="1" xfId="0" applyFont="1" applyFill="1" applyBorder="1" applyAlignment="1">
      <alignment horizontal="left" wrapText="1"/>
    </xf>
    <xf numFmtId="169" fontId="29" fillId="0" borderId="1" xfId="0" applyNumberFormat="1" applyFont="1" applyFill="1" applyBorder="1" applyAlignment="1">
      <alignment horizontal="center" vertical="center"/>
    </xf>
    <xf numFmtId="0" fontId="29" fillId="0" borderId="1" xfId="0" applyFont="1" applyBorder="1" applyAlignment="1">
      <alignment horizontal="left" vertical="center" wrapText="1"/>
    </xf>
    <xf numFmtId="169" fontId="30" fillId="4" borderId="4" xfId="0" applyNumberFormat="1" applyFont="1" applyFill="1" applyBorder="1" applyAlignment="1">
      <alignment horizontal="left"/>
    </xf>
    <xf numFmtId="169" fontId="30" fillId="4" borderId="5" xfId="0" applyNumberFormat="1" applyFont="1" applyFill="1" applyBorder="1" applyAlignment="1">
      <alignment horizontal="left"/>
    </xf>
    <xf numFmtId="169" fontId="30" fillId="4" borderId="6" xfId="0" applyNumberFormat="1" applyFont="1" applyFill="1" applyBorder="1" applyAlignment="1">
      <alignment horizontal="left"/>
    </xf>
    <xf numFmtId="169" fontId="34" fillId="0" borderId="1" xfId="0" applyNumberFormat="1" applyFont="1" applyFill="1" applyBorder="1" applyAlignment="1">
      <alignment horizontal="center" vertical="center"/>
    </xf>
    <xf numFmtId="0" fontId="33" fillId="2" borderId="25" xfId="0" applyFont="1" applyFill="1" applyBorder="1" applyAlignment="1">
      <alignment horizontal="center" vertical="center"/>
    </xf>
    <xf numFmtId="0" fontId="33" fillId="2" borderId="7" xfId="0" applyFont="1" applyFill="1" applyBorder="1" applyAlignment="1">
      <alignment horizontal="center" vertical="center"/>
    </xf>
    <xf numFmtId="0" fontId="33" fillId="2" borderId="8" xfId="0" applyFont="1" applyFill="1" applyBorder="1" applyAlignment="1">
      <alignment horizontal="center" vertical="center" wrapText="1"/>
    </xf>
    <xf numFmtId="0" fontId="33" fillId="2" borderId="7" xfId="0" applyFont="1" applyFill="1" applyBorder="1" applyAlignment="1">
      <alignment horizontal="center" vertical="center" wrapText="1"/>
    </xf>
    <xf numFmtId="169" fontId="33" fillId="2" borderId="1" xfId="0" applyNumberFormat="1" applyFont="1" applyFill="1" applyBorder="1" applyAlignment="1">
      <alignment horizontal="center" vertical="center"/>
    </xf>
    <xf numFmtId="169" fontId="29" fillId="0" borderId="2" xfId="0" applyNumberFormat="1" applyFont="1" applyBorder="1" applyAlignment="1">
      <alignment horizontal="center" vertical="center"/>
    </xf>
    <xf numFmtId="167" fontId="29" fillId="3" borderId="1" xfId="0" applyNumberFormat="1" applyFont="1" applyFill="1" applyBorder="1"/>
    <xf numFmtId="49" fontId="33" fillId="0" borderId="2" xfId="0" applyNumberFormat="1" applyFont="1" applyFill="1" applyBorder="1" applyAlignment="1">
      <alignment horizontal="center" vertical="center"/>
    </xf>
    <xf numFmtId="169" fontId="38" fillId="2" borderId="8" xfId="0" applyNumberFormat="1" applyFont="1" applyFill="1" applyBorder="1" applyAlignment="1">
      <alignment horizontal="center" vertical="center"/>
    </xf>
    <xf numFmtId="169" fontId="38" fillId="2" borderId="7" xfId="0" applyNumberFormat="1" applyFont="1" applyFill="1" applyBorder="1" applyAlignment="1">
      <alignment horizontal="center" vertical="center"/>
    </xf>
    <xf numFmtId="1" fontId="38" fillId="2" borderId="8" xfId="0" applyNumberFormat="1" applyFont="1" applyFill="1" applyBorder="1" applyAlignment="1">
      <alignment horizontal="center" vertical="center"/>
    </xf>
    <xf numFmtId="1" fontId="38" fillId="2" borderId="7" xfId="0" applyNumberFormat="1" applyFont="1" applyFill="1" applyBorder="1" applyAlignment="1">
      <alignment horizontal="center" vertical="center"/>
    </xf>
    <xf numFmtId="169" fontId="29" fillId="0" borderId="8" xfId="0" applyNumberFormat="1" applyFont="1" applyFill="1" applyBorder="1" applyAlignment="1">
      <alignment horizontal="center" vertical="center"/>
    </xf>
    <xf numFmtId="169" fontId="29" fillId="0" borderId="2" xfId="0" applyNumberFormat="1" applyFont="1" applyFill="1" applyBorder="1" applyAlignment="1">
      <alignment horizontal="center" vertical="center"/>
    </xf>
    <xf numFmtId="169" fontId="29" fillId="0" borderId="7" xfId="0" applyNumberFormat="1" applyFont="1" applyFill="1" applyBorder="1" applyAlignment="1">
      <alignment horizontal="center" vertical="center"/>
    </xf>
    <xf numFmtId="169" fontId="30" fillId="0" borderId="8" xfId="0" applyNumberFormat="1" applyFont="1" applyFill="1" applyBorder="1" applyAlignment="1">
      <alignment horizontal="center" vertical="center"/>
    </xf>
    <xf numFmtId="169" fontId="30" fillId="0" borderId="2" xfId="0" applyNumberFormat="1" applyFont="1" applyFill="1" applyBorder="1" applyAlignment="1">
      <alignment horizontal="center" vertical="center"/>
    </xf>
    <xf numFmtId="169" fontId="30" fillId="0" borderId="7" xfId="0" applyNumberFormat="1" applyFont="1" applyFill="1" applyBorder="1" applyAlignment="1">
      <alignment horizontal="center" vertical="center"/>
    </xf>
    <xf numFmtId="169" fontId="30" fillId="0" borderId="2" xfId="0" applyNumberFormat="1" applyFont="1" applyFill="1" applyBorder="1" applyAlignment="1">
      <alignment horizontal="center" vertical="center" wrapText="1"/>
    </xf>
    <xf numFmtId="1" fontId="34" fillId="2" borderId="25" xfId="0" applyNumberFormat="1" applyFont="1" applyFill="1" applyBorder="1" applyAlignment="1">
      <alignment horizontal="center" vertical="center"/>
    </xf>
    <xf numFmtId="49" fontId="30" fillId="0" borderId="8" xfId="0" applyNumberFormat="1" applyFont="1" applyFill="1" applyBorder="1" applyAlignment="1">
      <alignment horizontal="center" vertical="center" wrapText="1"/>
    </xf>
    <xf numFmtId="49" fontId="30" fillId="0" borderId="2" xfId="0" applyNumberFormat="1" applyFont="1" applyFill="1" applyBorder="1" applyAlignment="1">
      <alignment horizontal="center" vertical="center" wrapText="1"/>
    </xf>
    <xf numFmtId="167" fontId="29" fillId="0" borderId="1" xfId="2" applyNumberFormat="1" applyFont="1" applyFill="1" applyBorder="1" applyAlignment="1">
      <alignment horizontal="center" vertical="center" wrapText="1"/>
    </xf>
    <xf numFmtId="0" fontId="30" fillId="0" borderId="1" xfId="2" applyFont="1" applyFill="1" applyBorder="1" applyAlignment="1">
      <alignment horizontal="left" vertical="center" wrapText="1"/>
    </xf>
    <xf numFmtId="49" fontId="30" fillId="4" borderId="4" xfId="0" applyNumberFormat="1" applyFont="1" applyFill="1" applyBorder="1" applyAlignment="1">
      <alignment horizontal="left"/>
    </xf>
    <xf numFmtId="49" fontId="30" fillId="4" borderId="5" xfId="0" applyNumberFormat="1" applyFont="1" applyFill="1" applyBorder="1" applyAlignment="1">
      <alignment horizontal="left"/>
    </xf>
    <xf numFmtId="168" fontId="29" fillId="2" borderId="1" xfId="151" applyNumberFormat="1" applyFont="1" applyFill="1" applyBorder="1" applyAlignment="1">
      <alignment horizontal="left" vertical="center" wrapText="1"/>
    </xf>
    <xf numFmtId="167" fontId="30" fillId="2" borderId="1" xfId="7" applyNumberFormat="1" applyFont="1" applyFill="1" applyBorder="1" applyAlignment="1">
      <alignment horizontal="center" vertical="center" wrapText="1"/>
    </xf>
    <xf numFmtId="167" fontId="30" fillId="3" borderId="1" xfId="0" applyNumberFormat="1" applyFont="1" applyFill="1" applyBorder="1" applyAlignment="1">
      <alignment horizontal="center"/>
    </xf>
    <xf numFmtId="168" fontId="30" fillId="0" borderId="8" xfId="0" applyNumberFormat="1" applyFont="1" applyBorder="1" applyAlignment="1">
      <alignment horizontal="right" vertical="center"/>
    </xf>
    <xf numFmtId="168" fontId="30" fillId="0" borderId="2" xfId="0" applyNumberFormat="1" applyFont="1" applyBorder="1" applyAlignment="1">
      <alignment horizontal="right" vertical="center"/>
    </xf>
    <xf numFmtId="168" fontId="30" fillId="0" borderId="7" xfId="0" applyNumberFormat="1" applyFont="1" applyBorder="1" applyAlignment="1">
      <alignment horizontal="right" vertical="center"/>
    </xf>
    <xf numFmtId="169" fontId="29" fillId="0" borderId="8" xfId="0" applyNumberFormat="1" applyFont="1" applyBorder="1" applyAlignment="1">
      <alignment horizontal="right" vertical="center"/>
    </xf>
    <xf numFmtId="169" fontId="29" fillId="0" borderId="2" xfId="0" applyNumberFormat="1" applyFont="1" applyBorder="1" applyAlignment="1">
      <alignment horizontal="right" vertical="center"/>
    </xf>
    <xf numFmtId="169" fontId="29" fillId="0" borderId="7" xfId="0" applyNumberFormat="1" applyFont="1" applyBorder="1" applyAlignment="1">
      <alignment horizontal="right" vertical="center"/>
    </xf>
    <xf numFmtId="168" fontId="29" fillId="2" borderId="8" xfId="0" applyNumberFormat="1" applyFont="1" applyFill="1" applyBorder="1" applyAlignment="1">
      <alignment horizontal="left" vertical="center" wrapText="1"/>
    </xf>
    <xf numFmtId="168" fontId="29" fillId="2" borderId="2" xfId="0" applyNumberFormat="1" applyFont="1" applyFill="1" applyBorder="1" applyAlignment="1">
      <alignment horizontal="left" vertical="center" wrapText="1"/>
    </xf>
    <xf numFmtId="168" fontId="29" fillId="2" borderId="7" xfId="0" applyNumberFormat="1" applyFont="1" applyFill="1" applyBorder="1" applyAlignment="1">
      <alignment horizontal="left" vertical="center" wrapText="1"/>
    </xf>
    <xf numFmtId="168" fontId="30" fillId="2" borderId="13" xfId="0" applyNumberFormat="1" applyFont="1" applyFill="1" applyBorder="1" applyAlignment="1">
      <alignment horizontal="center" vertical="center"/>
    </xf>
    <xf numFmtId="168" fontId="30" fillId="2" borderId="29" xfId="0" applyNumberFormat="1" applyFont="1" applyFill="1" applyBorder="1" applyAlignment="1">
      <alignment horizontal="center" vertical="center"/>
    </xf>
    <xf numFmtId="168" fontId="30" fillId="2" borderId="9" xfId="0" applyNumberFormat="1" applyFont="1" applyFill="1" applyBorder="1" applyAlignment="1">
      <alignment horizontal="center" vertical="center"/>
    </xf>
    <xf numFmtId="169" fontId="29" fillId="2" borderId="8" xfId="0" applyNumberFormat="1" applyFont="1" applyFill="1" applyBorder="1" applyAlignment="1">
      <alignment horizontal="center" vertical="center"/>
    </xf>
    <xf numFmtId="169" fontId="29" fillId="2" borderId="2" xfId="0" applyNumberFormat="1" applyFont="1" applyFill="1" applyBorder="1" applyAlignment="1">
      <alignment horizontal="center" vertical="center"/>
    </xf>
    <xf numFmtId="169" fontId="29" fillId="2" borderId="7" xfId="0" applyNumberFormat="1" applyFont="1" applyFill="1" applyBorder="1" applyAlignment="1">
      <alignment horizontal="center" vertical="center"/>
    </xf>
    <xf numFmtId="169" fontId="29" fillId="2" borderId="8" xfId="0" applyNumberFormat="1" applyFont="1" applyFill="1" applyBorder="1" applyAlignment="1">
      <alignment horizontal="right" vertical="center"/>
    </xf>
    <xf numFmtId="169" fontId="29" fillId="2" borderId="2" xfId="0" applyNumberFormat="1" applyFont="1" applyFill="1" applyBorder="1" applyAlignment="1">
      <alignment horizontal="right" vertical="center"/>
    </xf>
    <xf numFmtId="169" fontId="29" fillId="2" borderId="7" xfId="0" applyNumberFormat="1" applyFont="1" applyFill="1" applyBorder="1" applyAlignment="1">
      <alignment horizontal="right" vertical="center"/>
    </xf>
    <xf numFmtId="0" fontId="29" fillId="2" borderId="1" xfId="3" applyFont="1" applyFill="1" applyBorder="1" applyAlignment="1">
      <alignment horizontal="left" vertical="center" wrapText="1"/>
    </xf>
    <xf numFmtId="0" fontId="29" fillId="2" borderId="1" xfId="3" applyFont="1" applyFill="1" applyBorder="1" applyAlignment="1">
      <alignment horizontal="center" vertical="center" wrapText="1"/>
    </xf>
    <xf numFmtId="3" fontId="29" fillId="2" borderId="8" xfId="3" applyNumberFormat="1" applyFont="1" applyFill="1" applyBorder="1" applyAlignment="1">
      <alignment horizontal="center" vertical="center" wrapText="1"/>
    </xf>
    <xf numFmtId="3" fontId="29" fillId="2" borderId="7" xfId="3" applyNumberFormat="1" applyFont="1" applyFill="1" applyBorder="1" applyAlignment="1">
      <alignment horizontal="center" vertical="center" wrapText="1"/>
    </xf>
    <xf numFmtId="0" fontId="29" fillId="2" borderId="8" xfId="3" applyFont="1" applyFill="1" applyBorder="1" applyAlignment="1">
      <alignment horizontal="center" vertical="center" wrapText="1"/>
    </xf>
    <xf numFmtId="0" fontId="29" fillId="2" borderId="7" xfId="3" applyFont="1" applyFill="1" applyBorder="1" applyAlignment="1">
      <alignment horizontal="center" vertical="center" wrapText="1"/>
    </xf>
    <xf numFmtId="0" fontId="29" fillId="2" borderId="8" xfId="3" applyFont="1" applyFill="1" applyBorder="1" applyAlignment="1">
      <alignment horizontal="left" vertical="center" wrapText="1"/>
    </xf>
    <xf numFmtId="0" fontId="29" fillId="2" borderId="2" xfId="0" applyFont="1" applyFill="1" applyBorder="1" applyAlignment="1">
      <alignment horizontal="left" wrapText="1"/>
    </xf>
    <xf numFmtId="0" fontId="29" fillId="2" borderId="2" xfId="3" applyFont="1" applyFill="1" applyBorder="1" applyAlignment="1">
      <alignment horizontal="left" vertical="center" wrapText="1"/>
    </xf>
    <xf numFmtId="0" fontId="29" fillId="2" borderId="7" xfId="3" applyFont="1" applyFill="1" applyBorder="1" applyAlignment="1">
      <alignment horizontal="left" vertical="center" wrapText="1"/>
    </xf>
    <xf numFmtId="1" fontId="29" fillId="2" borderId="8" xfId="16" applyNumberFormat="1" applyFont="1" applyFill="1" applyBorder="1" applyAlignment="1">
      <alignment horizontal="center" vertical="center" wrapText="1"/>
    </xf>
    <xf numFmtId="1" fontId="29" fillId="2" borderId="2" xfId="16" applyNumberFormat="1" applyFont="1" applyFill="1" applyBorder="1" applyAlignment="1">
      <alignment horizontal="center" vertical="center" wrapText="1"/>
    </xf>
    <xf numFmtId="1" fontId="29" fillId="2" borderId="7" xfId="16" applyNumberFormat="1" applyFont="1" applyFill="1" applyBorder="1" applyAlignment="1">
      <alignment horizontal="center" vertical="center" wrapText="1"/>
    </xf>
    <xf numFmtId="167" fontId="29" fillId="2" borderId="1" xfId="7" applyNumberFormat="1" applyFont="1" applyFill="1" applyBorder="1" applyAlignment="1">
      <alignment horizontal="center" vertical="center"/>
    </xf>
    <xf numFmtId="167" fontId="29" fillId="2" borderId="1" xfId="0" applyNumberFormat="1" applyFont="1" applyFill="1" applyBorder="1" applyAlignment="1">
      <alignment horizontal="center" vertical="center"/>
    </xf>
    <xf numFmtId="4" fontId="29" fillId="2" borderId="1" xfId="3" applyNumberFormat="1" applyFont="1" applyFill="1" applyBorder="1" applyAlignment="1">
      <alignment horizontal="left" vertical="center" wrapText="1"/>
    </xf>
    <xf numFmtId="0" fontId="29" fillId="2" borderId="8" xfId="3" applyFont="1" applyFill="1" applyBorder="1" applyAlignment="1">
      <alignment horizontal="right" vertical="center" wrapText="1"/>
    </xf>
    <xf numFmtId="0" fontId="29" fillId="2" borderId="7" xfId="0" applyFont="1" applyFill="1" applyBorder="1" applyAlignment="1">
      <alignment horizontal="right" vertical="center" wrapText="1"/>
    </xf>
    <xf numFmtId="0" fontId="29" fillId="2" borderId="8" xfId="3" applyFont="1" applyFill="1" applyBorder="1" applyAlignment="1">
      <alignment horizontal="right" vertical="center"/>
    </xf>
    <xf numFmtId="168" fontId="30" fillId="2" borderId="1" xfId="0" applyNumberFormat="1" applyFont="1" applyFill="1" applyBorder="1" applyAlignment="1">
      <alignment horizontal="center" vertical="center"/>
    </xf>
    <xf numFmtId="167" fontId="30" fillId="2" borderId="1" xfId="3" applyNumberFormat="1" applyFont="1" applyFill="1" applyBorder="1" applyAlignment="1">
      <alignment horizontal="center" vertical="center" wrapText="1"/>
    </xf>
    <xf numFmtId="0" fontId="30" fillId="2" borderId="1" xfId="3" applyFont="1" applyFill="1" applyBorder="1" applyAlignment="1">
      <alignment horizontal="left" vertical="center" wrapText="1"/>
    </xf>
    <xf numFmtId="9" fontId="29" fillId="2" borderId="8" xfId="3" applyNumberFormat="1" applyFont="1" applyFill="1" applyBorder="1" applyAlignment="1">
      <alignment horizontal="center" vertical="center" wrapText="1"/>
    </xf>
    <xf numFmtId="9" fontId="29" fillId="2" borderId="7" xfId="3" applyNumberFormat="1" applyFont="1" applyFill="1" applyBorder="1" applyAlignment="1">
      <alignment horizontal="center" vertical="center" wrapText="1"/>
    </xf>
    <xf numFmtId="0" fontId="29" fillId="2" borderId="7" xfId="3" applyFont="1" applyFill="1" applyBorder="1" applyAlignment="1">
      <alignment horizontal="right" vertical="center" wrapText="1"/>
    </xf>
    <xf numFmtId="0" fontId="29" fillId="2" borderId="7" xfId="3" applyFont="1" applyFill="1" applyBorder="1" applyAlignment="1">
      <alignment horizontal="right" vertical="center"/>
    </xf>
    <xf numFmtId="167" fontId="29" fillId="2" borderId="1" xfId="3" applyNumberFormat="1" applyFont="1" applyFill="1" applyBorder="1" applyAlignment="1">
      <alignment horizontal="center" vertical="center" wrapText="1"/>
    </xf>
    <xf numFmtId="49" fontId="29" fillId="2" borderId="8" xfId="3" applyNumberFormat="1" applyFont="1" applyFill="1" applyBorder="1" applyAlignment="1">
      <alignment horizontal="center" vertical="center" wrapText="1"/>
    </xf>
    <xf numFmtId="0" fontId="30" fillId="3" borderId="0" xfId="0" applyFont="1" applyFill="1" applyBorder="1" applyAlignment="1">
      <alignment horizontal="left" vertical="center"/>
    </xf>
    <xf numFmtId="0" fontId="30" fillId="3" borderId="29" xfId="0" applyFont="1" applyFill="1" applyBorder="1" applyAlignment="1">
      <alignment horizontal="left" vertical="center"/>
    </xf>
    <xf numFmtId="0" fontId="30" fillId="4" borderId="1" xfId="151" applyFont="1" applyFill="1" applyBorder="1" applyAlignment="1">
      <alignment horizontal="left" vertical="center" wrapText="1"/>
    </xf>
    <xf numFmtId="0" fontId="29" fillId="2" borderId="1" xfId="3" applyFont="1" applyFill="1" applyBorder="1" applyAlignment="1">
      <alignment horizontal="left" vertical="top" wrapText="1"/>
    </xf>
    <xf numFmtId="168" fontId="30" fillId="2" borderId="8" xfId="151" applyNumberFormat="1" applyFont="1" applyFill="1" applyBorder="1" applyAlignment="1">
      <alignment horizontal="center" vertical="top"/>
    </xf>
    <xf numFmtId="168" fontId="30" fillId="2" borderId="7" xfId="151" applyNumberFormat="1" applyFont="1" applyFill="1" applyBorder="1" applyAlignment="1">
      <alignment horizontal="center" vertical="top"/>
    </xf>
    <xf numFmtId="49" fontId="29" fillId="2" borderId="13" xfId="0" applyNumberFormat="1" applyFont="1" applyFill="1" applyBorder="1" applyAlignment="1">
      <alignment horizontal="center" vertical="center"/>
    </xf>
    <xf numFmtId="49" fontId="29" fillId="2" borderId="9" xfId="0" applyNumberFormat="1" applyFont="1" applyFill="1" applyBorder="1" applyAlignment="1">
      <alignment horizontal="center" vertical="center"/>
    </xf>
    <xf numFmtId="49" fontId="29" fillId="2" borderId="8" xfId="0" applyNumberFormat="1" applyFont="1" applyFill="1" applyBorder="1" applyAlignment="1">
      <alignment horizontal="center"/>
    </xf>
    <xf numFmtId="49" fontId="29" fillId="2" borderId="7" xfId="0" applyNumberFormat="1" applyFont="1" applyFill="1" applyBorder="1" applyAlignment="1">
      <alignment horizontal="center"/>
    </xf>
    <xf numFmtId="167" fontId="29" fillId="2" borderId="8" xfId="135" applyNumberFormat="1" applyFont="1" applyFill="1" applyBorder="1" applyAlignment="1">
      <alignment horizontal="center" vertical="center"/>
    </xf>
    <xf numFmtId="167" fontId="29" fillId="2" borderId="7" xfId="135" applyNumberFormat="1" applyFont="1" applyFill="1" applyBorder="1" applyAlignment="1">
      <alignment horizontal="center" vertical="center"/>
    </xf>
    <xf numFmtId="0" fontId="29" fillId="2" borderId="1" xfId="0" applyFont="1" applyFill="1" applyBorder="1" applyAlignment="1">
      <alignment horizontal="center" wrapText="1"/>
    </xf>
    <xf numFmtId="168" fontId="30" fillId="2" borderId="2" xfId="151" applyNumberFormat="1" applyFont="1" applyFill="1" applyBorder="1" applyAlignment="1">
      <alignment horizontal="center" vertical="top"/>
    </xf>
    <xf numFmtId="0" fontId="29" fillId="2" borderId="8" xfId="0" applyFont="1" applyFill="1" applyBorder="1" applyAlignment="1">
      <alignment horizontal="center"/>
    </xf>
    <xf numFmtId="0" fontId="29" fillId="2" borderId="2" xfId="0" applyFont="1" applyFill="1" applyBorder="1" applyAlignment="1">
      <alignment horizontal="center"/>
    </xf>
    <xf numFmtId="0" fontId="29" fillId="2" borderId="7" xfId="0" applyFont="1" applyFill="1" applyBorder="1" applyAlignment="1">
      <alignment horizontal="center"/>
    </xf>
    <xf numFmtId="167" fontId="29" fillId="2" borderId="2" xfId="135" applyNumberFormat="1" applyFont="1" applyFill="1" applyBorder="1" applyAlignment="1">
      <alignment horizontal="center" vertical="center"/>
    </xf>
    <xf numFmtId="168" fontId="30" fillId="2" borderId="1" xfId="151" applyNumberFormat="1" applyFont="1" applyFill="1" applyBorder="1" applyAlignment="1">
      <alignment horizontal="center" vertical="top"/>
    </xf>
    <xf numFmtId="0" fontId="29" fillId="2" borderId="1" xfId="0" applyFont="1" applyFill="1" applyBorder="1" applyAlignment="1">
      <alignment horizontal="center"/>
    </xf>
    <xf numFmtId="167" fontId="29" fillId="2" borderId="8" xfId="135" applyNumberFormat="1" applyFont="1" applyFill="1" applyBorder="1" applyAlignment="1">
      <alignment horizontal="center" vertical="center" wrapText="1"/>
    </xf>
    <xf numFmtId="167" fontId="29" fillId="2" borderId="7" xfId="135" applyNumberFormat="1" applyFont="1" applyFill="1" applyBorder="1" applyAlignment="1">
      <alignment horizontal="center" vertical="center" wrapText="1"/>
    </xf>
    <xf numFmtId="49" fontId="30" fillId="0" borderId="0" xfId="0" applyNumberFormat="1" applyFont="1" applyAlignment="1">
      <alignment horizontal="center" wrapText="1"/>
    </xf>
    <xf numFmtId="0" fontId="29" fillId="2" borderId="8" xfId="0" applyFont="1" applyFill="1" applyBorder="1" applyAlignment="1">
      <alignment horizontal="right"/>
    </xf>
    <xf numFmtId="0" fontId="29" fillId="2" borderId="7" xfId="0" applyFont="1" applyFill="1" applyBorder="1" applyAlignment="1">
      <alignment horizontal="right"/>
    </xf>
    <xf numFmtId="0" fontId="30" fillId="3" borderId="4" xfId="0" applyFont="1" applyFill="1" applyBorder="1" applyAlignment="1">
      <alignment horizontal="left"/>
    </xf>
    <xf numFmtId="0" fontId="30" fillId="3" borderId="5" xfId="0" applyFont="1" applyFill="1" applyBorder="1" applyAlignment="1">
      <alignment horizontal="left"/>
    </xf>
    <xf numFmtId="0" fontId="30" fillId="3" borderId="6" xfId="0" applyFont="1" applyFill="1" applyBorder="1" applyAlignment="1">
      <alignment horizontal="left"/>
    </xf>
    <xf numFmtId="49" fontId="33" fillId="0" borderId="8" xfId="0" applyNumberFormat="1" applyFont="1" applyBorder="1" applyAlignment="1">
      <alignment horizontal="center" vertical="center"/>
    </xf>
    <xf numFmtId="49" fontId="33" fillId="0" borderId="2" xfId="0" applyNumberFormat="1" applyFont="1" applyBorder="1" applyAlignment="1">
      <alignment horizontal="center" vertical="center"/>
    </xf>
    <xf numFmtId="49" fontId="33" fillId="0" borderId="7" xfId="0" applyNumberFormat="1" applyFont="1" applyBorder="1" applyAlignment="1">
      <alignment horizontal="center" vertical="center"/>
    </xf>
    <xf numFmtId="49" fontId="29" fillId="2" borderId="11" xfId="0" applyNumberFormat="1" applyFont="1" applyFill="1" applyBorder="1" applyAlignment="1">
      <alignment horizontal="center" vertical="center"/>
    </xf>
    <xf numFmtId="49" fontId="29" fillId="2" borderId="3" xfId="0" applyNumberFormat="1" applyFont="1" applyFill="1" applyBorder="1" applyAlignment="1">
      <alignment horizontal="center" vertical="center"/>
    </xf>
    <xf numFmtId="49" fontId="29" fillId="2" borderId="10" xfId="0" applyNumberFormat="1" applyFont="1" applyFill="1" applyBorder="1" applyAlignment="1">
      <alignment horizontal="center" vertical="center"/>
    </xf>
    <xf numFmtId="167" fontId="29" fillId="2" borderId="2" xfId="135" applyNumberFormat="1" applyFont="1" applyFill="1" applyBorder="1" applyAlignment="1">
      <alignment horizontal="center" vertical="center" wrapText="1"/>
    </xf>
  </cellXfs>
  <cellStyles count="166">
    <cellStyle name="20% - Accent1" xfId="63"/>
    <cellStyle name="20% - Accent2" xfId="64"/>
    <cellStyle name="20% - Accent3" xfId="65"/>
    <cellStyle name="20% - Accent4" xfId="66"/>
    <cellStyle name="20% - Accent5" xfId="67"/>
    <cellStyle name="20% - Accent6" xfId="68"/>
    <cellStyle name="40% - Accent1" xfId="69"/>
    <cellStyle name="40% - Accent2" xfId="70"/>
    <cellStyle name="40% - Accent3" xfId="71"/>
    <cellStyle name="40% - Accent4" xfId="72"/>
    <cellStyle name="40% - Accent5" xfId="73"/>
    <cellStyle name="40% - Accent6" xfId="74"/>
    <cellStyle name="60% - Accent1" xfId="75"/>
    <cellStyle name="60% - Accent2" xfId="76"/>
    <cellStyle name="60% - Accent3" xfId="77"/>
    <cellStyle name="60% - Accent4" xfId="78"/>
    <cellStyle name="60% - Accent5" xfId="79"/>
    <cellStyle name="60% - Accent6" xfId="80"/>
    <cellStyle name="Accent1" xfId="81"/>
    <cellStyle name="Accent2" xfId="82"/>
    <cellStyle name="Accent3" xfId="83"/>
    <cellStyle name="Accent4" xfId="84"/>
    <cellStyle name="Accent5" xfId="85"/>
    <cellStyle name="Accent6" xfId="86"/>
    <cellStyle name="Bad" xfId="87"/>
    <cellStyle name="Calculation" xfId="88"/>
    <cellStyle name="Check Cell" xfId="89"/>
    <cellStyle name="Excel Built-in Normal" xfId="157"/>
    <cellStyle name="Explanatory Text" xfId="90"/>
    <cellStyle name="Good" xfId="91"/>
    <cellStyle name="Heading 1" xfId="92"/>
    <cellStyle name="Heading 2" xfId="93"/>
    <cellStyle name="Heading 3" xfId="94"/>
    <cellStyle name="Heading 4" xfId="95"/>
    <cellStyle name="Input" xfId="96"/>
    <cellStyle name="Linked Cell" xfId="97"/>
    <cellStyle name="Neutral" xfId="98"/>
    <cellStyle name="Normal 4" xfId="9"/>
    <cellStyle name="Note" xfId="99"/>
    <cellStyle name="Output" xfId="100"/>
    <cellStyle name="Title" xfId="101"/>
    <cellStyle name="Total" xfId="102"/>
    <cellStyle name="Warning Text" xfId="103"/>
    <cellStyle name="Денежный 2" xfId="15"/>
    <cellStyle name="Обычный" xfId="0" builtinId="0"/>
    <cellStyle name="Обычный 10" xfId="152"/>
    <cellStyle name="Обычный 10 2" xfId="151"/>
    <cellStyle name="Обычный 11" xfId="158"/>
    <cellStyle name="Обычный 12" xfId="162"/>
    <cellStyle name="Обычный 13" xfId="160"/>
    <cellStyle name="Обычный 14" xfId="159"/>
    <cellStyle name="Обычный 2" xfId="2"/>
    <cellStyle name="Обычный 2 2" xfId="17"/>
    <cellStyle name="Обычный 2 2 2" xfId="105"/>
    <cellStyle name="Обычный 2 2 3" xfId="147"/>
    <cellStyle name="Обычный 2 2 4" xfId="156"/>
    <cellStyle name="Обычный 2 3" xfId="18"/>
    <cellStyle name="Обычный 2 4" xfId="104"/>
    <cellStyle name="Обычный 2 5" xfId="154"/>
    <cellStyle name="Обычный 2 5 2" xfId="165"/>
    <cellStyle name="Обычный 2_09.04.2014_Programme budget 2014_Education_Modified" xfId="3"/>
    <cellStyle name="Обычный 2_Бюджетный циркуляр 2015г.Нацстат 2" xfId="164"/>
    <cellStyle name="Обычный 3" xfId="5"/>
    <cellStyle name="Обычный 3 2" xfId="19"/>
    <cellStyle name="Обычный 3 3" xfId="20"/>
    <cellStyle name="Обычный 3 3 2" xfId="21"/>
    <cellStyle name="Обычный 3 3 2 2" xfId="4"/>
    <cellStyle name="Обычный 3 3 2 2 2" xfId="45"/>
    <cellStyle name="Обычный 3 3 2 2 3" xfId="109"/>
    <cellStyle name="Обычный 3 3 2 3" xfId="44"/>
    <cellStyle name="Обычный 3 3 2 4" xfId="108"/>
    <cellStyle name="Обычный 3 3 2_09.04.2014_Programme budget 2014_Education_Modified" xfId="110"/>
    <cellStyle name="Обычный 3 3 3" xfId="22"/>
    <cellStyle name="Обычный 3 3 3 2" xfId="46"/>
    <cellStyle name="Обычный 3 3 3 3" xfId="111"/>
    <cellStyle name="Обычный 3 3 4" xfId="43"/>
    <cellStyle name="Обычный 3 3 5" xfId="107"/>
    <cellStyle name="Обычный 3 3_09.04.2014_Programme budget 2014_Education_Modified" xfId="112"/>
    <cellStyle name="Обычный 3 4" xfId="23"/>
    <cellStyle name="Обычный 3 4 2" xfId="24"/>
    <cellStyle name="Обычный 3 4 2 2" xfId="48"/>
    <cellStyle name="Обычный 3 4 2 3" xfId="114"/>
    <cellStyle name="Обычный 3 4 3" xfId="47"/>
    <cellStyle name="Обычный 3 4 4" xfId="113"/>
    <cellStyle name="Обычный 3 4_09.04.2014_Programme budget 2014_Education_Modified" xfId="115"/>
    <cellStyle name="Обычный 3 5" xfId="25"/>
    <cellStyle name="Обычный 3 5 2" xfId="49"/>
    <cellStyle name="Обычный 3 5 3" xfId="116"/>
    <cellStyle name="Обычный 3 6" xfId="42"/>
    <cellStyle name="Обычный 3 7" xfId="106"/>
    <cellStyle name="Обычный 3_09.04.2014_Programme budget 2014_Education_Modified" xfId="117"/>
    <cellStyle name="Обычный 4" xfId="8"/>
    <cellStyle name="Обычный 4 2" xfId="27"/>
    <cellStyle name="Обычный 4 2 2" xfId="28"/>
    <cellStyle name="Обычный 4 2 2 2" xfId="52"/>
    <cellStyle name="Обычный 4 2 2 3" xfId="120"/>
    <cellStyle name="Обычный 4 2 3" xfId="51"/>
    <cellStyle name="Обычный 4 2 4" xfId="119"/>
    <cellStyle name="Обычный 4 2 5" xfId="145"/>
    <cellStyle name="Обычный 4 2_09.04.2014_Programme budget 2014_Education_Modified" xfId="121"/>
    <cellStyle name="Обычный 4 3" xfId="29"/>
    <cellStyle name="Обычный 4 3 2" xfId="53"/>
    <cellStyle name="Обычный 4 3 3" xfId="122"/>
    <cellStyle name="Обычный 4 4" xfId="50"/>
    <cellStyle name="Обычный 4 5" xfId="26"/>
    <cellStyle name="Обычный 4 6" xfId="118"/>
    <cellStyle name="Обычный 4 7" xfId="155"/>
    <cellStyle name="Обычный 4_09.04.2014_Programme budget 2014_Education_Modified" xfId="123"/>
    <cellStyle name="Обычный 5" xfId="6"/>
    <cellStyle name="Обычный 5 2" xfId="14"/>
    <cellStyle name="Обычный 5 3" xfId="124"/>
    <cellStyle name="Обычный 5 4" xfId="143"/>
    <cellStyle name="Обычный 6" xfId="13"/>
    <cellStyle name="Обычный 6 2" xfId="31"/>
    <cellStyle name="Обычный 6 2 2" xfId="32"/>
    <cellStyle name="Обычный 6 2 2 2" xfId="56"/>
    <cellStyle name="Обычный 6 2 2 3" xfId="127"/>
    <cellStyle name="Обычный 6 2 3" xfId="55"/>
    <cellStyle name="Обычный 6 2 4" xfId="126"/>
    <cellStyle name="Обычный 6 2_09.04.2014_Programme budget 2014_Education_Modified" xfId="128"/>
    <cellStyle name="Обычный 6 3" xfId="33"/>
    <cellStyle name="Обычный 6 3 2" xfId="57"/>
    <cellStyle name="Обычный 6 3 3" xfId="129"/>
    <cellStyle name="Обычный 6 4" xfId="54"/>
    <cellStyle name="Обычный 6 5" xfId="30"/>
    <cellStyle name="Обычный 6 6" xfId="125"/>
    <cellStyle name="Обычный 6_09.04.2014_Programme budget 2014_Education_Modified" xfId="130"/>
    <cellStyle name="Обычный 7" xfId="137"/>
    <cellStyle name="Обычный 8" xfId="138"/>
    <cellStyle name="Обычный 9" xfId="141"/>
    <cellStyle name="Процентный" xfId="163" builtinId="5"/>
    <cellStyle name="Процентный 2" xfId="10"/>
    <cellStyle name="Процентный 2 2" xfId="35"/>
    <cellStyle name="Процентный 2 3" xfId="34"/>
    <cellStyle name="Процентный 2 4" xfId="139"/>
    <cellStyle name="Процентный 3" xfId="11"/>
    <cellStyle name="Процентный 4" xfId="16"/>
    <cellStyle name="Процентный 5" xfId="136"/>
    <cellStyle name="Стиль 1" xfId="62"/>
    <cellStyle name="Финансовый" xfId="1" builtinId="3"/>
    <cellStyle name="Финансовый 10" xfId="161"/>
    <cellStyle name="Финансовый 2" xfId="12"/>
    <cellStyle name="Финансовый 2 2" xfId="37"/>
    <cellStyle name="Финансовый 2 2 2" xfId="38"/>
    <cellStyle name="Финансовый 2 2 2 2" xfId="39"/>
    <cellStyle name="Финансовый 2 2 2 2 2" xfId="60"/>
    <cellStyle name="Финансовый 2 2 2 2 3" xfId="133"/>
    <cellStyle name="Финансовый 2 2 2 3" xfId="59"/>
    <cellStyle name="Финансовый 2 2 2 4" xfId="132"/>
    <cellStyle name="Финансовый 2 2 3" xfId="40"/>
    <cellStyle name="Финансовый 2 2 3 2" xfId="61"/>
    <cellStyle name="Финансовый 2 2 3 3" xfId="134"/>
    <cellStyle name="Финансовый 2 2 4" xfId="58"/>
    <cellStyle name="Финансовый 2 2 5" xfId="131"/>
    <cellStyle name="Финансовый 2 3" xfId="36"/>
    <cellStyle name="Финансовый 2 4" xfId="140"/>
    <cellStyle name="Финансовый 3" xfId="7"/>
    <cellStyle name="Финансовый 3 2" xfId="41"/>
    <cellStyle name="Финансовый 3 3" xfId="144"/>
    <cellStyle name="Финансовый 3 4" xfId="146"/>
    <cellStyle name="Финансовый 4" xfId="135"/>
    <cellStyle name="Финансовый 4 2" xfId="142"/>
    <cellStyle name="Финансовый 4 3" xfId="150"/>
    <cellStyle name="Финансовый 5" xfId="148"/>
    <cellStyle name="Финансовый 6" xfId="149"/>
    <cellStyle name="Финансовый 7" xfId="1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Z5C0A~1.ISM/AppData/Local/Temp/&#1046;&#1086;&#1075;&#1086;&#1088;&#1082;&#1091;%20&#1050;&#1077;&#1085;&#1077;&#1096;%20&#1050;&#1056;-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вод"/>
      <sheetName val="приложение 1 "/>
      <sheetName val="приложение  2"/>
      <sheetName val="пр 3-1"/>
      <sheetName val="пр 3-2"/>
      <sheetName val="Пр 3-3"/>
      <sheetName val="Пр 3-4"/>
      <sheetName val="пр 3-5"/>
      <sheetName val="пр 3-6"/>
      <sheetName val="пр 3-9"/>
      <sheetName val="пр 3-10"/>
      <sheetName val="пр 3-11"/>
      <sheetName val="пр 3-12"/>
      <sheetName val="пр 3-13"/>
      <sheetName val="пр 3-14"/>
      <sheetName val="пр 3-15"/>
      <sheetName val="пр 3-16"/>
      <sheetName val="пр 3-17"/>
      <sheetName val="пр 3-18"/>
      <sheetName val="пр 3-19"/>
      <sheetName val="пр 3-20"/>
      <sheetName val="приложение 4-1"/>
      <sheetName val="приложение 4-2"/>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C2024"/>
  <sheetViews>
    <sheetView tabSelected="1" view="pageBreakPreview" zoomScale="60" zoomScaleNormal="90" workbookViewId="0">
      <selection activeCell="Q2017" sqref="A1:T2017"/>
    </sheetView>
  </sheetViews>
  <sheetFormatPr defaultRowHeight="15" x14ac:dyDescent="0.25"/>
  <cols>
    <col min="1" max="1" width="0.28515625" style="16" customWidth="1"/>
    <col min="2" max="2" width="7.85546875" style="19" customWidth="1"/>
    <col min="3" max="3" width="7.85546875" style="6" customWidth="1"/>
    <col min="4" max="4" width="7.85546875" style="10" customWidth="1"/>
    <col min="5" max="5" width="46.5703125" style="803" customWidth="1"/>
    <col min="6" max="10" width="17.5703125" style="88" customWidth="1"/>
    <col min="11" max="11" width="42.28515625" style="846" customWidth="1"/>
    <col min="12" max="12" width="13.85546875" style="1535" customWidth="1"/>
    <col min="13" max="17" width="14.140625" style="10" customWidth="1"/>
    <col min="18" max="18" width="0.7109375" style="10" customWidth="1"/>
    <col min="19" max="20" width="9.140625" style="10" hidden="1" customWidth="1"/>
    <col min="21" max="16384" width="9.140625" style="10"/>
  </cols>
  <sheetData>
    <row r="1" spans="1:20" ht="15" customHeight="1" x14ac:dyDescent="0.25">
      <c r="L1" s="2118" t="s">
        <v>1179</v>
      </c>
      <c r="M1" s="2118"/>
      <c r="N1" s="2118"/>
      <c r="O1" s="2118"/>
      <c r="P1" s="2118"/>
      <c r="Q1" s="2118"/>
    </row>
    <row r="2" spans="1:20" x14ac:dyDescent="0.25">
      <c r="I2" s="12" t="s">
        <v>13</v>
      </c>
      <c r="L2" s="2118"/>
      <c r="M2" s="2118"/>
      <c r="N2" s="2118"/>
      <c r="O2" s="2118"/>
      <c r="P2" s="2118"/>
      <c r="Q2" s="2118"/>
    </row>
    <row r="3" spans="1:20" x14ac:dyDescent="0.25">
      <c r="L3" s="2118"/>
      <c r="M3" s="2118"/>
      <c r="N3" s="2118"/>
      <c r="O3" s="2118"/>
      <c r="P3" s="2118"/>
      <c r="Q3" s="2118"/>
    </row>
    <row r="4" spans="1:20" x14ac:dyDescent="0.25">
      <c r="L4" s="2118"/>
      <c r="M4" s="2118"/>
      <c r="N4" s="2118"/>
      <c r="O4" s="2118"/>
      <c r="P4" s="2118"/>
      <c r="Q4" s="2118"/>
    </row>
    <row r="5" spans="1:20" x14ac:dyDescent="0.25">
      <c r="A5" s="17"/>
      <c r="B5" s="1"/>
      <c r="C5" s="15"/>
      <c r="D5" s="2"/>
      <c r="E5" s="3"/>
      <c r="P5" s="9"/>
      <c r="Q5" s="13" t="s">
        <v>884</v>
      </c>
    </row>
    <row r="6" spans="1:20" ht="15" customHeight="1" x14ac:dyDescent="0.25">
      <c r="A6" s="2460" t="s">
        <v>139</v>
      </c>
      <c r="B6" s="2460"/>
      <c r="C6" s="2460"/>
      <c r="D6" s="2460"/>
      <c r="E6" s="2460"/>
      <c r="F6" s="2460"/>
      <c r="P6" s="9"/>
      <c r="Q6" s="9"/>
    </row>
    <row r="8" spans="1:20" ht="15" customHeight="1" x14ac:dyDescent="0.25">
      <c r="A8" s="2257">
        <v>11</v>
      </c>
      <c r="B8" s="2262" t="s">
        <v>0</v>
      </c>
      <c r="C8" s="2260" t="s">
        <v>3001</v>
      </c>
      <c r="D8" s="2261" t="s">
        <v>1</v>
      </c>
      <c r="E8" s="1800" t="s">
        <v>138</v>
      </c>
      <c r="F8" s="2267" t="s">
        <v>970</v>
      </c>
      <c r="G8" s="2268"/>
      <c r="H8" s="2268"/>
      <c r="I8" s="2268"/>
      <c r="J8" s="1855"/>
      <c r="K8" s="2264" t="s">
        <v>499</v>
      </c>
      <c r="L8" s="1864" t="s">
        <v>890</v>
      </c>
      <c r="M8" s="1864"/>
      <c r="N8" s="2263" t="s">
        <v>883</v>
      </c>
      <c r="O8" s="2263"/>
      <c r="P8" s="2263"/>
      <c r="Q8" s="2263"/>
      <c r="R8" s="6"/>
      <c r="S8" s="4"/>
      <c r="T8" s="5"/>
    </row>
    <row r="9" spans="1:20" x14ac:dyDescent="0.25">
      <c r="A9" s="2258"/>
      <c r="B9" s="2262"/>
      <c r="C9" s="2260"/>
      <c r="D9" s="2261"/>
      <c r="E9" s="1800"/>
      <c r="F9" s="2265" t="s">
        <v>3000</v>
      </c>
      <c r="G9" s="2266"/>
      <c r="H9" s="2266"/>
      <c r="I9" s="2266"/>
      <c r="J9" s="1861"/>
      <c r="K9" s="2264"/>
      <c r="L9" s="2056"/>
      <c r="M9" s="1865"/>
      <c r="N9" s="2263"/>
      <c r="O9" s="2263"/>
      <c r="P9" s="2263"/>
      <c r="Q9" s="2263"/>
      <c r="R9" s="2256"/>
      <c r="S9" s="2256"/>
      <c r="T9" s="2256"/>
    </row>
    <row r="10" spans="1:20" x14ac:dyDescent="0.25">
      <c r="A10" s="2259"/>
      <c r="B10" s="2262"/>
      <c r="C10" s="2260"/>
      <c r="D10" s="2261"/>
      <c r="E10" s="1800"/>
      <c r="F10" s="21" t="s">
        <v>885</v>
      </c>
      <c r="G10" s="21" t="s">
        <v>886</v>
      </c>
      <c r="H10" s="21" t="s">
        <v>887</v>
      </c>
      <c r="I10" s="21" t="s">
        <v>888</v>
      </c>
      <c r="J10" s="21" t="s">
        <v>889</v>
      </c>
      <c r="K10" s="2264"/>
      <c r="L10" s="1865"/>
      <c r="M10" s="21" t="s">
        <v>885</v>
      </c>
      <c r="N10" s="21" t="s">
        <v>886</v>
      </c>
      <c r="O10" s="21" t="s">
        <v>887</v>
      </c>
      <c r="P10" s="21" t="s">
        <v>888</v>
      </c>
      <c r="Q10" s="21" t="s">
        <v>889</v>
      </c>
      <c r="R10" s="2256"/>
      <c r="S10" s="2256"/>
      <c r="T10" s="2256"/>
    </row>
    <row r="11" spans="1:20" x14ac:dyDescent="0.25">
      <c r="A11" s="2333" t="s">
        <v>137</v>
      </c>
      <c r="B11" s="2333"/>
      <c r="C11" s="2333"/>
      <c r="D11" s="2333"/>
      <c r="E11" s="2333"/>
      <c r="F11" s="2333"/>
      <c r="G11" s="2333"/>
      <c r="H11" s="2333"/>
      <c r="I11" s="2333"/>
      <c r="J11" s="2333"/>
      <c r="K11" s="2333"/>
      <c r="L11" s="2333"/>
      <c r="M11" s="2333"/>
      <c r="N11" s="2333"/>
      <c r="O11" s="2333"/>
      <c r="P11" s="2333"/>
      <c r="Q11" s="2333"/>
      <c r="R11" s="578"/>
      <c r="S11" s="578"/>
      <c r="T11" s="578"/>
    </row>
    <row r="12" spans="1:20" ht="72" customHeight="1" x14ac:dyDescent="0.25">
      <c r="B12" s="141">
        <v>1</v>
      </c>
      <c r="C12" s="612"/>
      <c r="D12" s="142"/>
      <c r="E12" s="161" t="s">
        <v>136</v>
      </c>
      <c r="F12" s="627">
        <f>SUM(F13:F21)</f>
        <v>0</v>
      </c>
      <c r="G12" s="627">
        <f>SUM(G13:G21)</f>
        <v>252584.9</v>
      </c>
      <c r="H12" s="627">
        <f t="shared" ref="H12:J12" si="0">SUM(H13:H21)</f>
        <v>200361.1</v>
      </c>
      <c r="I12" s="627">
        <f t="shared" si="0"/>
        <v>256367.8</v>
      </c>
      <c r="J12" s="627">
        <f t="shared" si="0"/>
        <v>254457.3</v>
      </c>
      <c r="K12" s="507" t="s">
        <v>500</v>
      </c>
      <c r="L12" s="635" t="s">
        <v>14</v>
      </c>
      <c r="M12" s="635"/>
      <c r="N12" s="635"/>
      <c r="O12" s="635"/>
      <c r="P12" s="635"/>
      <c r="Q12" s="635"/>
    </row>
    <row r="13" spans="1:20" x14ac:dyDescent="0.25">
      <c r="B13" s="143"/>
      <c r="C13" s="608">
        <v>1</v>
      </c>
      <c r="D13" s="144"/>
      <c r="E13" s="804" t="s">
        <v>140</v>
      </c>
      <c r="F13" s="69"/>
      <c r="G13" s="557">
        <f>19142.2+3749.6+4438.5</f>
        <v>27330.3</v>
      </c>
      <c r="H13" s="459">
        <v>0</v>
      </c>
      <c r="I13" s="557">
        <f>11658.4+3936.6+5258.2</f>
        <v>20853.2</v>
      </c>
      <c r="J13" s="557">
        <f>11658.4+3936.6+5280.7</f>
        <v>20875.7</v>
      </c>
      <c r="K13" s="145" t="s">
        <v>501</v>
      </c>
      <c r="L13" s="511" t="s">
        <v>15</v>
      </c>
      <c r="M13" s="583"/>
      <c r="N13" s="583"/>
      <c r="O13" s="583"/>
      <c r="P13" s="583"/>
      <c r="Q13" s="583"/>
    </row>
    <row r="14" spans="1:20" ht="30" x14ac:dyDescent="0.25">
      <c r="B14" s="146"/>
      <c r="C14" s="147">
        <v>2</v>
      </c>
      <c r="D14" s="144"/>
      <c r="E14" s="23" t="s">
        <v>141</v>
      </c>
      <c r="F14" s="69"/>
      <c r="G14" s="557">
        <f>331.6+9139.9+4052.3</f>
        <v>13523.8</v>
      </c>
      <c r="H14" s="459">
        <v>75085.899999999994</v>
      </c>
      <c r="I14" s="557">
        <f>331.6+9571.3+4697.7</f>
        <v>14600.599999999999</v>
      </c>
      <c r="J14" s="557">
        <f>331.6+9571.3+4704.3</f>
        <v>14607.2</v>
      </c>
      <c r="K14" s="145" t="s">
        <v>502</v>
      </c>
      <c r="L14" s="511" t="s">
        <v>14</v>
      </c>
      <c r="M14" s="583"/>
      <c r="N14" s="583"/>
      <c r="O14" s="583"/>
      <c r="P14" s="583"/>
      <c r="Q14" s="583"/>
    </row>
    <row r="15" spans="1:20" ht="30" x14ac:dyDescent="0.25">
      <c r="B15" s="146"/>
      <c r="C15" s="147">
        <v>3</v>
      </c>
      <c r="D15" s="144"/>
      <c r="E15" s="23" t="s">
        <v>142</v>
      </c>
      <c r="F15" s="69"/>
      <c r="G15" s="557">
        <f>5447.6+2067.2</f>
        <v>7514.8</v>
      </c>
      <c r="H15" s="459">
        <v>0</v>
      </c>
      <c r="I15" s="557">
        <f>5815.2+2145.9</f>
        <v>7961.1</v>
      </c>
      <c r="J15" s="557">
        <f>5815.2+2145.9</f>
        <v>7961.1</v>
      </c>
      <c r="K15" s="145" t="s">
        <v>503</v>
      </c>
      <c r="L15" s="511" t="s">
        <v>14</v>
      </c>
      <c r="M15" s="583"/>
      <c r="N15" s="583"/>
      <c r="O15" s="583"/>
      <c r="P15" s="583"/>
      <c r="Q15" s="583"/>
    </row>
    <row r="16" spans="1:20" ht="30" x14ac:dyDescent="0.25">
      <c r="B16" s="146"/>
      <c r="C16" s="147">
        <v>4</v>
      </c>
      <c r="D16" s="144"/>
      <c r="E16" s="23" t="s">
        <v>143</v>
      </c>
      <c r="F16" s="69"/>
      <c r="G16" s="557">
        <f>13015.4+4731.6+226</f>
        <v>17973</v>
      </c>
      <c r="H16" s="459">
        <v>0</v>
      </c>
      <c r="I16" s="557">
        <f>14444.2+5057.8+225.5</f>
        <v>19727.5</v>
      </c>
      <c r="J16" s="557">
        <f>14444.2+5057.8+226.8</f>
        <v>19728.8</v>
      </c>
      <c r="K16" s="145" t="s">
        <v>504</v>
      </c>
      <c r="L16" s="511" t="s">
        <v>895</v>
      </c>
      <c r="M16" s="583"/>
      <c r="N16" s="583"/>
      <c r="O16" s="583"/>
      <c r="P16" s="583"/>
      <c r="Q16" s="583"/>
    </row>
    <row r="17" spans="2:17" ht="30" x14ac:dyDescent="0.25">
      <c r="B17" s="146"/>
      <c r="C17" s="147">
        <v>5</v>
      </c>
      <c r="D17" s="144"/>
      <c r="E17" s="95" t="s">
        <v>144</v>
      </c>
      <c r="F17" s="69"/>
      <c r="G17" s="557">
        <f>27422.2+226</f>
        <v>27648.2</v>
      </c>
      <c r="H17" s="459">
        <v>0</v>
      </c>
      <c r="I17" s="557">
        <f>34611.9+676.3</f>
        <v>35288.200000000004</v>
      </c>
      <c r="J17" s="557">
        <f>34611.9+680.3</f>
        <v>35292.200000000004</v>
      </c>
      <c r="K17" s="145" t="s">
        <v>505</v>
      </c>
      <c r="L17" s="511" t="s">
        <v>968</v>
      </c>
      <c r="M17" s="583"/>
      <c r="N17" s="583"/>
      <c r="O17" s="583"/>
      <c r="P17" s="583"/>
      <c r="Q17" s="583"/>
    </row>
    <row r="18" spans="2:17" ht="45" x14ac:dyDescent="0.25">
      <c r="B18" s="143"/>
      <c r="C18" s="148">
        <v>6</v>
      </c>
      <c r="D18" s="144"/>
      <c r="E18" s="805" t="s">
        <v>145</v>
      </c>
      <c r="F18" s="69"/>
      <c r="G18" s="557">
        <f>8645.3+58707.4+7621.6</f>
        <v>74974.3</v>
      </c>
      <c r="H18" s="459">
        <v>28908.6</v>
      </c>
      <c r="I18" s="557">
        <f>8471.3+57684.2+7562.4</f>
        <v>73717.899999999994</v>
      </c>
      <c r="J18" s="557">
        <f>8471.3+57684.2+7572.9</f>
        <v>73728.399999999994</v>
      </c>
      <c r="K18" s="145" t="s">
        <v>506</v>
      </c>
      <c r="L18" s="511" t="s">
        <v>14</v>
      </c>
      <c r="M18" s="583"/>
      <c r="N18" s="583"/>
      <c r="O18" s="583"/>
      <c r="P18" s="583"/>
      <c r="Q18" s="583"/>
    </row>
    <row r="19" spans="2:17" ht="49.5" customHeight="1" x14ac:dyDescent="0.25">
      <c r="B19" s="146"/>
      <c r="C19" s="147">
        <v>9</v>
      </c>
      <c r="D19" s="144"/>
      <c r="E19" s="805" t="s">
        <v>146</v>
      </c>
      <c r="F19" s="602"/>
      <c r="G19" s="557">
        <f>636.5+19776.6</f>
        <v>20413.099999999999</v>
      </c>
      <c r="H19" s="459">
        <f>12851.7+6389.4</f>
        <v>19241.099999999999</v>
      </c>
      <c r="I19" s="557">
        <f>636.5+19171.8</f>
        <v>19808.3</v>
      </c>
      <c r="J19" s="557">
        <f>636.5+19651</f>
        <v>20287.5</v>
      </c>
      <c r="K19" s="145" t="s">
        <v>507</v>
      </c>
      <c r="L19" s="511"/>
      <c r="M19" s="583"/>
      <c r="N19" s="583"/>
      <c r="O19" s="583"/>
      <c r="P19" s="583"/>
      <c r="Q19" s="583"/>
    </row>
    <row r="20" spans="2:17" x14ac:dyDescent="0.25">
      <c r="B20" s="143"/>
      <c r="C20" s="148">
        <v>10</v>
      </c>
      <c r="D20" s="144"/>
      <c r="E20" s="805" t="s">
        <v>147</v>
      </c>
      <c r="F20" s="602"/>
      <c r="G20" s="557">
        <f>756.6+32065.4</f>
        <v>32822</v>
      </c>
      <c r="H20" s="459">
        <v>46906.6</v>
      </c>
      <c r="I20" s="557">
        <f>756.6+33269</f>
        <v>34025.599999999999</v>
      </c>
      <c r="J20" s="557">
        <f>756.6+30916.9</f>
        <v>31673.5</v>
      </c>
      <c r="K20" s="145" t="s">
        <v>508</v>
      </c>
      <c r="L20" s="511"/>
      <c r="M20" s="583"/>
      <c r="N20" s="583"/>
      <c r="O20" s="583"/>
      <c r="P20" s="583"/>
      <c r="Q20" s="583"/>
    </row>
    <row r="21" spans="2:17" x14ac:dyDescent="0.25">
      <c r="B21" s="143"/>
      <c r="C21" s="148">
        <v>11</v>
      </c>
      <c r="D21" s="144"/>
      <c r="E21" s="805" t="s">
        <v>148</v>
      </c>
      <c r="F21" s="602"/>
      <c r="G21" s="557">
        <f>287.3+30000+98.1</f>
        <v>30385.399999999998</v>
      </c>
      <c r="H21" s="459">
        <v>30218.9</v>
      </c>
      <c r="I21" s="557">
        <f>302.9+30000+82.5</f>
        <v>30385.4</v>
      </c>
      <c r="J21" s="557">
        <f>302.9+30000</f>
        <v>30302.9</v>
      </c>
      <c r="K21" s="149"/>
      <c r="L21" s="511"/>
      <c r="M21" s="583"/>
      <c r="N21" s="583"/>
      <c r="O21" s="583"/>
      <c r="P21" s="583"/>
      <c r="Q21" s="583"/>
    </row>
    <row r="22" spans="2:17" ht="167.25" customHeight="1" x14ac:dyDescent="0.25">
      <c r="B22" s="143">
        <v>2</v>
      </c>
      <c r="C22" s="150"/>
      <c r="D22" s="151"/>
      <c r="E22" s="161" t="s">
        <v>149</v>
      </c>
      <c r="F22" s="430">
        <f>SUM(F23:F27)</f>
        <v>0</v>
      </c>
      <c r="G22" s="430">
        <f>SUM(G23:G27)</f>
        <v>165948.79999999999</v>
      </c>
      <c r="H22" s="430">
        <f>SUM(H23:H27)</f>
        <v>130607.4</v>
      </c>
      <c r="I22" s="430">
        <f>SUM(I23:I27)</f>
        <v>142906.4</v>
      </c>
      <c r="J22" s="430">
        <f>SUM(J23:J27)</f>
        <v>137290.70000000001</v>
      </c>
      <c r="K22" s="507" t="s">
        <v>509</v>
      </c>
      <c r="L22" s="511"/>
      <c r="M22" s="583"/>
      <c r="N22" s="583"/>
      <c r="O22" s="583"/>
      <c r="P22" s="583"/>
      <c r="Q22" s="583"/>
    </row>
    <row r="23" spans="2:17" ht="60" x14ac:dyDescent="0.25">
      <c r="B23" s="143"/>
      <c r="C23" s="148">
        <v>1</v>
      </c>
      <c r="D23" s="152"/>
      <c r="E23" s="611" t="s">
        <v>150</v>
      </c>
      <c r="F23" s="602"/>
      <c r="G23" s="557">
        <f>70933.7+1356.3</f>
        <v>72290</v>
      </c>
      <c r="H23" s="557">
        <v>0</v>
      </c>
      <c r="I23" s="557">
        <f>61336.8+1551.8</f>
        <v>62888.600000000006</v>
      </c>
      <c r="J23" s="557">
        <f>66836.8+1559.7</f>
        <v>68396.5</v>
      </c>
      <c r="K23" s="145" t="s">
        <v>510</v>
      </c>
      <c r="L23" s="511"/>
      <c r="M23" s="583"/>
      <c r="N23" s="583"/>
      <c r="O23" s="583"/>
      <c r="P23" s="583"/>
      <c r="Q23" s="583"/>
    </row>
    <row r="24" spans="2:17" ht="45" x14ac:dyDescent="0.25">
      <c r="B24" s="143"/>
      <c r="C24" s="148">
        <v>2</v>
      </c>
      <c r="D24" s="152"/>
      <c r="E24" s="611" t="s">
        <v>151</v>
      </c>
      <c r="F24" s="602"/>
      <c r="G24" s="557">
        <f>78618.8</f>
        <v>78618.8</v>
      </c>
      <c r="H24" s="557">
        <v>0</v>
      </c>
      <c r="I24" s="557">
        <f>67112.5</f>
        <v>67112.5</v>
      </c>
      <c r="J24" s="557">
        <f>74742.5-18754.9</f>
        <v>55987.6</v>
      </c>
      <c r="K24" s="145" t="s">
        <v>511</v>
      </c>
      <c r="L24" s="511"/>
      <c r="M24" s="583"/>
      <c r="N24" s="583"/>
      <c r="O24" s="583"/>
      <c r="P24" s="583"/>
      <c r="Q24" s="583"/>
    </row>
    <row r="25" spans="2:17" ht="30" x14ac:dyDescent="0.25">
      <c r="B25" s="143"/>
      <c r="C25" s="2271">
        <v>3</v>
      </c>
      <c r="D25" s="2277"/>
      <c r="E25" s="2324" t="s">
        <v>152</v>
      </c>
      <c r="F25" s="2269"/>
      <c r="G25" s="1599">
        <f>4770.6+2080.5</f>
        <v>6851.1</v>
      </c>
      <c r="H25" s="1599">
        <v>130607.4</v>
      </c>
      <c r="I25" s="1599">
        <f>4757</f>
        <v>4757</v>
      </c>
      <c r="J25" s="1599">
        <f>4757</f>
        <v>4757</v>
      </c>
      <c r="K25" s="145" t="s">
        <v>512</v>
      </c>
      <c r="L25" s="511"/>
      <c r="M25" s="583"/>
      <c r="N25" s="583"/>
      <c r="O25" s="583"/>
      <c r="P25" s="583"/>
      <c r="Q25" s="583"/>
    </row>
    <row r="26" spans="2:17" ht="30" x14ac:dyDescent="0.25">
      <c r="B26" s="153"/>
      <c r="C26" s="2272"/>
      <c r="D26" s="2278"/>
      <c r="E26" s="2324"/>
      <c r="F26" s="2270"/>
      <c r="G26" s="1600"/>
      <c r="H26" s="1600"/>
      <c r="I26" s="1600"/>
      <c r="J26" s="1600"/>
      <c r="K26" s="145" t="s">
        <v>513</v>
      </c>
      <c r="L26" s="511"/>
      <c r="M26" s="583"/>
      <c r="N26" s="583"/>
      <c r="O26" s="583"/>
      <c r="P26" s="583"/>
      <c r="Q26" s="583"/>
    </row>
    <row r="27" spans="2:17" ht="45" x14ac:dyDescent="0.25">
      <c r="B27" s="154"/>
      <c r="C27" s="148">
        <v>4</v>
      </c>
      <c r="D27" s="155"/>
      <c r="E27" s="611" t="s">
        <v>153</v>
      </c>
      <c r="F27" s="602"/>
      <c r="G27" s="557">
        <f>7962.9+226</f>
        <v>8188.9</v>
      </c>
      <c r="H27" s="557">
        <v>0</v>
      </c>
      <c r="I27" s="557">
        <f>7922.9+225.4</f>
        <v>8148.2999999999993</v>
      </c>
      <c r="J27" s="557">
        <f>7922.9+226.7</f>
        <v>8149.5999999999995</v>
      </c>
      <c r="K27" s="145" t="s">
        <v>514</v>
      </c>
      <c r="L27" s="511"/>
      <c r="M27" s="583"/>
      <c r="N27" s="583"/>
      <c r="O27" s="583"/>
      <c r="P27" s="583"/>
      <c r="Q27" s="583"/>
    </row>
    <row r="28" spans="2:17" ht="102" x14ac:dyDescent="0.25">
      <c r="B28" s="154">
        <v>3</v>
      </c>
      <c r="C28" s="148"/>
      <c r="D28" s="156"/>
      <c r="E28" s="161" t="s">
        <v>1185</v>
      </c>
      <c r="F28" s="430">
        <f>SUM(F29:F32)</f>
        <v>0</v>
      </c>
      <c r="G28" s="430">
        <f>SUM(G29:G32)</f>
        <v>364063.60000000003</v>
      </c>
      <c r="H28" s="430">
        <f>SUM(H29:H32)</f>
        <v>462038.5</v>
      </c>
      <c r="I28" s="430">
        <f>SUM(I29:I32)</f>
        <v>391247.10000000003</v>
      </c>
      <c r="J28" s="430">
        <f>SUM(J29:J32)</f>
        <v>393123.1</v>
      </c>
      <c r="K28" s="507" t="s">
        <v>515</v>
      </c>
      <c r="L28" s="511"/>
      <c r="M28" s="583"/>
      <c r="N28" s="583"/>
      <c r="O28" s="583"/>
      <c r="P28" s="583"/>
      <c r="Q28" s="583"/>
    </row>
    <row r="29" spans="2:17" ht="45" x14ac:dyDescent="0.25">
      <c r="B29" s="154"/>
      <c r="C29" s="148">
        <v>1</v>
      </c>
      <c r="D29" s="156"/>
      <c r="E29" s="611" t="s">
        <v>154</v>
      </c>
      <c r="F29" s="69"/>
      <c r="G29" s="557">
        <f>266175.9+452.1</f>
        <v>266628</v>
      </c>
      <c r="H29" s="557">
        <v>216142.8</v>
      </c>
      <c r="I29" s="557">
        <f>257258+225.5+20019.5</f>
        <v>277503</v>
      </c>
      <c r="J29" s="557">
        <f>272459.5+226.7</f>
        <v>272686.2</v>
      </c>
      <c r="K29" s="145" t="s">
        <v>516</v>
      </c>
      <c r="L29" s="511"/>
      <c r="M29" s="583"/>
      <c r="N29" s="583"/>
      <c r="O29" s="583"/>
      <c r="P29" s="583"/>
      <c r="Q29" s="583"/>
    </row>
    <row r="30" spans="2:17" ht="30" x14ac:dyDescent="0.25">
      <c r="B30" s="143"/>
      <c r="C30" s="2271">
        <v>2</v>
      </c>
      <c r="D30" s="2345"/>
      <c r="E30" s="2324" t="s">
        <v>155</v>
      </c>
      <c r="F30" s="2269"/>
      <c r="G30" s="1599">
        <f>65977.2</f>
        <v>65977.2</v>
      </c>
      <c r="H30" s="1599">
        <v>76475.5</v>
      </c>
      <c r="I30" s="1599">
        <f>79866.9</f>
        <v>79866.899999999994</v>
      </c>
      <c r="J30" s="1599">
        <f>86208.9</f>
        <v>86208.9</v>
      </c>
      <c r="K30" s="145" t="s">
        <v>517</v>
      </c>
      <c r="L30" s="511"/>
      <c r="M30" s="583"/>
      <c r="N30" s="583"/>
      <c r="O30" s="583"/>
      <c r="P30" s="583"/>
      <c r="Q30" s="583"/>
    </row>
    <row r="31" spans="2:17" ht="45" x14ac:dyDescent="0.25">
      <c r="B31" s="153"/>
      <c r="C31" s="2272"/>
      <c r="D31" s="2346"/>
      <c r="E31" s="2324"/>
      <c r="F31" s="2270"/>
      <c r="G31" s="1600"/>
      <c r="H31" s="1600"/>
      <c r="I31" s="1600"/>
      <c r="J31" s="1600"/>
      <c r="K31" s="145" t="s">
        <v>518</v>
      </c>
      <c r="L31" s="511"/>
      <c r="M31" s="583"/>
      <c r="N31" s="583"/>
      <c r="O31" s="583"/>
      <c r="P31" s="583"/>
      <c r="Q31" s="583"/>
    </row>
    <row r="32" spans="2:17" ht="45" x14ac:dyDescent="0.25">
      <c r="B32" s="143"/>
      <c r="C32" s="148">
        <v>3</v>
      </c>
      <c r="D32" s="615"/>
      <c r="E32" s="611" t="s">
        <v>156</v>
      </c>
      <c r="F32" s="602"/>
      <c r="G32" s="557">
        <f>32736.7-1278.3</f>
        <v>31458.400000000001</v>
      </c>
      <c r="H32" s="557">
        <v>169420.2</v>
      </c>
      <c r="I32" s="557">
        <f>31777.2+2100</f>
        <v>33877.199999999997</v>
      </c>
      <c r="J32" s="557">
        <f>32128+2100</f>
        <v>34228</v>
      </c>
      <c r="K32" s="145" t="s">
        <v>519</v>
      </c>
      <c r="L32" s="511"/>
      <c r="M32" s="583"/>
      <c r="N32" s="583"/>
      <c r="O32" s="583"/>
      <c r="P32" s="583"/>
      <c r="Q32" s="583"/>
    </row>
    <row r="33" spans="1:20" ht="132.75" x14ac:dyDescent="0.25">
      <c r="B33" s="143">
        <v>4</v>
      </c>
      <c r="C33" s="148"/>
      <c r="D33" s="615"/>
      <c r="E33" s="161" t="s">
        <v>1199</v>
      </c>
      <c r="F33" s="430">
        <f>SUM(F34:F38)</f>
        <v>0</v>
      </c>
      <c r="G33" s="430">
        <f>SUM(G34:G38)</f>
        <v>10381.299999999999</v>
      </c>
      <c r="H33" s="430">
        <f>SUM(H34:H38)</f>
        <v>0</v>
      </c>
      <c r="I33" s="430">
        <f>SUM(I34:I38)</f>
        <v>3276.7</v>
      </c>
      <c r="J33" s="430">
        <f>SUM(J34:J38)</f>
        <v>10566</v>
      </c>
      <c r="K33" s="507" t="s">
        <v>520</v>
      </c>
      <c r="L33" s="511"/>
      <c r="M33" s="583"/>
      <c r="N33" s="583"/>
      <c r="O33" s="583"/>
      <c r="P33" s="583"/>
      <c r="Q33" s="583"/>
    </row>
    <row r="34" spans="1:20" ht="15" customHeight="1" x14ac:dyDescent="0.25">
      <c r="B34" s="143"/>
      <c r="C34" s="2271">
        <v>1</v>
      </c>
      <c r="D34" s="2345"/>
      <c r="E34" s="2324" t="s">
        <v>157</v>
      </c>
      <c r="F34" s="2269"/>
      <c r="G34" s="1599">
        <v>3095.8</v>
      </c>
      <c r="H34" s="1599">
        <v>0</v>
      </c>
      <c r="I34" s="1599">
        <v>3276.7</v>
      </c>
      <c r="J34" s="1599">
        <v>3276.7</v>
      </c>
      <c r="K34" s="145" t="s">
        <v>1188</v>
      </c>
      <c r="L34" s="511"/>
      <c r="M34" s="583"/>
      <c r="N34" s="583"/>
      <c r="O34" s="583"/>
      <c r="P34" s="583"/>
      <c r="Q34" s="583"/>
    </row>
    <row r="35" spans="1:20" ht="30" x14ac:dyDescent="0.25">
      <c r="B35" s="141"/>
      <c r="C35" s="2347"/>
      <c r="D35" s="2348"/>
      <c r="E35" s="2324"/>
      <c r="F35" s="2276"/>
      <c r="G35" s="1610"/>
      <c r="H35" s="1610"/>
      <c r="I35" s="1610"/>
      <c r="J35" s="1610"/>
      <c r="K35" s="145" t="s">
        <v>1189</v>
      </c>
      <c r="L35" s="511"/>
      <c r="M35" s="583"/>
      <c r="N35" s="583"/>
      <c r="O35" s="583"/>
      <c r="P35" s="583"/>
      <c r="Q35" s="583"/>
    </row>
    <row r="36" spans="1:20" x14ac:dyDescent="0.25">
      <c r="B36" s="153"/>
      <c r="C36" s="2272"/>
      <c r="D36" s="2346"/>
      <c r="E36" s="2324"/>
      <c r="F36" s="2270"/>
      <c r="G36" s="1600"/>
      <c r="H36" s="1600"/>
      <c r="I36" s="1600"/>
      <c r="J36" s="1600"/>
      <c r="K36" s="145" t="s">
        <v>521</v>
      </c>
      <c r="L36" s="511"/>
      <c r="M36" s="583"/>
      <c r="N36" s="583"/>
      <c r="O36" s="583"/>
      <c r="P36" s="583"/>
      <c r="Q36" s="583"/>
    </row>
    <row r="37" spans="1:20" x14ac:dyDescent="0.25">
      <c r="B37" s="143"/>
      <c r="C37" s="2271">
        <v>2</v>
      </c>
      <c r="D37" s="2345"/>
      <c r="E37" s="2324" t="s">
        <v>158</v>
      </c>
      <c r="F37" s="2269"/>
      <c r="G37" s="1599">
        <v>7285.5</v>
      </c>
      <c r="H37" s="1599">
        <v>0</v>
      </c>
      <c r="I37" s="1599">
        <f>'[1]приложение  2'!D68</f>
        <v>0</v>
      </c>
      <c r="J37" s="1599">
        <v>7289.3</v>
      </c>
      <c r="K37" s="145" t="s">
        <v>1186</v>
      </c>
      <c r="L37" s="511"/>
      <c r="M37" s="583"/>
      <c r="N37" s="583"/>
      <c r="O37" s="583"/>
      <c r="P37" s="583"/>
      <c r="Q37" s="583"/>
    </row>
    <row r="38" spans="1:20" ht="30" x14ac:dyDescent="0.25">
      <c r="B38" s="153"/>
      <c r="C38" s="2272"/>
      <c r="D38" s="2346"/>
      <c r="E38" s="2324"/>
      <c r="F38" s="2276"/>
      <c r="G38" s="1610"/>
      <c r="H38" s="1610"/>
      <c r="I38" s="1610"/>
      <c r="J38" s="1610"/>
      <c r="K38" s="145" t="s">
        <v>1187</v>
      </c>
      <c r="L38" s="373"/>
      <c r="M38" s="374"/>
      <c r="N38" s="374"/>
      <c r="O38" s="374"/>
      <c r="P38" s="374"/>
      <c r="Q38" s="374"/>
    </row>
    <row r="39" spans="1:20" x14ac:dyDescent="0.25">
      <c r="A39" s="2349" t="s">
        <v>163</v>
      </c>
      <c r="B39" s="2349"/>
      <c r="C39" s="2349"/>
      <c r="D39" s="2349"/>
      <c r="E39" s="2350"/>
      <c r="F39" s="207">
        <f>F12+F22+F28+F33</f>
        <v>0</v>
      </c>
      <c r="G39" s="207">
        <f>G12+G22+G28+G33</f>
        <v>792978.60000000009</v>
      </c>
      <c r="H39" s="207">
        <f>H12+H22+H28+H33</f>
        <v>793007</v>
      </c>
      <c r="I39" s="207">
        <f>I12+I22+I28+I33</f>
        <v>793798</v>
      </c>
      <c r="J39" s="207">
        <f>J12+J22+J28+J33</f>
        <v>795437.1</v>
      </c>
      <c r="K39" s="847"/>
      <c r="L39" s="1771"/>
      <c r="M39" s="1771"/>
      <c r="N39" s="1771"/>
      <c r="O39" s="1771"/>
      <c r="P39" s="1771"/>
      <c r="Q39" s="1771"/>
    </row>
    <row r="40" spans="1:20" x14ac:dyDescent="0.25">
      <c r="A40" s="2351" t="s">
        <v>159</v>
      </c>
      <c r="B40" s="2351"/>
      <c r="C40" s="2351"/>
      <c r="D40" s="2351"/>
      <c r="E40" s="2351"/>
      <c r="F40" s="375"/>
      <c r="G40" s="375"/>
      <c r="H40" s="375"/>
      <c r="I40" s="375"/>
      <c r="J40" s="375"/>
      <c r="K40" s="848"/>
      <c r="L40" s="1223"/>
      <c r="M40" s="334"/>
      <c r="N40" s="334"/>
      <c r="O40" s="334"/>
      <c r="P40" s="334"/>
      <c r="Q40" s="334"/>
    </row>
    <row r="41" spans="1:20" ht="60" x14ac:dyDescent="0.25">
      <c r="B41" s="2288" t="s">
        <v>91</v>
      </c>
      <c r="C41" s="166">
        <v>1</v>
      </c>
      <c r="D41" s="135"/>
      <c r="E41" s="576" t="s">
        <v>160</v>
      </c>
      <c r="F41" s="443">
        <v>110121.9</v>
      </c>
      <c r="G41" s="443">
        <v>131049.4</v>
      </c>
      <c r="H41" s="443">
        <v>131049.4</v>
      </c>
      <c r="I41" s="443">
        <f>139234.8-8065</f>
        <v>131169.79999999999</v>
      </c>
      <c r="J41" s="443">
        <f>145251.5-13812.2</f>
        <v>131439.29999999999</v>
      </c>
      <c r="K41" s="576" t="s">
        <v>522</v>
      </c>
      <c r="L41" s="118" t="s">
        <v>14</v>
      </c>
      <c r="M41" s="136">
        <f>110121.9/154140062*100</f>
        <v>7.1442750555011453E-2</v>
      </c>
      <c r="N41" s="136">
        <f>131049.4/161913144.8*100</f>
        <v>8.0938085763126985E-2</v>
      </c>
      <c r="O41" s="136">
        <f>N41</f>
        <v>8.0938085763126985E-2</v>
      </c>
      <c r="P41" s="136">
        <f>N41</f>
        <v>8.0938085763126985E-2</v>
      </c>
      <c r="Q41" s="136">
        <f>N41</f>
        <v>8.0938085763126985E-2</v>
      </c>
    </row>
    <row r="42" spans="1:20" ht="45" x14ac:dyDescent="0.25">
      <c r="B42" s="2288"/>
      <c r="C42" s="166">
        <v>2</v>
      </c>
      <c r="D42" s="554"/>
      <c r="E42" s="597" t="s">
        <v>161</v>
      </c>
      <c r="F42" s="443">
        <v>4892.2</v>
      </c>
      <c r="G42" s="443">
        <v>7062.9</v>
      </c>
      <c r="H42" s="443">
        <v>7062.9</v>
      </c>
      <c r="I42" s="443">
        <v>7062.9</v>
      </c>
      <c r="J42" s="443">
        <v>7062.9</v>
      </c>
      <c r="K42" s="576" t="s">
        <v>523</v>
      </c>
      <c r="L42" s="118" t="s">
        <v>14</v>
      </c>
      <c r="M42" s="137">
        <v>100</v>
      </c>
      <c r="N42" s="137">
        <v>100</v>
      </c>
      <c r="O42" s="137">
        <v>100</v>
      </c>
      <c r="P42" s="137">
        <v>100</v>
      </c>
      <c r="Q42" s="137">
        <v>100</v>
      </c>
    </row>
    <row r="43" spans="1:20" ht="60" x14ac:dyDescent="0.25">
      <c r="B43" s="2288"/>
      <c r="C43" s="166">
        <v>3</v>
      </c>
      <c r="D43" s="555"/>
      <c r="E43" s="597" t="s">
        <v>162</v>
      </c>
      <c r="F43" s="138">
        <v>32979.599999999999</v>
      </c>
      <c r="G43" s="138">
        <v>30000</v>
      </c>
      <c r="H43" s="138">
        <v>30000</v>
      </c>
      <c r="I43" s="138">
        <v>30000</v>
      </c>
      <c r="J43" s="138">
        <v>30000</v>
      </c>
      <c r="K43" s="597" t="s">
        <v>524</v>
      </c>
      <c r="L43" s="118" t="s">
        <v>968</v>
      </c>
      <c r="M43" s="139">
        <v>110</v>
      </c>
      <c r="N43" s="139">
        <v>110</v>
      </c>
      <c r="O43" s="139">
        <v>110</v>
      </c>
      <c r="P43" s="139">
        <v>110</v>
      </c>
      <c r="Q43" s="139">
        <v>110</v>
      </c>
    </row>
    <row r="44" spans="1:20" x14ac:dyDescent="0.25">
      <c r="A44" s="2326" t="s">
        <v>164</v>
      </c>
      <c r="B44" s="2327"/>
      <c r="C44" s="2327"/>
      <c r="D44" s="2327"/>
      <c r="E44" s="2328"/>
      <c r="F44" s="140">
        <f>F41+F42+F43</f>
        <v>147993.69999999998</v>
      </c>
      <c r="G44" s="140">
        <f t="shared" ref="G44:J44" si="1">G41+G42+G43</f>
        <v>168112.3</v>
      </c>
      <c r="H44" s="140">
        <f t="shared" si="1"/>
        <v>168112.3</v>
      </c>
      <c r="I44" s="140">
        <f t="shared" si="1"/>
        <v>168232.69999999998</v>
      </c>
      <c r="J44" s="140">
        <f t="shared" si="1"/>
        <v>168502.19999999998</v>
      </c>
      <c r="K44" s="7"/>
      <c r="L44" s="356"/>
      <c r="M44" s="77"/>
      <c r="N44" s="77"/>
      <c r="O44" s="77"/>
      <c r="P44" s="77"/>
      <c r="Q44" s="77"/>
    </row>
    <row r="45" spans="1:20" x14ac:dyDescent="0.25">
      <c r="A45" s="2340" t="s">
        <v>165</v>
      </c>
      <c r="B45" s="2340"/>
      <c r="C45" s="2340"/>
      <c r="D45" s="2340"/>
      <c r="E45" s="2340"/>
      <c r="F45" s="2340"/>
      <c r="G45" s="2340"/>
      <c r="H45" s="2340"/>
      <c r="I45" s="2340"/>
      <c r="J45" s="2340"/>
      <c r="K45" s="2340"/>
      <c r="L45" s="2340"/>
      <c r="M45" s="2340"/>
      <c r="N45" s="2340"/>
      <c r="O45" s="2340"/>
      <c r="P45" s="2340"/>
      <c r="Q45" s="2341"/>
      <c r="R45" s="578"/>
      <c r="S45" s="578"/>
      <c r="T45" s="578"/>
    </row>
    <row r="46" spans="1:20" ht="45" x14ac:dyDescent="0.25">
      <c r="A46" s="75">
        <v>1</v>
      </c>
      <c r="B46" s="2273">
        <v>2</v>
      </c>
      <c r="C46" s="372" t="s">
        <v>49</v>
      </c>
      <c r="D46" s="84"/>
      <c r="E46" s="806" t="s">
        <v>1193</v>
      </c>
      <c r="F46" s="453">
        <v>9198.1</v>
      </c>
      <c r="G46" s="453">
        <v>7952.7</v>
      </c>
      <c r="H46" s="453">
        <v>7952.7</v>
      </c>
      <c r="I46" s="453">
        <v>7959.6</v>
      </c>
      <c r="J46" s="453">
        <v>7975.2</v>
      </c>
      <c r="K46" s="625" t="s">
        <v>525</v>
      </c>
      <c r="L46" s="514" t="s">
        <v>14</v>
      </c>
      <c r="M46" s="89">
        <v>1</v>
      </c>
      <c r="N46" s="89">
        <v>1</v>
      </c>
      <c r="O46" s="89">
        <v>1</v>
      </c>
      <c r="P46" s="89">
        <v>1</v>
      </c>
      <c r="Q46" s="89">
        <v>1</v>
      </c>
    </row>
    <row r="47" spans="1:20" ht="90" x14ac:dyDescent="0.25">
      <c r="A47" s="75"/>
      <c r="B47" s="2274"/>
      <c r="C47" s="372" t="s">
        <v>3</v>
      </c>
      <c r="D47" s="84"/>
      <c r="E47" s="806" t="s">
        <v>1194</v>
      </c>
      <c r="F47" s="453"/>
      <c r="G47" s="453"/>
      <c r="H47" s="453"/>
      <c r="I47" s="453"/>
      <c r="J47" s="453"/>
      <c r="K47" s="625" t="s">
        <v>1192</v>
      </c>
      <c r="L47" s="514" t="s">
        <v>968</v>
      </c>
      <c r="M47" s="76">
        <v>1000</v>
      </c>
      <c r="N47" s="76">
        <v>1200</v>
      </c>
      <c r="O47" s="76">
        <v>1200</v>
      </c>
      <c r="P47" s="76">
        <v>1500</v>
      </c>
      <c r="Q47" s="76">
        <v>1500</v>
      </c>
    </row>
    <row r="48" spans="1:20" ht="63.75" customHeight="1" x14ac:dyDescent="0.25">
      <c r="A48" s="75"/>
      <c r="B48" s="2275"/>
      <c r="C48" s="372" t="s">
        <v>4</v>
      </c>
      <c r="D48" s="84"/>
      <c r="E48" s="807" t="s">
        <v>1190</v>
      </c>
      <c r="F48" s="453"/>
      <c r="G48" s="453"/>
      <c r="H48" s="453"/>
      <c r="I48" s="453"/>
      <c r="J48" s="453"/>
      <c r="K48" s="625" t="s">
        <v>1191</v>
      </c>
      <c r="L48" s="514" t="s">
        <v>968</v>
      </c>
      <c r="M48" s="76">
        <v>1200</v>
      </c>
      <c r="N48" s="76">
        <v>1200</v>
      </c>
      <c r="O48" s="76">
        <v>1500</v>
      </c>
      <c r="P48" s="76">
        <v>1800</v>
      </c>
      <c r="Q48" s="76">
        <v>2000</v>
      </c>
    </row>
    <row r="49" spans="1:29" x14ac:dyDescent="0.25">
      <c r="A49" s="2342" t="s">
        <v>164</v>
      </c>
      <c r="B49" s="2343"/>
      <c r="C49" s="2343"/>
      <c r="D49" s="2343"/>
      <c r="E49" s="2344"/>
      <c r="F49" s="199">
        <f>F46</f>
        <v>9198.1</v>
      </c>
      <c r="G49" s="199">
        <f t="shared" ref="G49:J49" si="2">G46</f>
        <v>7952.7</v>
      </c>
      <c r="H49" s="199">
        <f t="shared" si="2"/>
        <v>7952.7</v>
      </c>
      <c r="I49" s="199">
        <f t="shared" si="2"/>
        <v>7959.6</v>
      </c>
      <c r="J49" s="199">
        <f t="shared" si="2"/>
        <v>7975.2</v>
      </c>
      <c r="K49" s="849"/>
      <c r="L49" s="1536"/>
      <c r="M49" s="28"/>
      <c r="N49" s="28"/>
      <c r="O49" s="28"/>
      <c r="P49" s="28"/>
      <c r="Q49" s="28"/>
    </row>
    <row r="50" spans="1:29" ht="15" customHeight="1" x14ac:dyDescent="0.25">
      <c r="A50" s="2337" t="s">
        <v>166</v>
      </c>
      <c r="B50" s="2338"/>
      <c r="C50" s="2338"/>
      <c r="D50" s="2338"/>
      <c r="E50" s="2338"/>
      <c r="F50" s="2338"/>
      <c r="G50" s="2338"/>
      <c r="H50" s="2338"/>
      <c r="I50" s="2338"/>
      <c r="J50" s="2338"/>
      <c r="K50" s="2338"/>
      <c r="L50" s="2338"/>
      <c r="M50" s="2338"/>
      <c r="N50" s="2338"/>
      <c r="O50" s="2338"/>
      <c r="P50" s="2338"/>
      <c r="Q50" s="2339"/>
    </row>
    <row r="51" spans="1:29" s="11" customFormat="1" ht="48" customHeight="1" x14ac:dyDescent="0.25">
      <c r="A51" s="2284"/>
      <c r="B51" s="2172">
        <v>2</v>
      </c>
      <c r="C51" s="2334">
        <v>1</v>
      </c>
      <c r="D51" s="2289"/>
      <c r="E51" s="1777" t="s">
        <v>167</v>
      </c>
      <c r="F51" s="1788">
        <v>175588.9</v>
      </c>
      <c r="G51" s="1788">
        <v>201144.6</v>
      </c>
      <c r="H51" s="1788">
        <v>201144.6</v>
      </c>
      <c r="I51" s="1788">
        <f>216828.5+3494.8</f>
        <v>220323.3</v>
      </c>
      <c r="J51" s="1788">
        <f>225834.5-5070.8</f>
        <v>220763.7</v>
      </c>
      <c r="K51" s="1777" t="s">
        <v>526</v>
      </c>
      <c r="L51" s="2286" t="s">
        <v>968</v>
      </c>
      <c r="M51" s="139">
        <v>376</v>
      </c>
      <c r="N51" s="139">
        <v>370</v>
      </c>
      <c r="O51" s="139">
        <v>370</v>
      </c>
      <c r="P51" s="139">
        <v>370</v>
      </c>
      <c r="Q51" s="139">
        <v>370</v>
      </c>
    </row>
    <row r="52" spans="1:29" s="11" customFormat="1" ht="39.75" customHeight="1" x14ac:dyDescent="0.25">
      <c r="A52" s="2285"/>
      <c r="B52" s="2173"/>
      <c r="C52" s="2335"/>
      <c r="D52" s="2290"/>
      <c r="E52" s="1777"/>
      <c r="F52" s="1789"/>
      <c r="G52" s="1789"/>
      <c r="H52" s="1789"/>
      <c r="I52" s="1789"/>
      <c r="J52" s="1789"/>
      <c r="K52" s="1777"/>
      <c r="L52" s="2287"/>
      <c r="M52" s="139">
        <v>622</v>
      </c>
      <c r="N52" s="139">
        <v>620</v>
      </c>
      <c r="O52" s="139">
        <v>620</v>
      </c>
      <c r="P52" s="139">
        <v>620</v>
      </c>
      <c r="Q52" s="139">
        <v>620</v>
      </c>
    </row>
    <row r="53" spans="1:29" s="11" customFormat="1" ht="60" x14ac:dyDescent="0.25">
      <c r="A53" s="157"/>
      <c r="B53" s="2173"/>
      <c r="C53" s="166">
        <v>2</v>
      </c>
      <c r="D53" s="125"/>
      <c r="E53" s="597" t="s">
        <v>168</v>
      </c>
      <c r="F53" s="443">
        <v>2101.1</v>
      </c>
      <c r="G53" s="443">
        <v>5586.1</v>
      </c>
      <c r="H53" s="443">
        <v>5586.1</v>
      </c>
      <c r="I53" s="443">
        <v>5586.1</v>
      </c>
      <c r="J53" s="443">
        <v>5586.1</v>
      </c>
      <c r="K53" s="597" t="s">
        <v>1197</v>
      </c>
      <c r="L53" s="118" t="s">
        <v>968</v>
      </c>
      <c r="M53" s="162">
        <v>15</v>
      </c>
      <c r="N53" s="162">
        <v>15</v>
      </c>
      <c r="O53" s="162">
        <v>15</v>
      </c>
      <c r="P53" s="162">
        <v>15</v>
      </c>
      <c r="Q53" s="162">
        <v>15</v>
      </c>
    </row>
    <row r="54" spans="1:29" ht="65.25" customHeight="1" x14ac:dyDescent="0.25">
      <c r="A54" s="346"/>
      <c r="B54" s="2174"/>
      <c r="C54" s="614">
        <v>3</v>
      </c>
      <c r="D54" s="555"/>
      <c r="E54" s="597" t="s">
        <v>1195</v>
      </c>
      <c r="F54" s="138">
        <v>29241.599999999999</v>
      </c>
      <c r="G54" s="138">
        <v>30000</v>
      </c>
      <c r="H54" s="138">
        <v>30000</v>
      </c>
      <c r="I54" s="138">
        <v>30000</v>
      </c>
      <c r="J54" s="138">
        <v>30000</v>
      </c>
      <c r="K54" s="597" t="s">
        <v>1196</v>
      </c>
      <c r="L54" s="118" t="s">
        <v>968</v>
      </c>
      <c r="M54" s="139">
        <v>134</v>
      </c>
      <c r="N54" s="139">
        <v>130</v>
      </c>
      <c r="O54" s="139">
        <v>130</v>
      </c>
      <c r="P54" s="139">
        <v>130</v>
      </c>
      <c r="Q54" s="139">
        <v>130</v>
      </c>
    </row>
    <row r="55" spans="1:29" x14ac:dyDescent="0.25">
      <c r="A55" s="2336" t="s">
        <v>164</v>
      </c>
      <c r="B55" s="2336"/>
      <c r="C55" s="2336"/>
      <c r="D55" s="2336"/>
      <c r="E55" s="2336"/>
      <c r="F55" s="163">
        <f>F51+F53+F54</f>
        <v>206931.6</v>
      </c>
      <c r="G55" s="163">
        <f>G51+G53+G54</f>
        <v>236730.7</v>
      </c>
      <c r="H55" s="163">
        <f>H51+H53+H54</f>
        <v>236730.7</v>
      </c>
      <c r="I55" s="163">
        <f>I51+I53+I54</f>
        <v>255909.4</v>
      </c>
      <c r="J55" s="163">
        <f>J51+J53+J54</f>
        <v>256349.80000000002</v>
      </c>
      <c r="K55" s="834"/>
      <c r="L55" s="158"/>
      <c r="M55" s="159"/>
      <c r="N55" s="159"/>
      <c r="O55" s="159"/>
      <c r="P55" s="159"/>
      <c r="Q55" s="202"/>
    </row>
    <row r="56" spans="1:29" x14ac:dyDescent="0.25">
      <c r="A56" s="2282" t="s">
        <v>169</v>
      </c>
      <c r="B56" s="2282"/>
      <c r="C56" s="2282"/>
      <c r="D56" s="2282"/>
      <c r="E56" s="2282"/>
      <c r="F56" s="2282"/>
      <c r="G56" s="2282"/>
      <c r="H56" s="2282"/>
      <c r="I56" s="2282"/>
      <c r="J56" s="2282"/>
      <c r="K56" s="2282"/>
      <c r="L56" s="2282"/>
      <c r="M56" s="2282"/>
      <c r="N56" s="2282"/>
      <c r="O56" s="2282"/>
      <c r="P56" s="2282"/>
      <c r="Q56" s="2283"/>
      <c r="R56" s="115"/>
      <c r="S56" s="115"/>
      <c r="T56" s="115"/>
      <c r="U56" s="115"/>
      <c r="V56" s="115"/>
      <c r="W56" s="115"/>
      <c r="X56" s="115"/>
      <c r="Y56" s="115"/>
      <c r="Z56" s="115"/>
      <c r="AA56" s="115"/>
      <c r="AB56" s="115"/>
      <c r="AC56" s="115"/>
    </row>
    <row r="57" spans="1:29" s="11" customFormat="1" ht="36.75" customHeight="1" x14ac:dyDescent="0.25">
      <c r="A57" s="391"/>
      <c r="B57" s="137">
        <v>2</v>
      </c>
      <c r="C57" s="392"/>
      <c r="D57" s="392"/>
      <c r="E57" s="498" t="s">
        <v>170</v>
      </c>
      <c r="F57" s="457">
        <f t="shared" ref="F57:G57" si="3">F58+F59+F60+F61+F62+F63+F68+F70+F76</f>
        <v>713764.8</v>
      </c>
      <c r="G57" s="457">
        <f t="shared" si="3"/>
        <v>463013.79999999993</v>
      </c>
      <c r="H57" s="457">
        <f>H58+H59+H60+H61+H62+H63+H68+H70+H76</f>
        <v>594216</v>
      </c>
      <c r="I57" s="457">
        <f t="shared" ref="I57:J57" si="4">I58+I59+I60+I61+I62+I63+I68+I70+I76</f>
        <v>430883.05999999994</v>
      </c>
      <c r="J57" s="457">
        <f t="shared" si="4"/>
        <v>432780.6</v>
      </c>
      <c r="K57" s="392"/>
      <c r="L57" s="137"/>
      <c r="M57" s="392"/>
      <c r="N57" s="392"/>
      <c r="O57" s="392"/>
      <c r="P57" s="392"/>
      <c r="Q57" s="392"/>
      <c r="R57" s="115"/>
      <c r="S57" s="115"/>
      <c r="T57" s="115"/>
      <c r="U57" s="115"/>
      <c r="V57" s="115"/>
      <c r="W57" s="115"/>
      <c r="X57" s="115"/>
      <c r="Y57" s="115"/>
      <c r="Z57" s="115"/>
      <c r="AA57" s="115"/>
      <c r="AB57" s="115"/>
      <c r="AC57" s="115"/>
    </row>
    <row r="58" spans="1:29" ht="45" x14ac:dyDescent="0.25">
      <c r="B58" s="640"/>
      <c r="C58" s="634">
        <v>1</v>
      </c>
      <c r="D58" s="638"/>
      <c r="E58" s="576" t="s">
        <v>171</v>
      </c>
      <c r="F58" s="538">
        <v>127446.1</v>
      </c>
      <c r="G58" s="538">
        <f>123373.4</f>
        <v>123373.4</v>
      </c>
      <c r="H58" s="539">
        <v>124250.7</v>
      </c>
      <c r="I58" s="538">
        <v>124250.7</v>
      </c>
      <c r="J58" s="538">
        <v>124250.7</v>
      </c>
      <c r="K58" s="576" t="s">
        <v>527</v>
      </c>
      <c r="L58" s="605" t="s">
        <v>968</v>
      </c>
      <c r="M58" s="604">
        <v>37</v>
      </c>
      <c r="N58" s="604">
        <v>38</v>
      </c>
      <c r="O58" s="604">
        <v>38</v>
      </c>
      <c r="P58" s="604">
        <v>38</v>
      </c>
      <c r="Q58" s="604">
        <v>38</v>
      </c>
    </row>
    <row r="59" spans="1:29" ht="45" x14ac:dyDescent="0.25">
      <c r="B59" s="621"/>
      <c r="C59" s="652">
        <v>2</v>
      </c>
      <c r="D59" s="116"/>
      <c r="E59" s="576" t="s">
        <v>172</v>
      </c>
      <c r="F59" s="537">
        <f>84382.7</f>
        <v>84382.7</v>
      </c>
      <c r="G59" s="537">
        <f>36588.7</f>
        <v>36588.699999999997</v>
      </c>
      <c r="H59" s="560">
        <f>37005.7</f>
        <v>37005.699999999997</v>
      </c>
      <c r="I59" s="537">
        <f>37005.7+436.9</f>
        <v>37442.6</v>
      </c>
      <c r="J59" s="537">
        <f>37005.7+12805.2-11390.8</f>
        <v>38420.099999999991</v>
      </c>
      <c r="K59" s="576" t="s">
        <v>528</v>
      </c>
      <c r="L59" s="118" t="s">
        <v>968</v>
      </c>
      <c r="M59" s="119">
        <v>95</v>
      </c>
      <c r="N59" s="119">
        <v>90</v>
      </c>
      <c r="O59" s="119">
        <v>90</v>
      </c>
      <c r="P59" s="119">
        <v>90</v>
      </c>
      <c r="Q59" s="119">
        <v>90</v>
      </c>
    </row>
    <row r="60" spans="1:29" ht="60" x14ac:dyDescent="0.25">
      <c r="B60" s="621"/>
      <c r="C60" s="652">
        <v>3</v>
      </c>
      <c r="D60" s="116"/>
      <c r="E60" s="576" t="s">
        <v>173</v>
      </c>
      <c r="F60" s="443">
        <v>1782.3</v>
      </c>
      <c r="G60" s="443">
        <v>3023.3</v>
      </c>
      <c r="H60" s="557">
        <v>2957.3</v>
      </c>
      <c r="I60" s="443">
        <v>2957.3</v>
      </c>
      <c r="J60" s="443">
        <v>2957.3</v>
      </c>
      <c r="K60" s="526" t="s">
        <v>529</v>
      </c>
      <c r="L60" s="67" t="s">
        <v>968</v>
      </c>
      <c r="M60" s="530">
        <v>200</v>
      </c>
      <c r="N60" s="530">
        <v>200</v>
      </c>
      <c r="O60" s="530">
        <v>200</v>
      </c>
      <c r="P60" s="530">
        <v>200</v>
      </c>
      <c r="Q60" s="530">
        <v>200</v>
      </c>
    </row>
    <row r="61" spans="1:29" ht="105" x14ac:dyDescent="0.25">
      <c r="B61" s="621"/>
      <c r="C61" s="637">
        <v>4</v>
      </c>
      <c r="D61" s="116"/>
      <c r="E61" s="576" t="s">
        <v>174</v>
      </c>
      <c r="F61" s="443">
        <v>8878.7000000000007</v>
      </c>
      <c r="G61" s="443">
        <v>8110.1</v>
      </c>
      <c r="H61" s="557">
        <v>8213.7000000000007</v>
      </c>
      <c r="I61" s="443">
        <v>8213.7000000000007</v>
      </c>
      <c r="J61" s="443">
        <v>8213.7000000000007</v>
      </c>
      <c r="K61" s="576" t="s">
        <v>530</v>
      </c>
      <c r="L61" s="512" t="s">
        <v>61</v>
      </c>
      <c r="M61" s="119">
        <v>1921</v>
      </c>
      <c r="N61" s="120">
        <v>2445</v>
      </c>
      <c r="O61" s="120">
        <f>1000+5+20+20+500</f>
        <v>1545</v>
      </c>
      <c r="P61" s="120">
        <f t="shared" ref="P61:Q61" si="5">1000+5+20+20+500</f>
        <v>1545</v>
      </c>
      <c r="Q61" s="120">
        <f t="shared" si="5"/>
        <v>1545</v>
      </c>
    </row>
    <row r="62" spans="1:29" ht="45" x14ac:dyDescent="0.25">
      <c r="B62" s="621"/>
      <c r="C62" s="637">
        <v>5</v>
      </c>
      <c r="D62" s="116"/>
      <c r="E62" s="576" t="s">
        <v>175</v>
      </c>
      <c r="F62" s="443">
        <v>1598</v>
      </c>
      <c r="G62" s="443">
        <v>1341.6</v>
      </c>
      <c r="H62" s="557">
        <v>1238</v>
      </c>
      <c r="I62" s="443">
        <v>1238</v>
      </c>
      <c r="J62" s="443">
        <v>1238</v>
      </c>
      <c r="K62" s="576" t="s">
        <v>531</v>
      </c>
      <c r="L62" s="118" t="s">
        <v>971</v>
      </c>
      <c r="M62" s="119">
        <v>2</v>
      </c>
      <c r="N62" s="119">
        <v>2</v>
      </c>
      <c r="O62" s="119">
        <v>2</v>
      </c>
      <c r="P62" s="119">
        <v>2</v>
      </c>
      <c r="Q62" s="119">
        <v>2</v>
      </c>
    </row>
    <row r="63" spans="1:29" ht="45" x14ac:dyDescent="0.25">
      <c r="B63" s="621"/>
      <c r="C63" s="637">
        <v>6</v>
      </c>
      <c r="D63" s="116"/>
      <c r="E63" s="576" t="s">
        <v>176</v>
      </c>
      <c r="F63" s="443">
        <v>243815.1</v>
      </c>
      <c r="G63" s="443">
        <v>22260.3</v>
      </c>
      <c r="H63" s="557">
        <v>4050</v>
      </c>
      <c r="I63" s="443">
        <v>0</v>
      </c>
      <c r="J63" s="443">
        <v>0</v>
      </c>
      <c r="K63" s="576" t="s">
        <v>532</v>
      </c>
      <c r="L63" s="118" t="s">
        <v>968</v>
      </c>
      <c r="M63" s="121">
        <v>1</v>
      </c>
      <c r="N63" s="121">
        <v>11</v>
      </c>
      <c r="O63" s="119">
        <v>7</v>
      </c>
      <c r="P63" s="119">
        <v>7</v>
      </c>
      <c r="Q63" s="119">
        <v>7</v>
      </c>
    </row>
    <row r="64" spans="1:29" ht="73.5" x14ac:dyDescent="0.25">
      <c r="B64" s="621" t="s">
        <v>98</v>
      </c>
      <c r="C64" s="166"/>
      <c r="D64" s="333"/>
      <c r="E64" s="653" t="s">
        <v>1198</v>
      </c>
      <c r="F64" s="456">
        <v>11735</v>
      </c>
      <c r="G64" s="456">
        <v>19000</v>
      </c>
      <c r="H64" s="455">
        <f>H65+H66+H67</f>
        <v>19000</v>
      </c>
      <c r="I64" s="456">
        <v>19000</v>
      </c>
      <c r="J64" s="456">
        <v>19000</v>
      </c>
      <c r="K64" s="65"/>
      <c r="L64" s="33"/>
      <c r="M64" s="72"/>
      <c r="N64" s="72"/>
      <c r="O64" s="72"/>
      <c r="P64" s="72"/>
      <c r="Q64" s="122"/>
    </row>
    <row r="65" spans="1:17" ht="45" x14ac:dyDescent="0.25">
      <c r="B65" s="621"/>
      <c r="C65" s="637">
        <v>1</v>
      </c>
      <c r="D65" s="333"/>
      <c r="E65" s="488" t="s">
        <v>177</v>
      </c>
      <c r="F65" s="443">
        <v>8663.7999999999993</v>
      </c>
      <c r="G65" s="443">
        <v>8500</v>
      </c>
      <c r="H65" s="557">
        <v>6000</v>
      </c>
      <c r="I65" s="443">
        <v>8500</v>
      </c>
      <c r="J65" s="443">
        <v>8500</v>
      </c>
      <c r="K65" s="576" t="s">
        <v>533</v>
      </c>
      <c r="L65" s="512" t="s">
        <v>14</v>
      </c>
      <c r="M65" s="123">
        <v>0.68</v>
      </c>
      <c r="N65" s="124">
        <v>0.44700000000000001</v>
      </c>
      <c r="O65" s="124">
        <v>0.44700000000000001</v>
      </c>
      <c r="P65" s="124">
        <v>0.44700000000000001</v>
      </c>
      <c r="Q65" s="124">
        <v>0.44700000000000001</v>
      </c>
    </row>
    <row r="66" spans="1:17" ht="30" x14ac:dyDescent="0.25">
      <c r="B66" s="621"/>
      <c r="C66" s="637">
        <v>2</v>
      </c>
      <c r="D66" s="333"/>
      <c r="E66" s="488" t="s">
        <v>178</v>
      </c>
      <c r="F66" s="443">
        <v>3780</v>
      </c>
      <c r="G66" s="443">
        <v>6000</v>
      </c>
      <c r="H66" s="443">
        <v>4500</v>
      </c>
      <c r="I66" s="443">
        <v>6000</v>
      </c>
      <c r="J66" s="443">
        <v>6000</v>
      </c>
      <c r="K66" s="576" t="s">
        <v>533</v>
      </c>
      <c r="L66" s="125" t="s">
        <v>14</v>
      </c>
      <c r="M66" s="124">
        <v>0.29699999999999999</v>
      </c>
      <c r="N66" s="124">
        <v>0.316</v>
      </c>
      <c r="O66" s="124">
        <v>0.316</v>
      </c>
      <c r="P66" s="124">
        <v>0.316</v>
      </c>
      <c r="Q66" s="124">
        <v>0.316</v>
      </c>
    </row>
    <row r="67" spans="1:17" ht="60" x14ac:dyDescent="0.25">
      <c r="B67" s="621"/>
      <c r="C67" s="637">
        <v>3</v>
      </c>
      <c r="D67" s="333"/>
      <c r="E67" s="488" t="s">
        <v>179</v>
      </c>
      <c r="F67" s="443">
        <v>300</v>
      </c>
      <c r="G67" s="443">
        <v>4500</v>
      </c>
      <c r="H67" s="557">
        <v>8500</v>
      </c>
      <c r="I67" s="443">
        <v>4500</v>
      </c>
      <c r="J67" s="443">
        <v>4500</v>
      </c>
      <c r="K67" s="576" t="s">
        <v>533</v>
      </c>
      <c r="L67" s="125" t="s">
        <v>14</v>
      </c>
      <c r="M67" s="124">
        <v>2.3E-2</v>
      </c>
      <c r="N67" s="124">
        <v>0.23699999999999999</v>
      </c>
      <c r="O67" s="124">
        <v>0.23699999999999999</v>
      </c>
      <c r="P67" s="124">
        <v>0.23699999999999999</v>
      </c>
      <c r="Q67" s="124">
        <v>0.23699999999999999</v>
      </c>
    </row>
    <row r="68" spans="1:17" ht="30" x14ac:dyDescent="0.25">
      <c r="B68" s="2466" t="s">
        <v>91</v>
      </c>
      <c r="C68" s="652">
        <v>7</v>
      </c>
      <c r="D68" s="116"/>
      <c r="E68" s="576" t="s">
        <v>180</v>
      </c>
      <c r="F68" s="443">
        <v>3843.4</v>
      </c>
      <c r="G68" s="443">
        <v>11628</v>
      </c>
      <c r="H68" s="557">
        <v>10945</v>
      </c>
      <c r="I68" s="537">
        <v>10945</v>
      </c>
      <c r="J68" s="537">
        <v>10945</v>
      </c>
      <c r="K68" s="576" t="s">
        <v>534</v>
      </c>
      <c r="L68" s="512" t="s">
        <v>14</v>
      </c>
      <c r="M68" s="126">
        <v>1</v>
      </c>
      <c r="N68" s="126">
        <v>1</v>
      </c>
      <c r="O68" s="126">
        <v>1</v>
      </c>
      <c r="P68" s="126">
        <v>1</v>
      </c>
      <c r="Q68" s="126">
        <v>1</v>
      </c>
    </row>
    <row r="69" spans="1:17" ht="15" hidden="1" customHeight="1" x14ac:dyDescent="0.25">
      <c r="B69" s="2467"/>
      <c r="C69" s="2329">
        <v>8</v>
      </c>
      <c r="D69" s="2330"/>
      <c r="E69" s="1777" t="s">
        <v>181</v>
      </c>
      <c r="F69" s="613"/>
      <c r="G69" s="613"/>
      <c r="H69" s="547"/>
      <c r="I69" s="536"/>
      <c r="J69" s="536"/>
      <c r="K69" s="835"/>
      <c r="L69" s="1537"/>
      <c r="M69" s="128"/>
      <c r="N69" s="128"/>
      <c r="O69" s="128"/>
      <c r="P69" s="128"/>
      <c r="Q69" s="128"/>
    </row>
    <row r="70" spans="1:17" ht="15" customHeight="1" x14ac:dyDescent="0.25">
      <c r="B70" s="2467"/>
      <c r="C70" s="2329"/>
      <c r="D70" s="2331"/>
      <c r="E70" s="1777"/>
      <c r="F70" s="69">
        <v>145379.20000000001</v>
      </c>
      <c r="G70" s="69">
        <v>161200.4</v>
      </c>
      <c r="H70" s="1649">
        <f>200061+113829.5</f>
        <v>313890.5</v>
      </c>
      <c r="I70" s="443">
        <f>153770.7-0.04</f>
        <v>153770.66</v>
      </c>
      <c r="J70" s="443">
        <v>154270.70000000001</v>
      </c>
      <c r="K70" s="1777" t="s">
        <v>535</v>
      </c>
      <c r="L70" s="118" t="s">
        <v>14</v>
      </c>
      <c r="M70" s="129">
        <v>0.16</v>
      </c>
      <c r="N70" s="129">
        <v>0.28999999999999998</v>
      </c>
      <c r="O70" s="129">
        <v>0.24</v>
      </c>
      <c r="P70" s="129">
        <v>0.25</v>
      </c>
      <c r="Q70" s="129">
        <v>0.25</v>
      </c>
    </row>
    <row r="71" spans="1:17" x14ac:dyDescent="0.25">
      <c r="B71" s="2467"/>
      <c r="C71" s="2329"/>
      <c r="D71" s="2331"/>
      <c r="E71" s="1777"/>
      <c r="F71" s="69">
        <v>61901.5</v>
      </c>
      <c r="G71" s="69">
        <v>73769</v>
      </c>
      <c r="H71" s="2033"/>
      <c r="I71" s="443">
        <f>84500.7-0.04</f>
        <v>84500.66</v>
      </c>
      <c r="J71" s="443">
        <v>84086.5</v>
      </c>
      <c r="K71" s="1777"/>
      <c r="L71" s="118" t="s">
        <v>14</v>
      </c>
      <c r="M71" s="129">
        <v>0.47</v>
      </c>
      <c r="N71" s="129">
        <v>0.6</v>
      </c>
      <c r="O71" s="129">
        <v>0.48</v>
      </c>
      <c r="P71" s="129">
        <v>0.47</v>
      </c>
      <c r="Q71" s="129">
        <v>0.47</v>
      </c>
    </row>
    <row r="72" spans="1:17" x14ac:dyDescent="0.25">
      <c r="B72" s="2467"/>
      <c r="C72" s="2329"/>
      <c r="D72" s="2331"/>
      <c r="E72" s="1777"/>
      <c r="F72" s="69">
        <v>10466.6</v>
      </c>
      <c r="G72" s="69">
        <v>15437.5</v>
      </c>
      <c r="H72" s="2033"/>
      <c r="I72" s="443">
        <f>13096.1-0.04</f>
        <v>13096.06</v>
      </c>
      <c r="J72" s="443">
        <v>13391.6</v>
      </c>
      <c r="K72" s="1777"/>
      <c r="L72" s="118" t="s">
        <v>14</v>
      </c>
      <c r="M72" s="129">
        <v>0.14000000000000001</v>
      </c>
      <c r="N72" s="129">
        <v>0.38</v>
      </c>
      <c r="O72" s="129">
        <v>0.45</v>
      </c>
      <c r="P72" s="129">
        <v>0.46</v>
      </c>
      <c r="Q72" s="129">
        <v>0.47</v>
      </c>
    </row>
    <row r="73" spans="1:17" x14ac:dyDescent="0.25">
      <c r="A73" s="10"/>
      <c r="B73" s="2467"/>
      <c r="C73" s="2329"/>
      <c r="D73" s="2331"/>
      <c r="E73" s="1777"/>
      <c r="F73" s="69">
        <v>3947</v>
      </c>
      <c r="G73" s="69">
        <v>4103.8999999999996</v>
      </c>
      <c r="H73" s="2033"/>
      <c r="I73" s="443">
        <f>4133-0.04</f>
        <v>4132.96</v>
      </c>
      <c r="J73" s="443">
        <v>4133</v>
      </c>
      <c r="K73" s="1777"/>
      <c r="L73" s="118" t="s">
        <v>14</v>
      </c>
      <c r="M73" s="129">
        <v>0.17</v>
      </c>
      <c r="N73" s="129">
        <v>0.27</v>
      </c>
      <c r="O73" s="129">
        <v>0.27</v>
      </c>
      <c r="P73" s="129">
        <v>0.27</v>
      </c>
      <c r="Q73" s="129">
        <v>0.27</v>
      </c>
    </row>
    <row r="74" spans="1:17" x14ac:dyDescent="0.25">
      <c r="A74" s="10"/>
      <c r="B74" s="2467"/>
      <c r="C74" s="2329"/>
      <c r="D74" s="2331"/>
      <c r="E74" s="1777"/>
      <c r="F74" s="69">
        <v>30298.1</v>
      </c>
      <c r="G74" s="69">
        <v>36455.1</v>
      </c>
      <c r="H74" s="2033"/>
      <c r="I74" s="443">
        <v>45425.1</v>
      </c>
      <c r="J74" s="443">
        <v>45425.1</v>
      </c>
      <c r="K74" s="1777"/>
      <c r="L74" s="118" t="s">
        <v>14</v>
      </c>
      <c r="M74" s="129">
        <v>0.63</v>
      </c>
      <c r="N74" s="129">
        <v>0.7</v>
      </c>
      <c r="O74" s="129">
        <v>0.56000000000000005</v>
      </c>
      <c r="P74" s="129">
        <v>0.56000000000000005</v>
      </c>
      <c r="Q74" s="129">
        <v>0.56000000000000005</v>
      </c>
    </row>
    <row r="75" spans="1:17" x14ac:dyDescent="0.25">
      <c r="A75" s="10"/>
      <c r="B75" s="2467"/>
      <c r="C75" s="2329"/>
      <c r="D75" s="2332"/>
      <c r="E75" s="1777"/>
      <c r="F75" s="69">
        <v>16014.2</v>
      </c>
      <c r="G75" s="69">
        <v>20619</v>
      </c>
      <c r="H75" s="1650"/>
      <c r="I75" s="443">
        <v>13353.2</v>
      </c>
      <c r="J75" s="443">
        <v>13353.2</v>
      </c>
      <c r="K75" s="1777"/>
      <c r="L75" s="118" t="s">
        <v>14</v>
      </c>
      <c r="M75" s="129">
        <v>0.19</v>
      </c>
      <c r="N75" s="129">
        <v>0.75</v>
      </c>
      <c r="O75" s="129">
        <v>0.37</v>
      </c>
      <c r="P75" s="129">
        <v>0.37</v>
      </c>
      <c r="Q75" s="129">
        <v>0.37</v>
      </c>
    </row>
    <row r="76" spans="1:17" ht="45" x14ac:dyDescent="0.25">
      <c r="A76" s="10"/>
      <c r="B76" s="2467"/>
      <c r="C76" s="2357">
        <v>9</v>
      </c>
      <c r="D76" s="2330"/>
      <c r="E76" s="2279" t="s">
        <v>182</v>
      </c>
      <c r="F76" s="2325">
        <f>75671.9+20967.4</f>
        <v>96639.299999999988</v>
      </c>
      <c r="G76" s="2325">
        <f>74635.6+20852.4</f>
        <v>95488</v>
      </c>
      <c r="H76" s="2154">
        <f>29753+61912.1</f>
        <v>91665.1</v>
      </c>
      <c r="I76" s="2135">
        <v>92065.1</v>
      </c>
      <c r="J76" s="2135">
        <v>92485.1</v>
      </c>
      <c r="K76" s="597" t="s">
        <v>536</v>
      </c>
      <c r="L76" s="118" t="s">
        <v>968</v>
      </c>
      <c r="M76" s="130">
        <f>SUM(M77:M80)</f>
        <v>149</v>
      </c>
      <c r="N76" s="130">
        <f>SUM(N77:N80)</f>
        <v>157</v>
      </c>
      <c r="O76" s="130">
        <f>SUM(O77:O80)</f>
        <v>141</v>
      </c>
      <c r="P76" s="130">
        <f>SUM(P77:P80)</f>
        <v>141</v>
      </c>
      <c r="Q76" s="130">
        <f>SUM(Q77:Q80)</f>
        <v>141</v>
      </c>
    </row>
    <row r="77" spans="1:17" x14ac:dyDescent="0.25">
      <c r="A77" s="10"/>
      <c r="B77" s="2467"/>
      <c r="C77" s="2357"/>
      <c r="D77" s="2331"/>
      <c r="E77" s="2279"/>
      <c r="F77" s="2276"/>
      <c r="G77" s="2276"/>
      <c r="H77" s="2033"/>
      <c r="I77" s="1791"/>
      <c r="J77" s="1791"/>
      <c r="K77" s="508" t="s">
        <v>537</v>
      </c>
      <c r="L77" s="118" t="s">
        <v>968</v>
      </c>
      <c r="M77" s="125">
        <f>5+28</f>
        <v>33</v>
      </c>
      <c r="N77" s="125">
        <f>6+23</f>
        <v>29</v>
      </c>
      <c r="O77" s="125">
        <f>6+27</f>
        <v>33</v>
      </c>
      <c r="P77" s="125">
        <f t="shared" ref="P77:Q77" si="6">6+27</f>
        <v>33</v>
      </c>
      <c r="Q77" s="125">
        <f t="shared" si="6"/>
        <v>33</v>
      </c>
    </row>
    <row r="78" spans="1:17" x14ac:dyDescent="0.25">
      <c r="A78" s="10"/>
      <c r="B78" s="2467"/>
      <c r="C78" s="2357"/>
      <c r="D78" s="2331"/>
      <c r="E78" s="2279"/>
      <c r="F78" s="2276"/>
      <c r="G78" s="2276"/>
      <c r="H78" s="2033"/>
      <c r="I78" s="1791"/>
      <c r="J78" s="1791"/>
      <c r="K78" s="508" t="s">
        <v>538</v>
      </c>
      <c r="L78" s="118" t="s">
        <v>968</v>
      </c>
      <c r="M78" s="125">
        <f>4+19</f>
        <v>23</v>
      </c>
      <c r="N78" s="125">
        <f>4+14</f>
        <v>18</v>
      </c>
      <c r="O78" s="125">
        <f>4+18</f>
        <v>22</v>
      </c>
      <c r="P78" s="125">
        <f t="shared" ref="P78:Q78" si="7">4+18</f>
        <v>22</v>
      </c>
      <c r="Q78" s="125">
        <f t="shared" si="7"/>
        <v>22</v>
      </c>
    </row>
    <row r="79" spans="1:17" x14ac:dyDescent="0.25">
      <c r="A79" s="10"/>
      <c r="B79" s="2467"/>
      <c r="C79" s="2357"/>
      <c r="D79" s="2331"/>
      <c r="E79" s="2279"/>
      <c r="F79" s="2276"/>
      <c r="G79" s="2276"/>
      <c r="H79" s="2033"/>
      <c r="I79" s="1791"/>
      <c r="J79" s="1791"/>
      <c r="K79" s="508" t="s">
        <v>539</v>
      </c>
      <c r="L79" s="118" t="s">
        <v>968</v>
      </c>
      <c r="M79" s="125">
        <v>8</v>
      </c>
      <c r="N79" s="125">
        <v>8</v>
      </c>
      <c r="O79" s="125">
        <v>8</v>
      </c>
      <c r="P79" s="125">
        <v>8</v>
      </c>
      <c r="Q79" s="125">
        <v>8</v>
      </c>
    </row>
    <row r="80" spans="1:17" x14ac:dyDescent="0.25">
      <c r="A80" s="10"/>
      <c r="B80" s="2467"/>
      <c r="C80" s="2357"/>
      <c r="D80" s="2331"/>
      <c r="E80" s="2279"/>
      <c r="F80" s="2276"/>
      <c r="G80" s="2276"/>
      <c r="H80" s="2033"/>
      <c r="I80" s="1791"/>
      <c r="J80" s="1791"/>
      <c r="K80" s="508" t="s">
        <v>540</v>
      </c>
      <c r="L80" s="118" t="s">
        <v>968</v>
      </c>
      <c r="M80" s="125">
        <f>5+80</f>
        <v>85</v>
      </c>
      <c r="N80" s="125">
        <f>97+5</f>
        <v>102</v>
      </c>
      <c r="O80" s="125">
        <f>73+5</f>
        <v>78</v>
      </c>
      <c r="P80" s="125">
        <f t="shared" ref="P80:Q80" si="8">73+5</f>
        <v>78</v>
      </c>
      <c r="Q80" s="125">
        <f t="shared" si="8"/>
        <v>78</v>
      </c>
    </row>
    <row r="81" spans="1:17" ht="30" x14ac:dyDescent="0.25">
      <c r="A81" s="10"/>
      <c r="B81" s="2467"/>
      <c r="C81" s="2357"/>
      <c r="D81" s="2331"/>
      <c r="E81" s="2279"/>
      <c r="F81" s="2276"/>
      <c r="G81" s="2276"/>
      <c r="H81" s="2033"/>
      <c r="I81" s="1791"/>
      <c r="J81" s="1791"/>
      <c r="K81" s="131" t="s">
        <v>541</v>
      </c>
      <c r="L81" s="118" t="s">
        <v>968</v>
      </c>
      <c r="M81" s="130">
        <f>M82+M84+M83</f>
        <v>26</v>
      </c>
      <c r="N81" s="130">
        <f>N82+N84+N83</f>
        <v>21</v>
      </c>
      <c r="O81" s="130">
        <f>O82+O84+O83</f>
        <v>27</v>
      </c>
      <c r="P81" s="130">
        <f>P82+P84+P83</f>
        <v>27</v>
      </c>
      <c r="Q81" s="130">
        <f>Q82+Q84+Q83</f>
        <v>27</v>
      </c>
    </row>
    <row r="82" spans="1:17" x14ac:dyDescent="0.25">
      <c r="A82" s="10"/>
      <c r="B82" s="2467"/>
      <c r="C82" s="2357"/>
      <c r="D82" s="2331"/>
      <c r="E82" s="2279"/>
      <c r="F82" s="2276"/>
      <c r="G82" s="2276"/>
      <c r="H82" s="2033"/>
      <c r="I82" s="1791"/>
      <c r="J82" s="1791"/>
      <c r="K82" s="508" t="s">
        <v>542</v>
      </c>
      <c r="L82" s="118" t="s">
        <v>968</v>
      </c>
      <c r="M82" s="125">
        <v>21</v>
      </c>
      <c r="N82" s="125">
        <f>12+9</f>
        <v>21</v>
      </c>
      <c r="O82" s="125">
        <v>7</v>
      </c>
      <c r="P82" s="125">
        <v>7</v>
      </c>
      <c r="Q82" s="125">
        <v>7</v>
      </c>
    </row>
    <row r="83" spans="1:17" x14ac:dyDescent="0.25">
      <c r="A83" s="10"/>
      <c r="B83" s="2467"/>
      <c r="C83" s="2357"/>
      <c r="D83" s="2331"/>
      <c r="E83" s="2279"/>
      <c r="F83" s="2276"/>
      <c r="G83" s="2276"/>
      <c r="H83" s="2033"/>
      <c r="I83" s="1791"/>
      <c r="J83" s="1791"/>
      <c r="K83" s="508" t="s">
        <v>543</v>
      </c>
      <c r="L83" s="118" t="s">
        <v>968</v>
      </c>
      <c r="M83" s="125"/>
      <c r="N83" s="125"/>
      <c r="O83" s="125"/>
      <c r="P83" s="125"/>
      <c r="Q83" s="125"/>
    </row>
    <row r="84" spans="1:17" x14ac:dyDescent="0.25">
      <c r="A84" s="10"/>
      <c r="B84" s="2468"/>
      <c r="C84" s="2357"/>
      <c r="D84" s="2332"/>
      <c r="E84" s="2279"/>
      <c r="F84" s="2270"/>
      <c r="G84" s="2270"/>
      <c r="H84" s="1650"/>
      <c r="I84" s="1789"/>
      <c r="J84" s="1789"/>
      <c r="K84" s="508" t="s">
        <v>544</v>
      </c>
      <c r="L84" s="118" t="s">
        <v>968</v>
      </c>
      <c r="M84" s="125">
        <f>3+2</f>
        <v>5</v>
      </c>
      <c r="N84" s="125"/>
      <c r="O84" s="125">
        <v>20</v>
      </c>
      <c r="P84" s="125">
        <v>20</v>
      </c>
      <c r="Q84" s="125">
        <v>20</v>
      </c>
    </row>
    <row r="85" spans="1:17" ht="15" customHeight="1" x14ac:dyDescent="0.25">
      <c r="A85" s="10"/>
      <c r="B85" s="1660" t="s">
        <v>101</v>
      </c>
      <c r="C85" s="2362">
        <v>1</v>
      </c>
      <c r="D85" s="2363"/>
      <c r="E85" s="1777" t="s">
        <v>183</v>
      </c>
      <c r="F85" s="2135">
        <v>29485.7</v>
      </c>
      <c r="G85" s="2135">
        <v>29203</v>
      </c>
      <c r="H85" s="2136">
        <f>17976.4+16584.6</f>
        <v>34561</v>
      </c>
      <c r="I85" s="2135">
        <v>34561</v>
      </c>
      <c r="J85" s="2135">
        <v>37837.9</v>
      </c>
      <c r="K85" s="836"/>
      <c r="L85" s="125"/>
      <c r="M85" s="132"/>
      <c r="N85" s="132"/>
      <c r="O85" s="132"/>
      <c r="P85" s="132"/>
      <c r="Q85" s="132"/>
    </row>
    <row r="86" spans="1:17" x14ac:dyDescent="0.25">
      <c r="A86" s="10"/>
      <c r="B86" s="1660"/>
      <c r="C86" s="2362"/>
      <c r="D86" s="2364"/>
      <c r="E86" s="1777"/>
      <c r="F86" s="1789"/>
      <c r="G86" s="1789"/>
      <c r="H86" s="1600"/>
      <c r="I86" s="1789"/>
      <c r="J86" s="1789"/>
      <c r="K86" s="836" t="s">
        <v>545</v>
      </c>
      <c r="L86" s="125" t="s">
        <v>971</v>
      </c>
      <c r="M86" s="125">
        <v>299</v>
      </c>
      <c r="N86" s="125">
        <v>294</v>
      </c>
      <c r="O86" s="125">
        <v>260</v>
      </c>
      <c r="P86" s="125">
        <v>260</v>
      </c>
      <c r="Q86" s="125">
        <v>260</v>
      </c>
    </row>
    <row r="87" spans="1:17" ht="15" customHeight="1" x14ac:dyDescent="0.25">
      <c r="A87" s="10"/>
      <c r="B87" s="1660" t="s">
        <v>110</v>
      </c>
      <c r="C87" s="2362">
        <v>1</v>
      </c>
      <c r="D87" s="2363"/>
      <c r="E87" s="1777" t="s">
        <v>184</v>
      </c>
      <c r="F87" s="2135">
        <v>5882.1</v>
      </c>
      <c r="G87" s="2135">
        <v>7044.6</v>
      </c>
      <c r="H87" s="2136">
        <f>6655.8+500</f>
        <v>7155.8</v>
      </c>
      <c r="I87" s="2135">
        <v>7155.8</v>
      </c>
      <c r="J87" s="2135">
        <v>7155.8</v>
      </c>
      <c r="K87" s="836"/>
      <c r="L87" s="125"/>
      <c r="M87" s="132"/>
      <c r="N87" s="132"/>
      <c r="O87" s="132"/>
      <c r="P87" s="132"/>
      <c r="Q87" s="132"/>
    </row>
    <row r="88" spans="1:17" ht="30" x14ac:dyDescent="0.25">
      <c r="A88" s="10"/>
      <c r="B88" s="1660"/>
      <c r="C88" s="2362"/>
      <c r="D88" s="2364"/>
      <c r="E88" s="1777"/>
      <c r="F88" s="1789"/>
      <c r="G88" s="1789"/>
      <c r="H88" s="1600"/>
      <c r="I88" s="1789"/>
      <c r="J88" s="1789"/>
      <c r="K88" s="576" t="s">
        <v>546</v>
      </c>
      <c r="L88" s="125" t="s">
        <v>968</v>
      </c>
      <c r="M88" s="125">
        <v>2</v>
      </c>
      <c r="N88" s="125">
        <v>4</v>
      </c>
      <c r="O88" s="125">
        <v>6</v>
      </c>
      <c r="P88" s="125">
        <v>6</v>
      </c>
      <c r="Q88" s="125">
        <v>6</v>
      </c>
    </row>
    <row r="89" spans="1:17" x14ac:dyDescent="0.25">
      <c r="A89" s="2336" t="s">
        <v>164</v>
      </c>
      <c r="B89" s="2336"/>
      <c r="C89" s="2336"/>
      <c r="D89" s="2336"/>
      <c r="E89" s="2336"/>
      <c r="F89" s="207">
        <f>F58+F59+F60+F61+F62+F63+F68+F69+F76+F85+F87+F70+F71+F72+F73+F74+F75+F65+F66+F67</f>
        <v>884503.8</v>
      </c>
      <c r="G89" s="207">
        <f>G58+G59+G60+G61+G62+G63+G68+G69+G76+G85+G87+G70+G71+G72+G73+G74+G75+G65+G66+G67</f>
        <v>668645.89999999991</v>
      </c>
      <c r="H89" s="207">
        <f>H57+H64+H85+H87</f>
        <v>654932.80000000005</v>
      </c>
      <c r="I89" s="207">
        <f>I58+I59+I60+I61+I62+I63+I68+I69+I76+I85+I87+I70+I71+I72+I73+I74+I75+I65+I66+I67</f>
        <v>652107.84</v>
      </c>
      <c r="J89" s="207">
        <f>J58+J59+J60+J61+J62+J63+J68+J69+J76+J85+J87+J70+J71+J72+J73+J74+J75+J65+J66+J67</f>
        <v>657163.69999999995</v>
      </c>
      <c r="K89" s="847"/>
      <c r="L89" s="134"/>
      <c r="M89" s="133"/>
      <c r="N89" s="133"/>
      <c r="O89" s="133"/>
      <c r="P89" s="133"/>
      <c r="Q89" s="133"/>
    </row>
    <row r="90" spans="1:17" x14ac:dyDescent="0.25">
      <c r="A90" s="2359" t="s">
        <v>1168</v>
      </c>
      <c r="B90" s="2360"/>
      <c r="C90" s="2360"/>
      <c r="D90" s="2360"/>
      <c r="E90" s="2360"/>
      <c r="F90" s="2360"/>
      <c r="G90" s="2360"/>
      <c r="H90" s="2360"/>
      <c r="I90" s="2360"/>
      <c r="J90" s="2360"/>
      <c r="K90" s="2360"/>
      <c r="L90" s="2360"/>
      <c r="M90" s="2360"/>
      <c r="N90" s="2360"/>
      <c r="O90" s="2360"/>
      <c r="P90" s="2360"/>
      <c r="Q90" s="2361"/>
    </row>
    <row r="91" spans="1:17" s="395" customFormat="1" ht="66" customHeight="1" x14ac:dyDescent="0.25">
      <c r="A91" s="394"/>
      <c r="B91" s="331" t="s">
        <v>102</v>
      </c>
      <c r="C91" s="331"/>
      <c r="D91" s="331"/>
      <c r="E91" s="653" t="s">
        <v>1181</v>
      </c>
      <c r="F91" s="430">
        <f>SUM(F92:F97)</f>
        <v>36143.5</v>
      </c>
      <c r="G91" s="430">
        <f>SUM(G92:G97)</f>
        <v>48458.1</v>
      </c>
      <c r="H91" s="430">
        <f>SUM(H92:H97)</f>
        <v>0</v>
      </c>
      <c r="I91" s="430">
        <f>SUM(I92:I97)</f>
        <v>0</v>
      </c>
      <c r="J91" s="430">
        <f>SUM(J92:J97)</f>
        <v>0</v>
      </c>
      <c r="K91" s="653" t="s">
        <v>547</v>
      </c>
      <c r="L91" s="583" t="s">
        <v>14</v>
      </c>
      <c r="M91" s="583">
        <v>68.2</v>
      </c>
      <c r="N91" s="583">
        <v>69.599999999999994</v>
      </c>
      <c r="O91" s="583">
        <v>69.599999999999994</v>
      </c>
      <c r="P91" s="583">
        <v>69.599999999999994</v>
      </c>
      <c r="Q91" s="583">
        <v>69.599999999999994</v>
      </c>
    </row>
    <row r="92" spans="1:17" s="395" customFormat="1" ht="45.75" customHeight="1" x14ac:dyDescent="0.25">
      <c r="A92" s="394"/>
      <c r="B92" s="412"/>
      <c r="C92" s="412" t="s">
        <v>2</v>
      </c>
      <c r="D92" s="412"/>
      <c r="E92" s="628" t="s">
        <v>140</v>
      </c>
      <c r="F92" s="557">
        <v>11321.1</v>
      </c>
      <c r="G92" s="557">
        <v>14685.3</v>
      </c>
      <c r="H92" s="557"/>
      <c r="I92" s="557"/>
      <c r="J92" s="557"/>
      <c r="K92" s="565" t="s">
        <v>548</v>
      </c>
      <c r="L92" s="511" t="s">
        <v>971</v>
      </c>
      <c r="M92" s="330">
        <v>0</v>
      </c>
      <c r="N92" s="330">
        <v>0</v>
      </c>
      <c r="O92" s="330">
        <v>0</v>
      </c>
      <c r="P92" s="330">
        <v>0</v>
      </c>
      <c r="Q92" s="330">
        <v>0</v>
      </c>
    </row>
    <row r="93" spans="1:17" s="395" customFormat="1" ht="30" x14ac:dyDescent="0.25">
      <c r="A93" s="394"/>
      <c r="B93" s="412"/>
      <c r="C93" s="412" t="s">
        <v>4</v>
      </c>
      <c r="D93" s="412"/>
      <c r="E93" s="628" t="s">
        <v>142</v>
      </c>
      <c r="F93" s="557">
        <v>3354.4</v>
      </c>
      <c r="G93" s="557">
        <v>25072.799999999999</v>
      </c>
      <c r="H93" s="557"/>
      <c r="I93" s="557"/>
      <c r="J93" s="557"/>
      <c r="K93" s="565" t="s">
        <v>549</v>
      </c>
      <c r="L93" s="511" t="s">
        <v>14</v>
      </c>
      <c r="M93" s="511">
        <v>0</v>
      </c>
      <c r="N93" s="511">
        <v>0</v>
      </c>
      <c r="O93" s="329">
        <v>0</v>
      </c>
      <c r="P93" s="329">
        <v>0</v>
      </c>
      <c r="Q93" s="329">
        <v>0</v>
      </c>
    </row>
    <row r="94" spans="1:17" s="395" customFormat="1" ht="30" x14ac:dyDescent="0.25">
      <c r="A94" s="394"/>
      <c r="B94" s="1899"/>
      <c r="C94" s="1899" t="s">
        <v>49</v>
      </c>
      <c r="D94" s="1899"/>
      <c r="E94" s="1611" t="s">
        <v>186</v>
      </c>
      <c r="F94" s="559">
        <v>3884.2</v>
      </c>
      <c r="G94" s="559">
        <v>1000</v>
      </c>
      <c r="H94" s="559"/>
      <c r="I94" s="559"/>
      <c r="J94" s="559"/>
      <c r="K94" s="565" t="s">
        <v>550</v>
      </c>
      <c r="L94" s="511" t="s">
        <v>968</v>
      </c>
      <c r="M94" s="511">
        <v>20</v>
      </c>
      <c r="N94" s="511">
        <v>20</v>
      </c>
      <c r="O94" s="511">
        <v>20</v>
      </c>
      <c r="P94" s="511">
        <v>20</v>
      </c>
      <c r="Q94" s="511">
        <v>20</v>
      </c>
    </row>
    <row r="95" spans="1:17" s="395" customFormat="1" ht="30" x14ac:dyDescent="0.25">
      <c r="A95" s="394"/>
      <c r="B95" s="1900"/>
      <c r="C95" s="1900"/>
      <c r="D95" s="1900"/>
      <c r="E95" s="1613"/>
      <c r="F95" s="539">
        <v>3225.4</v>
      </c>
      <c r="G95" s="539">
        <v>4000</v>
      </c>
      <c r="H95" s="539"/>
      <c r="I95" s="539"/>
      <c r="J95" s="539"/>
      <c r="K95" s="565" t="s">
        <v>551</v>
      </c>
      <c r="L95" s="511" t="s">
        <v>968</v>
      </c>
      <c r="M95" s="511">
        <v>3</v>
      </c>
      <c r="N95" s="511">
        <v>3</v>
      </c>
      <c r="O95" s="511">
        <v>3</v>
      </c>
      <c r="P95" s="511">
        <v>3</v>
      </c>
      <c r="Q95" s="511">
        <v>3</v>
      </c>
    </row>
    <row r="96" spans="1:17" s="395" customFormat="1" ht="30" x14ac:dyDescent="0.25">
      <c r="A96" s="394"/>
      <c r="B96" s="412"/>
      <c r="C96" s="412" t="s">
        <v>49</v>
      </c>
      <c r="D96" s="412"/>
      <c r="E96" s="628" t="s">
        <v>185</v>
      </c>
      <c r="F96" s="557">
        <v>14358.4</v>
      </c>
      <c r="G96" s="557">
        <v>3700</v>
      </c>
      <c r="H96" s="557"/>
      <c r="I96" s="557"/>
      <c r="J96" s="557"/>
      <c r="K96" s="565" t="s">
        <v>552</v>
      </c>
      <c r="L96" s="511" t="s">
        <v>968</v>
      </c>
      <c r="M96" s="511" t="s">
        <v>103</v>
      </c>
      <c r="N96" s="511" t="s">
        <v>103</v>
      </c>
      <c r="O96" s="511" t="s">
        <v>103</v>
      </c>
      <c r="P96" s="511" t="s">
        <v>103</v>
      </c>
      <c r="Q96" s="511" t="s">
        <v>103</v>
      </c>
    </row>
    <row r="97" spans="1:17" s="395" customFormat="1" ht="45" x14ac:dyDescent="0.25">
      <c r="A97" s="394"/>
      <c r="B97" s="412"/>
      <c r="C97" s="412" t="s">
        <v>50</v>
      </c>
      <c r="D97" s="412"/>
      <c r="E97" s="565" t="s">
        <v>187</v>
      </c>
      <c r="F97" s="557">
        <v>0</v>
      </c>
      <c r="G97" s="557"/>
      <c r="H97" s="557"/>
      <c r="I97" s="557"/>
      <c r="J97" s="557"/>
      <c r="K97" s="565" t="s">
        <v>553</v>
      </c>
      <c r="L97" s="511" t="s">
        <v>14</v>
      </c>
      <c r="M97" s="511">
        <v>30</v>
      </c>
      <c r="N97" s="511">
        <v>30</v>
      </c>
      <c r="O97" s="511">
        <v>30</v>
      </c>
      <c r="P97" s="511">
        <v>30</v>
      </c>
      <c r="Q97" s="511">
        <v>30</v>
      </c>
    </row>
    <row r="98" spans="1:17" s="395" customFormat="1" ht="73.5" x14ac:dyDescent="0.25">
      <c r="A98" s="394"/>
      <c r="B98" s="428" t="s">
        <v>91</v>
      </c>
      <c r="C98" s="428"/>
      <c r="D98" s="428"/>
      <c r="E98" s="653" t="s">
        <v>1180</v>
      </c>
      <c r="F98" s="430">
        <f>SUM(F99:F106)</f>
        <v>98874.1</v>
      </c>
      <c r="G98" s="430">
        <f>SUM(G99:G106)</f>
        <v>98995.9</v>
      </c>
      <c r="H98" s="430">
        <f>SUM(H99:H106)</f>
        <v>151754</v>
      </c>
      <c r="I98" s="430">
        <f>SUM(I99:I106)</f>
        <v>144002.9</v>
      </c>
      <c r="J98" s="430">
        <f>SUM(J99:J106)</f>
        <v>143175.4</v>
      </c>
      <c r="K98" s="653" t="s">
        <v>554</v>
      </c>
      <c r="L98" s="511" t="s">
        <v>14</v>
      </c>
      <c r="M98" s="511">
        <v>174</v>
      </c>
      <c r="N98" s="511">
        <v>0</v>
      </c>
      <c r="O98" s="511">
        <v>0</v>
      </c>
      <c r="P98" s="511">
        <v>0</v>
      </c>
      <c r="Q98" s="511">
        <v>0</v>
      </c>
    </row>
    <row r="99" spans="1:17" s="395" customFormat="1" ht="45" x14ac:dyDescent="0.25">
      <c r="A99" s="394"/>
      <c r="B99" s="413"/>
      <c r="C99" s="413" t="s">
        <v>2</v>
      </c>
      <c r="D99" s="413"/>
      <c r="E99" s="565" t="s">
        <v>188</v>
      </c>
      <c r="F99" s="557">
        <v>68976.600000000006</v>
      </c>
      <c r="G99" s="557">
        <v>61016.9</v>
      </c>
      <c r="H99" s="557">
        <f>147454+4300</f>
        <v>151754</v>
      </c>
      <c r="I99" s="557">
        <v>144002.9</v>
      </c>
      <c r="J99" s="557">
        <v>143175.4</v>
      </c>
      <c r="K99" s="565" t="s">
        <v>555</v>
      </c>
      <c r="L99" s="321" t="s">
        <v>968</v>
      </c>
      <c r="M99" s="511">
        <v>650</v>
      </c>
      <c r="N99" s="412" t="s">
        <v>104</v>
      </c>
      <c r="O99" s="412" t="s">
        <v>104</v>
      </c>
      <c r="P99" s="412" t="s">
        <v>105</v>
      </c>
      <c r="Q99" s="412" t="s">
        <v>105</v>
      </c>
    </row>
    <row r="100" spans="1:17" s="395" customFormat="1" ht="45" x14ac:dyDescent="0.25">
      <c r="A100" s="394"/>
      <c r="B100" s="413"/>
      <c r="C100" s="413" t="s">
        <v>3</v>
      </c>
      <c r="D100" s="413"/>
      <c r="E100" s="808" t="s">
        <v>189</v>
      </c>
      <c r="F100" s="557">
        <v>10200</v>
      </c>
      <c r="G100" s="557">
        <v>9032</v>
      </c>
      <c r="H100" s="431"/>
      <c r="I100" s="431"/>
      <c r="J100" s="431"/>
      <c r="K100" s="565" t="s">
        <v>556</v>
      </c>
      <c r="L100" s="414"/>
      <c r="M100" s="511" t="s">
        <v>106</v>
      </c>
      <c r="N100" s="511" t="s">
        <v>106</v>
      </c>
      <c r="O100" s="511" t="s">
        <v>106</v>
      </c>
      <c r="P100" s="511" t="s">
        <v>106</v>
      </c>
      <c r="Q100" s="511" t="s">
        <v>106</v>
      </c>
    </row>
    <row r="101" spans="1:17" s="395" customFormat="1" ht="45" x14ac:dyDescent="0.25">
      <c r="A101" s="394"/>
      <c r="B101" s="413"/>
      <c r="C101" s="413" t="s">
        <v>4</v>
      </c>
      <c r="D101" s="413"/>
      <c r="E101" s="808" t="s">
        <v>190</v>
      </c>
      <c r="F101" s="557">
        <v>8000</v>
      </c>
      <c r="G101" s="557">
        <v>5000</v>
      </c>
      <c r="H101" s="557"/>
      <c r="I101" s="557"/>
      <c r="J101" s="557"/>
      <c r="K101" s="565" t="s">
        <v>557</v>
      </c>
      <c r="L101" s="414" t="s">
        <v>14</v>
      </c>
      <c r="M101" s="511">
        <v>100</v>
      </c>
      <c r="N101" s="511">
        <v>100</v>
      </c>
      <c r="O101" s="511">
        <v>100</v>
      </c>
      <c r="P101" s="511">
        <v>100</v>
      </c>
      <c r="Q101" s="511">
        <v>100</v>
      </c>
    </row>
    <row r="102" spans="1:17" s="395" customFormat="1" ht="30" x14ac:dyDescent="0.25">
      <c r="A102" s="394"/>
      <c r="B102" s="413"/>
      <c r="C102" s="413" t="s">
        <v>5</v>
      </c>
      <c r="D102" s="413"/>
      <c r="E102" s="808" t="s">
        <v>191</v>
      </c>
      <c r="F102" s="557">
        <v>600</v>
      </c>
      <c r="G102" s="557">
        <v>15380</v>
      </c>
      <c r="H102" s="729"/>
      <c r="I102" s="729"/>
      <c r="J102" s="729"/>
      <c r="K102" s="565" t="s">
        <v>558</v>
      </c>
      <c r="L102" s="511" t="s">
        <v>14</v>
      </c>
      <c r="M102" s="511">
        <v>100</v>
      </c>
      <c r="N102" s="511">
        <v>100</v>
      </c>
      <c r="O102" s="511">
        <v>100</v>
      </c>
      <c r="P102" s="511">
        <v>100</v>
      </c>
      <c r="Q102" s="511">
        <v>100</v>
      </c>
    </row>
    <row r="103" spans="1:17" s="395" customFormat="1" ht="57.75" customHeight="1" x14ac:dyDescent="0.25">
      <c r="A103" s="394"/>
      <c r="B103" s="413"/>
      <c r="C103" s="413" t="s">
        <v>49</v>
      </c>
      <c r="D103" s="413"/>
      <c r="E103" s="808" t="s">
        <v>192</v>
      </c>
      <c r="F103" s="557">
        <v>100</v>
      </c>
      <c r="G103" s="557">
        <v>8567</v>
      </c>
      <c r="H103" s="729"/>
      <c r="I103" s="729"/>
      <c r="J103" s="729"/>
      <c r="K103" s="565" t="s">
        <v>559</v>
      </c>
      <c r="L103" s="329" t="s">
        <v>971</v>
      </c>
      <c r="M103" s="511">
        <v>30</v>
      </c>
      <c r="N103" s="511">
        <v>30</v>
      </c>
      <c r="O103" s="511">
        <v>30</v>
      </c>
      <c r="P103" s="511">
        <v>30</v>
      </c>
      <c r="Q103" s="511">
        <v>30</v>
      </c>
    </row>
    <row r="104" spans="1:17" s="395" customFormat="1" x14ac:dyDescent="0.25">
      <c r="A104" s="394"/>
      <c r="B104" s="413"/>
      <c r="C104" s="413" t="s">
        <v>50</v>
      </c>
      <c r="D104" s="413"/>
      <c r="E104" s="808" t="s">
        <v>193</v>
      </c>
      <c r="F104" s="557">
        <v>6237</v>
      </c>
      <c r="G104" s="557"/>
      <c r="H104" s="729"/>
      <c r="I104" s="729"/>
      <c r="J104" s="729"/>
      <c r="K104" s="565" t="s">
        <v>560</v>
      </c>
      <c r="L104" s="329" t="s">
        <v>968</v>
      </c>
      <c r="M104" s="511">
        <v>14</v>
      </c>
      <c r="N104" s="511">
        <v>14</v>
      </c>
      <c r="O104" s="511"/>
      <c r="P104" s="511"/>
      <c r="Q104" s="511"/>
    </row>
    <row r="105" spans="1:17" s="395" customFormat="1" ht="30" x14ac:dyDescent="0.25">
      <c r="A105" s="394"/>
      <c r="B105" s="413"/>
      <c r="C105" s="413" t="s">
        <v>51</v>
      </c>
      <c r="D105" s="413"/>
      <c r="E105" s="808" t="s">
        <v>194</v>
      </c>
      <c r="F105" s="557">
        <v>4760.5</v>
      </c>
      <c r="G105" s="557"/>
      <c r="H105" s="729"/>
      <c r="I105" s="729"/>
      <c r="J105" s="729"/>
      <c r="K105" s="565" t="s">
        <v>561</v>
      </c>
      <c r="L105" s="329" t="s">
        <v>968</v>
      </c>
      <c r="M105" s="511">
        <v>278</v>
      </c>
      <c r="N105" s="511">
        <v>280</v>
      </c>
      <c r="O105" s="511"/>
      <c r="P105" s="511"/>
      <c r="Q105" s="511"/>
    </row>
    <row r="106" spans="1:17" s="395" customFormat="1" ht="30" x14ac:dyDescent="0.25">
      <c r="A106" s="394"/>
      <c r="B106" s="413"/>
      <c r="C106" s="413" t="s">
        <v>53</v>
      </c>
      <c r="D106" s="413"/>
      <c r="E106" s="808" t="s">
        <v>195</v>
      </c>
      <c r="F106" s="396">
        <v>0</v>
      </c>
      <c r="G106" s="557"/>
      <c r="H106" s="729"/>
      <c r="I106" s="729"/>
      <c r="J106" s="729"/>
      <c r="K106" s="565" t="s">
        <v>562</v>
      </c>
      <c r="L106" s="329" t="s">
        <v>968</v>
      </c>
      <c r="M106" s="511">
        <v>88</v>
      </c>
      <c r="N106" s="511">
        <v>90</v>
      </c>
      <c r="O106" s="511"/>
      <c r="P106" s="511"/>
      <c r="Q106" s="511"/>
    </row>
    <row r="107" spans="1:17" s="395" customFormat="1" ht="88.5" x14ac:dyDescent="0.25">
      <c r="A107" s="394"/>
      <c r="B107" s="413" t="s">
        <v>98</v>
      </c>
      <c r="C107" s="413"/>
      <c r="D107" s="413"/>
      <c r="E107" s="809" t="s">
        <v>1182</v>
      </c>
      <c r="F107" s="430">
        <f>F108+F109</f>
        <v>150</v>
      </c>
      <c r="G107" s="430">
        <f t="shared" ref="G107:J107" si="9">G108+G109</f>
        <v>0</v>
      </c>
      <c r="H107" s="430">
        <f t="shared" si="9"/>
        <v>0</v>
      </c>
      <c r="I107" s="430">
        <f t="shared" si="9"/>
        <v>0</v>
      </c>
      <c r="J107" s="430">
        <f t="shared" si="9"/>
        <v>0</v>
      </c>
      <c r="K107" s="509" t="s">
        <v>563</v>
      </c>
      <c r="L107" s="511" t="s">
        <v>909</v>
      </c>
      <c r="M107" s="644">
        <v>0</v>
      </c>
      <c r="N107" s="644">
        <v>0</v>
      </c>
      <c r="O107" s="397"/>
      <c r="P107" s="644"/>
      <c r="Q107" s="644"/>
    </row>
    <row r="108" spans="1:17" s="395" customFormat="1" ht="60" x14ac:dyDescent="0.25">
      <c r="A108" s="394"/>
      <c r="B108" s="413"/>
      <c r="C108" s="413" t="s">
        <v>2</v>
      </c>
      <c r="D108" s="413"/>
      <c r="E108" s="808" t="s">
        <v>196</v>
      </c>
      <c r="F108" s="557">
        <v>100</v>
      </c>
      <c r="G108" s="557"/>
      <c r="H108" s="729"/>
      <c r="I108" s="729"/>
      <c r="J108" s="729"/>
      <c r="K108" s="565" t="s">
        <v>564</v>
      </c>
      <c r="L108" s="414" t="s">
        <v>968</v>
      </c>
      <c r="M108" s="644">
        <v>0</v>
      </c>
      <c r="N108" s="644">
        <v>0</v>
      </c>
      <c r="O108" s="397"/>
      <c r="P108" s="644"/>
      <c r="Q108" s="644"/>
    </row>
    <row r="109" spans="1:17" s="395" customFormat="1" ht="60" x14ac:dyDescent="0.25">
      <c r="A109" s="394"/>
      <c r="B109" s="413"/>
      <c r="C109" s="413" t="s">
        <v>3</v>
      </c>
      <c r="D109" s="413"/>
      <c r="E109" s="808" t="s">
        <v>197</v>
      </c>
      <c r="F109" s="557">
        <v>50</v>
      </c>
      <c r="G109" s="557"/>
      <c r="H109" s="729"/>
      <c r="I109" s="729"/>
      <c r="J109" s="729"/>
      <c r="K109" s="565" t="s">
        <v>565</v>
      </c>
      <c r="L109" s="414" t="s">
        <v>910</v>
      </c>
      <c r="M109" s="398">
        <v>43295</v>
      </c>
      <c r="N109" s="644"/>
      <c r="O109" s="397"/>
      <c r="P109" s="644"/>
      <c r="Q109" s="644"/>
    </row>
    <row r="110" spans="1:17" s="395" customFormat="1" ht="59.25" x14ac:dyDescent="0.25">
      <c r="A110" s="394"/>
      <c r="B110" s="428" t="s">
        <v>101</v>
      </c>
      <c r="C110" s="413"/>
      <c r="D110" s="413"/>
      <c r="E110" s="809" t="s">
        <v>1183</v>
      </c>
      <c r="F110" s="430">
        <f>SUM(F111:F116)</f>
        <v>700</v>
      </c>
      <c r="G110" s="430">
        <f t="shared" ref="G110:J110" si="10">SUM(G111:G116)</f>
        <v>0</v>
      </c>
      <c r="H110" s="430">
        <f t="shared" si="10"/>
        <v>0</v>
      </c>
      <c r="I110" s="430">
        <f t="shared" si="10"/>
        <v>0</v>
      </c>
      <c r="J110" s="430">
        <f t="shared" si="10"/>
        <v>0</v>
      </c>
      <c r="K110" s="509" t="s">
        <v>566</v>
      </c>
      <c r="L110" s="511" t="s">
        <v>14</v>
      </c>
      <c r="M110" s="284">
        <v>0</v>
      </c>
      <c r="N110" s="284">
        <v>0</v>
      </c>
      <c r="O110" s="397"/>
      <c r="P110" s="644"/>
      <c r="Q110" s="644"/>
    </row>
    <row r="111" spans="1:17" s="395" customFormat="1" ht="30" x14ac:dyDescent="0.25">
      <c r="A111" s="394"/>
      <c r="B111" s="413"/>
      <c r="C111" s="413" t="s">
        <v>2</v>
      </c>
      <c r="D111" s="413"/>
      <c r="E111" s="808" t="s">
        <v>198</v>
      </c>
      <c r="F111" s="557">
        <v>50</v>
      </c>
      <c r="G111" s="557"/>
      <c r="H111" s="729"/>
      <c r="I111" s="729"/>
      <c r="J111" s="729"/>
      <c r="K111" s="565" t="s">
        <v>567</v>
      </c>
      <c r="L111" s="511" t="s">
        <v>968</v>
      </c>
      <c r="M111" s="643">
        <v>1500</v>
      </c>
      <c r="N111" s="643">
        <v>1550</v>
      </c>
      <c r="O111" s="397"/>
      <c r="P111" s="644"/>
      <c r="Q111" s="644"/>
    </row>
    <row r="112" spans="1:17" s="395" customFormat="1" ht="30" x14ac:dyDescent="0.25">
      <c r="A112" s="394"/>
      <c r="B112" s="413"/>
      <c r="C112" s="413" t="s">
        <v>2</v>
      </c>
      <c r="D112" s="413"/>
      <c r="E112" s="808" t="s">
        <v>199</v>
      </c>
      <c r="F112" s="557">
        <v>200</v>
      </c>
      <c r="G112" s="557"/>
      <c r="H112" s="729"/>
      <c r="I112" s="729"/>
      <c r="J112" s="729"/>
      <c r="K112" s="565"/>
      <c r="L112" s="511"/>
      <c r="M112" s="643"/>
      <c r="N112" s="643"/>
      <c r="O112" s="397"/>
      <c r="P112" s="644"/>
      <c r="Q112" s="644"/>
    </row>
    <row r="113" spans="1:17" s="395" customFormat="1" ht="45" x14ac:dyDescent="0.25">
      <c r="A113" s="394"/>
      <c r="B113" s="413"/>
      <c r="C113" s="413" t="s">
        <v>3</v>
      </c>
      <c r="D113" s="413"/>
      <c r="E113" s="808" t="s">
        <v>1184</v>
      </c>
      <c r="F113" s="557">
        <v>100</v>
      </c>
      <c r="G113" s="557"/>
      <c r="H113" s="729"/>
      <c r="I113" s="729"/>
      <c r="J113" s="729"/>
      <c r="K113" s="565" t="s">
        <v>568</v>
      </c>
      <c r="L113" s="511" t="s">
        <v>968</v>
      </c>
      <c r="M113" s="495">
        <v>14000</v>
      </c>
      <c r="N113" s="495">
        <v>14000</v>
      </c>
      <c r="O113" s="397"/>
      <c r="P113" s="644"/>
      <c r="Q113" s="644"/>
    </row>
    <row r="114" spans="1:17" s="395" customFormat="1" ht="45" x14ac:dyDescent="0.25">
      <c r="A114" s="394"/>
      <c r="B114" s="413"/>
      <c r="C114" s="413" t="s">
        <v>4</v>
      </c>
      <c r="D114" s="413"/>
      <c r="E114" s="808" t="s">
        <v>200</v>
      </c>
      <c r="F114" s="557">
        <v>150</v>
      </c>
      <c r="G114" s="557"/>
      <c r="H114" s="729"/>
      <c r="I114" s="729"/>
      <c r="J114" s="729"/>
      <c r="K114" s="565" t="s">
        <v>569</v>
      </c>
      <c r="L114" s="511" t="s">
        <v>968</v>
      </c>
      <c r="M114" s="284">
        <v>0</v>
      </c>
      <c r="N114" s="284">
        <v>0</v>
      </c>
      <c r="O114" s="397"/>
      <c r="P114" s="644"/>
      <c r="Q114" s="644"/>
    </row>
    <row r="115" spans="1:17" s="395" customFormat="1" ht="45" x14ac:dyDescent="0.25">
      <c r="A115" s="394"/>
      <c r="B115" s="413"/>
      <c r="C115" s="413" t="s">
        <v>5</v>
      </c>
      <c r="D115" s="413"/>
      <c r="E115" s="808" t="s">
        <v>201</v>
      </c>
      <c r="F115" s="557">
        <v>100</v>
      </c>
      <c r="G115" s="557"/>
      <c r="H115" s="729"/>
      <c r="I115" s="729"/>
      <c r="J115" s="729"/>
      <c r="K115" s="565" t="s">
        <v>570</v>
      </c>
      <c r="L115" s="511" t="s">
        <v>968</v>
      </c>
      <c r="M115" s="285" t="s">
        <v>107</v>
      </c>
      <c r="N115" s="285" t="s">
        <v>107</v>
      </c>
      <c r="O115" s="397"/>
      <c r="P115" s="644"/>
      <c r="Q115" s="644"/>
    </row>
    <row r="116" spans="1:17" s="395" customFormat="1" ht="45" x14ac:dyDescent="0.25">
      <c r="A116" s="394"/>
      <c r="B116" s="618"/>
      <c r="C116" s="618" t="s">
        <v>49</v>
      </c>
      <c r="D116" s="618"/>
      <c r="E116" s="808" t="s">
        <v>202</v>
      </c>
      <c r="F116" s="559">
        <v>100</v>
      </c>
      <c r="G116" s="559"/>
      <c r="H116" s="558"/>
      <c r="I116" s="558"/>
      <c r="J116" s="558"/>
      <c r="K116" s="565" t="s">
        <v>571</v>
      </c>
      <c r="L116" s="644" t="s">
        <v>45</v>
      </c>
      <c r="M116" s="291">
        <v>0</v>
      </c>
      <c r="N116" s="291">
        <v>0</v>
      </c>
      <c r="O116" s="399"/>
      <c r="P116" s="644"/>
      <c r="Q116" s="644"/>
    </row>
    <row r="117" spans="1:17" ht="15.75" customHeight="1" x14ac:dyDescent="0.25">
      <c r="A117" s="2336" t="s">
        <v>164</v>
      </c>
      <c r="B117" s="2336"/>
      <c r="C117" s="2336"/>
      <c r="D117" s="2336"/>
      <c r="E117" s="2336"/>
      <c r="F117" s="163">
        <f>F98+F91+F107+F110</f>
        <v>135867.6</v>
      </c>
      <c r="G117" s="163">
        <f>G98+G91+G107+G110</f>
        <v>147454</v>
      </c>
      <c r="H117" s="163">
        <f>H98+H91+H107+H110</f>
        <v>151754</v>
      </c>
      <c r="I117" s="163">
        <f>I98+I91+I107+I110</f>
        <v>144002.9</v>
      </c>
      <c r="J117" s="163">
        <f>J98+J91+J107+J110</f>
        <v>143175.4</v>
      </c>
      <c r="K117" s="567"/>
      <c r="L117" s="1538"/>
      <c r="M117" s="437"/>
      <c r="N117" s="437"/>
      <c r="O117" s="437"/>
      <c r="P117" s="437"/>
      <c r="Q117" s="437"/>
    </row>
    <row r="118" spans="1:17" x14ac:dyDescent="0.25">
      <c r="A118" s="2354" t="s">
        <v>203</v>
      </c>
      <c r="B118" s="2354"/>
      <c r="C118" s="2354"/>
      <c r="D118" s="2354"/>
      <c r="E118" s="2354"/>
      <c r="F118" s="2354"/>
      <c r="G118" s="2354"/>
      <c r="H118" s="2354"/>
      <c r="I118" s="2354"/>
      <c r="J118" s="2354"/>
      <c r="K118" s="2354"/>
      <c r="L118" s="2354"/>
      <c r="M118" s="2354"/>
      <c r="N118" s="2354"/>
      <c r="O118" s="2354"/>
      <c r="P118" s="2354"/>
      <c r="Q118" s="2354"/>
    </row>
    <row r="119" spans="1:17" s="11" customFormat="1" ht="85.5" x14ac:dyDescent="0.25">
      <c r="A119" s="83"/>
      <c r="B119" s="408" t="s">
        <v>102</v>
      </c>
      <c r="C119" s="408"/>
      <c r="D119" s="408"/>
      <c r="E119" s="810" t="s">
        <v>204</v>
      </c>
      <c r="F119" s="117">
        <f>SUM(F120:F124)</f>
        <v>12716.199999999999</v>
      </c>
      <c r="G119" s="117">
        <f>SUM(G120:G124)</f>
        <v>13851.099999999999</v>
      </c>
      <c r="H119" s="117">
        <f>SUM(H120:H124)</f>
        <v>12787.599999999999</v>
      </c>
      <c r="I119" s="117">
        <f>SUM(I120:I124)</f>
        <v>11899.3</v>
      </c>
      <c r="J119" s="117">
        <f>SUM(J120:J124)</f>
        <v>11899.3</v>
      </c>
      <c r="K119" s="653" t="s">
        <v>572</v>
      </c>
      <c r="L119" s="604" t="s">
        <v>14</v>
      </c>
      <c r="M119" s="604">
        <v>27.3</v>
      </c>
      <c r="N119" s="604">
        <v>27.3</v>
      </c>
      <c r="O119" s="604">
        <v>27.3</v>
      </c>
      <c r="P119" s="604">
        <v>27.3</v>
      </c>
      <c r="Q119" s="604">
        <v>27.3</v>
      </c>
    </row>
    <row r="120" spans="1:17" s="11" customFormat="1" ht="30" x14ac:dyDescent="0.25">
      <c r="A120" s="83"/>
      <c r="B120" s="442"/>
      <c r="C120" s="442" t="s">
        <v>2</v>
      </c>
      <c r="D120" s="442"/>
      <c r="E120" s="565" t="s">
        <v>205</v>
      </c>
      <c r="F120" s="443">
        <v>2767.1</v>
      </c>
      <c r="G120" s="443">
        <v>3016.5</v>
      </c>
      <c r="H120" s="443">
        <v>3727.8</v>
      </c>
      <c r="I120" s="443">
        <v>3727.8</v>
      </c>
      <c r="J120" s="443">
        <v>3727.8</v>
      </c>
      <c r="K120" s="565" t="s">
        <v>573</v>
      </c>
      <c r="L120" s="512" t="s">
        <v>15</v>
      </c>
      <c r="M120" s="512">
        <v>0</v>
      </c>
      <c r="N120" s="512">
        <v>0</v>
      </c>
      <c r="O120" s="512">
        <v>0</v>
      </c>
      <c r="P120" s="512">
        <v>0</v>
      </c>
      <c r="Q120" s="512">
        <v>0</v>
      </c>
    </row>
    <row r="121" spans="1:17" s="11" customFormat="1" ht="30" x14ac:dyDescent="0.25">
      <c r="A121" s="83"/>
      <c r="B121" s="442"/>
      <c r="C121" s="442" t="s">
        <v>3</v>
      </c>
      <c r="D121" s="442"/>
      <c r="E121" s="565" t="s">
        <v>206</v>
      </c>
      <c r="F121" s="443">
        <v>2262.1999999999998</v>
      </c>
      <c r="G121" s="443">
        <v>2316.6999999999998</v>
      </c>
      <c r="H121" s="443">
        <v>2646.5</v>
      </c>
      <c r="I121" s="443">
        <v>2646.5</v>
      </c>
      <c r="J121" s="443">
        <v>2646.5</v>
      </c>
      <c r="K121" s="565" t="s">
        <v>574</v>
      </c>
      <c r="L121" s="512" t="s">
        <v>14</v>
      </c>
      <c r="M121" s="512">
        <v>0</v>
      </c>
      <c r="N121" s="512">
        <v>0</v>
      </c>
      <c r="O121" s="512">
        <v>0</v>
      </c>
      <c r="P121" s="512">
        <v>0</v>
      </c>
      <c r="Q121" s="512">
        <v>0</v>
      </c>
    </row>
    <row r="122" spans="1:17" s="11" customFormat="1" ht="45" x14ac:dyDescent="0.25">
      <c r="A122" s="83"/>
      <c r="B122" s="442"/>
      <c r="C122" s="442" t="s">
        <v>4</v>
      </c>
      <c r="D122" s="442"/>
      <c r="E122" s="565" t="s">
        <v>142</v>
      </c>
      <c r="F122" s="443">
        <v>645.6</v>
      </c>
      <c r="G122" s="443">
        <v>824.1</v>
      </c>
      <c r="H122" s="443">
        <v>1676.6</v>
      </c>
      <c r="I122" s="443">
        <v>1676.6</v>
      </c>
      <c r="J122" s="443">
        <v>1676.6</v>
      </c>
      <c r="K122" s="565" t="s">
        <v>575</v>
      </c>
      <c r="L122" s="512" t="s">
        <v>14</v>
      </c>
      <c r="M122" s="512">
        <v>0</v>
      </c>
      <c r="N122" s="512">
        <v>0</v>
      </c>
      <c r="O122" s="512">
        <v>0</v>
      </c>
      <c r="P122" s="512">
        <v>0</v>
      </c>
      <c r="Q122" s="512">
        <v>0</v>
      </c>
    </row>
    <row r="123" spans="1:17" s="11" customFormat="1" ht="30" x14ac:dyDescent="0.25">
      <c r="A123" s="83"/>
      <c r="B123" s="442"/>
      <c r="C123" s="442" t="s">
        <v>5</v>
      </c>
      <c r="D123" s="442"/>
      <c r="E123" s="565" t="s">
        <v>207</v>
      </c>
      <c r="F123" s="443">
        <v>2778.9</v>
      </c>
      <c r="G123" s="443">
        <v>2792.1</v>
      </c>
      <c r="H123" s="443">
        <v>888.3</v>
      </c>
      <c r="I123" s="443"/>
      <c r="J123" s="443"/>
      <c r="K123" s="576"/>
      <c r="L123" s="512" t="s">
        <v>968</v>
      </c>
      <c r="M123" s="512"/>
      <c r="N123" s="512"/>
      <c r="O123" s="512"/>
      <c r="P123" s="512"/>
      <c r="Q123" s="512"/>
    </row>
    <row r="124" spans="1:17" s="11" customFormat="1" ht="60" x14ac:dyDescent="0.25">
      <c r="A124" s="83"/>
      <c r="B124" s="442"/>
      <c r="C124" s="442" t="s">
        <v>49</v>
      </c>
      <c r="D124" s="442"/>
      <c r="E124" s="565" t="s">
        <v>208</v>
      </c>
      <c r="F124" s="443">
        <v>4262.3999999999996</v>
      </c>
      <c r="G124" s="443">
        <v>4901.7</v>
      </c>
      <c r="H124" s="443">
        <v>3848.4</v>
      </c>
      <c r="I124" s="443">
        <v>3848.4</v>
      </c>
      <c r="J124" s="443">
        <v>3848.4</v>
      </c>
      <c r="K124" s="565" t="s">
        <v>576</v>
      </c>
      <c r="L124" s="512" t="s">
        <v>14</v>
      </c>
      <c r="M124" s="512">
        <v>27.3</v>
      </c>
      <c r="N124" s="512">
        <v>27.3</v>
      </c>
      <c r="O124" s="512">
        <v>27.3</v>
      </c>
      <c r="P124" s="512">
        <v>27.3</v>
      </c>
      <c r="Q124" s="512">
        <v>27.3</v>
      </c>
    </row>
    <row r="125" spans="1:17" s="11" customFormat="1" ht="117.75" x14ac:dyDescent="0.25">
      <c r="A125" s="83"/>
      <c r="B125" s="607" t="s">
        <v>91</v>
      </c>
      <c r="C125" s="607"/>
      <c r="D125" s="607"/>
      <c r="E125" s="500" t="s">
        <v>1169</v>
      </c>
      <c r="F125" s="448">
        <f>SUM(F126:F132)</f>
        <v>2952.9</v>
      </c>
      <c r="G125" s="448">
        <f>SUM(G126:G132)</f>
        <v>2952.9</v>
      </c>
      <c r="H125" s="448">
        <f>SUM(H126:H132)</f>
        <v>37704.999999999993</v>
      </c>
      <c r="I125" s="448">
        <f>SUM(I126:I132)</f>
        <v>37704.999999999993</v>
      </c>
      <c r="J125" s="448">
        <f>SUM(J126:J132)</f>
        <v>37704.999999999993</v>
      </c>
      <c r="K125" s="492" t="s">
        <v>577</v>
      </c>
      <c r="L125" s="512" t="s">
        <v>968</v>
      </c>
      <c r="M125" s="512">
        <v>23</v>
      </c>
      <c r="N125" s="512">
        <v>23</v>
      </c>
      <c r="O125" s="512">
        <v>23</v>
      </c>
      <c r="P125" s="512">
        <v>23</v>
      </c>
      <c r="Q125" s="512">
        <v>23</v>
      </c>
    </row>
    <row r="126" spans="1:17" s="11" customFormat="1" ht="30" x14ac:dyDescent="0.25">
      <c r="A126" s="83"/>
      <c r="B126" s="607" t="s">
        <v>110</v>
      </c>
      <c r="C126" s="450" t="s">
        <v>2</v>
      </c>
      <c r="D126" s="450"/>
      <c r="E126" s="576" t="s">
        <v>209</v>
      </c>
      <c r="F126" s="443">
        <v>1089.2</v>
      </c>
      <c r="G126" s="443">
        <v>1089.2</v>
      </c>
      <c r="H126" s="138">
        <v>18548</v>
      </c>
      <c r="I126" s="138">
        <v>18548</v>
      </c>
      <c r="J126" s="138">
        <v>18548</v>
      </c>
      <c r="K126" s="576" t="s">
        <v>578</v>
      </c>
      <c r="L126" s="286" t="s">
        <v>968</v>
      </c>
      <c r="M126" s="512">
        <v>73</v>
      </c>
      <c r="N126" s="512">
        <v>73</v>
      </c>
      <c r="O126" s="512">
        <v>73</v>
      </c>
      <c r="P126" s="512">
        <v>73</v>
      </c>
      <c r="Q126" s="512">
        <v>73</v>
      </c>
    </row>
    <row r="127" spans="1:17" s="11" customFormat="1" ht="30" x14ac:dyDescent="0.25">
      <c r="A127" s="83"/>
      <c r="B127" s="1792" t="s">
        <v>91</v>
      </c>
      <c r="C127" s="450" t="s">
        <v>50</v>
      </c>
      <c r="D127" s="450"/>
      <c r="E127" s="576" t="s">
        <v>210</v>
      </c>
      <c r="F127" s="443">
        <v>331.6</v>
      </c>
      <c r="G127" s="443">
        <v>331.6</v>
      </c>
      <c r="H127" s="443">
        <v>15978.5</v>
      </c>
      <c r="I127" s="443">
        <v>15978.5</v>
      </c>
      <c r="J127" s="443">
        <v>15978.5</v>
      </c>
      <c r="K127" s="576" t="s">
        <v>578</v>
      </c>
      <c r="L127" s="286" t="s">
        <v>968</v>
      </c>
      <c r="M127" s="512">
        <v>73</v>
      </c>
      <c r="N127" s="512">
        <v>73</v>
      </c>
      <c r="O127" s="512">
        <v>73</v>
      </c>
      <c r="P127" s="512">
        <v>73</v>
      </c>
      <c r="Q127" s="512">
        <v>73</v>
      </c>
    </row>
    <row r="128" spans="1:17" s="11" customFormat="1" ht="30" x14ac:dyDescent="0.25">
      <c r="A128" s="83"/>
      <c r="B128" s="2370"/>
      <c r="C128" s="450" t="s">
        <v>51</v>
      </c>
      <c r="D128" s="450"/>
      <c r="E128" s="576" t="s">
        <v>211</v>
      </c>
      <c r="F128" s="443"/>
      <c r="G128" s="443"/>
      <c r="H128" s="443">
        <v>748.2</v>
      </c>
      <c r="I128" s="443">
        <v>748.2</v>
      </c>
      <c r="J128" s="443">
        <v>748.2</v>
      </c>
      <c r="K128" s="576" t="s">
        <v>579</v>
      </c>
      <c r="L128" s="286" t="s">
        <v>968</v>
      </c>
      <c r="M128" s="286">
        <v>18</v>
      </c>
      <c r="N128" s="286">
        <v>18</v>
      </c>
      <c r="O128" s="286">
        <v>18</v>
      </c>
      <c r="P128" s="286">
        <v>18</v>
      </c>
      <c r="Q128" s="286">
        <v>18</v>
      </c>
    </row>
    <row r="129" spans="1:17" s="11" customFormat="1" ht="180" x14ac:dyDescent="0.25">
      <c r="A129" s="83"/>
      <c r="B129" s="2370"/>
      <c r="C129" s="450" t="s">
        <v>53</v>
      </c>
      <c r="D129" s="450"/>
      <c r="E129" s="576" t="s">
        <v>212</v>
      </c>
      <c r="F129" s="443"/>
      <c r="G129" s="443"/>
      <c r="H129" s="443">
        <v>216.6</v>
      </c>
      <c r="I129" s="443">
        <v>216.6</v>
      </c>
      <c r="J129" s="443">
        <v>216.6</v>
      </c>
      <c r="K129" s="576" t="s">
        <v>1200</v>
      </c>
      <c r="L129" s="286" t="s">
        <v>968</v>
      </c>
      <c r="M129" s="286">
        <v>4</v>
      </c>
      <c r="N129" s="286">
        <v>4</v>
      </c>
      <c r="O129" s="286">
        <v>4</v>
      </c>
      <c r="P129" s="286">
        <v>4</v>
      </c>
      <c r="Q129" s="286">
        <v>4</v>
      </c>
    </row>
    <row r="130" spans="1:17" s="11" customFormat="1" ht="30" x14ac:dyDescent="0.25">
      <c r="A130" s="83"/>
      <c r="B130" s="2370"/>
      <c r="C130" s="450" t="s">
        <v>54</v>
      </c>
      <c r="D130" s="450"/>
      <c r="E130" s="576" t="s">
        <v>213</v>
      </c>
      <c r="F130" s="443">
        <v>1532.1</v>
      </c>
      <c r="G130" s="443">
        <v>1532.1</v>
      </c>
      <c r="H130" s="443">
        <v>2113.6999999999998</v>
      </c>
      <c r="I130" s="443">
        <v>2113.6999999999998</v>
      </c>
      <c r="J130" s="443">
        <v>2113.6999999999998</v>
      </c>
      <c r="K130" s="576" t="s">
        <v>580</v>
      </c>
      <c r="L130" s="286" t="s">
        <v>968</v>
      </c>
      <c r="M130" s="132">
        <v>1</v>
      </c>
      <c r="N130" s="132">
        <v>0</v>
      </c>
      <c r="O130" s="132">
        <v>1</v>
      </c>
      <c r="P130" s="132">
        <v>0</v>
      </c>
      <c r="Q130" s="132">
        <v>1</v>
      </c>
    </row>
    <row r="131" spans="1:17" s="11" customFormat="1" ht="45" x14ac:dyDescent="0.25">
      <c r="A131" s="83"/>
      <c r="B131" s="2370"/>
      <c r="C131" s="450" t="s">
        <v>50</v>
      </c>
      <c r="D131" s="450"/>
      <c r="E131" s="576" t="s">
        <v>214</v>
      </c>
      <c r="F131" s="138"/>
      <c r="G131" s="443"/>
      <c r="H131" s="443">
        <v>0</v>
      </c>
      <c r="I131" s="443">
        <v>0</v>
      </c>
      <c r="J131" s="443">
        <v>0</v>
      </c>
      <c r="K131" s="576" t="s">
        <v>581</v>
      </c>
      <c r="L131" s="286" t="s">
        <v>968</v>
      </c>
      <c r="M131" s="132">
        <v>0</v>
      </c>
      <c r="N131" s="132">
        <v>1</v>
      </c>
      <c r="O131" s="132">
        <v>0</v>
      </c>
      <c r="P131" s="132">
        <v>1</v>
      </c>
      <c r="Q131" s="132">
        <v>0</v>
      </c>
    </row>
    <row r="132" spans="1:17" s="11" customFormat="1" ht="45" x14ac:dyDescent="0.25">
      <c r="A132" s="83"/>
      <c r="B132" s="1793"/>
      <c r="C132" s="450" t="s">
        <v>87</v>
      </c>
      <c r="D132" s="450"/>
      <c r="E132" s="576" t="s">
        <v>215</v>
      </c>
      <c r="F132" s="138"/>
      <c r="G132" s="138"/>
      <c r="H132" s="443">
        <v>100</v>
      </c>
      <c r="I132" s="443">
        <v>100</v>
      </c>
      <c r="J132" s="443">
        <f>I132</f>
        <v>100</v>
      </c>
      <c r="K132" s="576" t="s">
        <v>582</v>
      </c>
      <c r="L132" s="286" t="s">
        <v>968</v>
      </c>
      <c r="M132" s="132">
        <v>2</v>
      </c>
      <c r="N132" s="132">
        <v>2</v>
      </c>
      <c r="O132" s="132">
        <v>2</v>
      </c>
      <c r="P132" s="132">
        <v>2</v>
      </c>
      <c r="Q132" s="132">
        <v>2</v>
      </c>
    </row>
    <row r="133" spans="1:17" s="11" customFormat="1" ht="43.5" x14ac:dyDescent="0.25">
      <c r="A133" s="83"/>
      <c r="B133" s="607" t="s">
        <v>98</v>
      </c>
      <c r="C133" s="607"/>
      <c r="D133" s="607"/>
      <c r="E133" s="501" t="s">
        <v>1201</v>
      </c>
      <c r="F133" s="448">
        <f>F134+F137+F135+F136</f>
        <v>793.5</v>
      </c>
      <c r="G133" s="448">
        <f t="shared" ref="G133:J133" si="11">G134+G137+G135+G136</f>
        <v>504.1</v>
      </c>
      <c r="H133" s="448">
        <f t="shared" si="11"/>
        <v>50</v>
      </c>
      <c r="I133" s="448">
        <f>I134+I137+I135+I136</f>
        <v>938.3</v>
      </c>
      <c r="J133" s="448">
        <f t="shared" si="11"/>
        <v>938.3</v>
      </c>
      <c r="K133" s="501" t="s">
        <v>583</v>
      </c>
      <c r="L133" s="512" t="s">
        <v>968</v>
      </c>
      <c r="M133" s="512">
        <v>0</v>
      </c>
      <c r="N133" s="512">
        <v>0</v>
      </c>
      <c r="O133" s="512">
        <v>0</v>
      </c>
      <c r="P133" s="512">
        <v>0</v>
      </c>
      <c r="Q133" s="512">
        <v>0</v>
      </c>
    </row>
    <row r="134" spans="1:17" s="11" customFormat="1" ht="30" x14ac:dyDescent="0.25">
      <c r="A134" s="83"/>
      <c r="B134" s="450"/>
      <c r="C134" s="450" t="s">
        <v>2</v>
      </c>
      <c r="D134" s="450"/>
      <c r="E134" s="628" t="s">
        <v>185</v>
      </c>
      <c r="F134" s="443">
        <v>3.5</v>
      </c>
      <c r="G134" s="443">
        <v>103.5</v>
      </c>
      <c r="H134" s="443"/>
      <c r="I134" s="443">
        <v>888.3</v>
      </c>
      <c r="J134" s="443">
        <v>888.3</v>
      </c>
      <c r="K134" s="576" t="s">
        <v>584</v>
      </c>
      <c r="L134" s="286" t="s">
        <v>968</v>
      </c>
      <c r="M134" s="132">
        <v>528</v>
      </c>
      <c r="N134" s="287">
        <v>528</v>
      </c>
      <c r="O134" s="287">
        <v>528</v>
      </c>
      <c r="P134" s="287">
        <v>528</v>
      </c>
      <c r="Q134" s="287">
        <v>528</v>
      </c>
    </row>
    <row r="135" spans="1:17" s="11" customFormat="1" ht="51.75" customHeight="1" x14ac:dyDescent="0.25">
      <c r="A135" s="83"/>
      <c r="B135" s="450"/>
      <c r="C135" s="450"/>
      <c r="D135" s="450"/>
      <c r="E135" s="576" t="s">
        <v>216</v>
      </c>
      <c r="F135" s="443">
        <v>790</v>
      </c>
      <c r="G135" s="443">
        <v>400.6</v>
      </c>
      <c r="H135" s="443">
        <v>0</v>
      </c>
      <c r="I135" s="443">
        <v>0</v>
      </c>
      <c r="J135" s="443">
        <v>0</v>
      </c>
      <c r="K135" s="576" t="s">
        <v>585</v>
      </c>
      <c r="L135" s="286" t="s">
        <v>968</v>
      </c>
      <c r="M135" s="132">
        <v>100</v>
      </c>
      <c r="N135" s="287">
        <v>100</v>
      </c>
      <c r="O135" s="287">
        <v>100</v>
      </c>
      <c r="P135" s="287">
        <v>100</v>
      </c>
      <c r="Q135" s="287">
        <v>100</v>
      </c>
    </row>
    <row r="136" spans="1:17" s="11" customFormat="1" ht="45" x14ac:dyDescent="0.25">
      <c r="A136" s="83"/>
      <c r="B136" s="450"/>
      <c r="C136" s="450"/>
      <c r="D136" s="450"/>
      <c r="E136" s="576" t="s">
        <v>217</v>
      </c>
      <c r="F136" s="443"/>
      <c r="G136" s="443"/>
      <c r="H136" s="443">
        <v>0</v>
      </c>
      <c r="I136" s="443">
        <v>0</v>
      </c>
      <c r="J136" s="443">
        <v>0</v>
      </c>
      <c r="K136" s="576" t="s">
        <v>586</v>
      </c>
      <c r="L136" s="286" t="s">
        <v>968</v>
      </c>
      <c r="M136" s="132">
        <v>560</v>
      </c>
      <c r="N136" s="287">
        <v>560</v>
      </c>
      <c r="O136" s="287">
        <v>560</v>
      </c>
      <c r="P136" s="287">
        <v>560</v>
      </c>
      <c r="Q136" s="287">
        <v>560</v>
      </c>
    </row>
    <row r="137" spans="1:17" s="11" customFormat="1" ht="30" x14ac:dyDescent="0.25">
      <c r="A137" s="83"/>
      <c r="B137" s="450"/>
      <c r="C137" s="450" t="s">
        <v>3</v>
      </c>
      <c r="D137" s="450"/>
      <c r="E137" s="576" t="s">
        <v>218</v>
      </c>
      <c r="F137" s="443"/>
      <c r="G137" s="443"/>
      <c r="H137" s="443">
        <v>50</v>
      </c>
      <c r="I137" s="443">
        <v>50</v>
      </c>
      <c r="J137" s="443">
        <v>50</v>
      </c>
      <c r="K137" s="576" t="s">
        <v>587</v>
      </c>
      <c r="L137" s="286" t="s">
        <v>972</v>
      </c>
      <c r="M137" s="286" t="s">
        <v>973</v>
      </c>
      <c r="N137" s="286" t="s">
        <v>973</v>
      </c>
      <c r="O137" s="286" t="s">
        <v>973</v>
      </c>
      <c r="P137" s="286" t="s">
        <v>973</v>
      </c>
      <c r="Q137" s="286" t="s">
        <v>973</v>
      </c>
    </row>
    <row r="138" spans="1:17" s="11" customFormat="1" ht="72.75" x14ac:dyDescent="0.25">
      <c r="A138" s="83"/>
      <c r="B138" s="607" t="s">
        <v>101</v>
      </c>
      <c r="C138" s="607"/>
      <c r="D138" s="607"/>
      <c r="E138" s="501" t="s">
        <v>1202</v>
      </c>
      <c r="F138" s="448">
        <f>F139+F140+F141+F142+F143</f>
        <v>53969.599999999999</v>
      </c>
      <c r="G138" s="448">
        <f>G139+G140+G141+G142+G143</f>
        <v>34111.799999999996</v>
      </c>
      <c r="H138" s="448">
        <f>H139+H140+H141+H142+H143</f>
        <v>0</v>
      </c>
      <c r="I138" s="460">
        <f>SUM(I139:I143)</f>
        <v>0</v>
      </c>
      <c r="J138" s="460">
        <f>SUM(J139:J143)</f>
        <v>0</v>
      </c>
      <c r="K138" s="501" t="s">
        <v>588</v>
      </c>
      <c r="L138" s="512"/>
      <c r="M138" s="132"/>
      <c r="N138" s="132"/>
      <c r="O138" s="132"/>
      <c r="P138" s="132"/>
      <c r="Q138" s="132"/>
    </row>
    <row r="139" spans="1:17" s="11" customFormat="1" ht="30" x14ac:dyDescent="0.25">
      <c r="A139" s="83"/>
      <c r="B139" s="450"/>
      <c r="C139" s="450" t="s">
        <v>2</v>
      </c>
      <c r="D139" s="450"/>
      <c r="E139" s="576" t="s">
        <v>219</v>
      </c>
      <c r="F139" s="443">
        <v>24881.200000000001</v>
      </c>
      <c r="G139" s="443">
        <v>29890.6</v>
      </c>
      <c r="H139" s="443"/>
      <c r="I139" s="443"/>
      <c r="J139" s="443"/>
      <c r="K139" s="576"/>
      <c r="L139" s="286"/>
      <c r="M139" s="132"/>
      <c r="N139" s="132"/>
      <c r="O139" s="132"/>
      <c r="P139" s="132"/>
      <c r="Q139" s="132"/>
    </row>
    <row r="140" spans="1:17" s="11" customFormat="1" x14ac:dyDescent="0.25">
      <c r="A140" s="83"/>
      <c r="B140" s="450"/>
      <c r="C140" s="450" t="s">
        <v>3</v>
      </c>
      <c r="D140" s="450"/>
      <c r="E140" s="576" t="s">
        <v>1170</v>
      </c>
      <c r="F140" s="443">
        <v>24881.200000000001</v>
      </c>
      <c r="G140" s="443">
        <v>4041.7</v>
      </c>
      <c r="H140" s="443"/>
      <c r="I140" s="443"/>
      <c r="J140" s="443"/>
      <c r="K140" s="576"/>
      <c r="L140" s="286"/>
      <c r="M140" s="132"/>
      <c r="N140" s="132"/>
      <c r="O140" s="132"/>
      <c r="P140" s="132"/>
      <c r="Q140" s="132"/>
    </row>
    <row r="141" spans="1:17" s="11" customFormat="1" ht="30" x14ac:dyDescent="0.25">
      <c r="A141" s="83"/>
      <c r="B141" s="450"/>
      <c r="C141" s="450" t="s">
        <v>4</v>
      </c>
      <c r="D141" s="450"/>
      <c r="E141" s="576" t="s">
        <v>220</v>
      </c>
      <c r="F141" s="443">
        <v>3927.7</v>
      </c>
      <c r="G141" s="443">
        <v>76.5</v>
      </c>
      <c r="H141" s="443"/>
      <c r="I141" s="443"/>
      <c r="J141" s="443"/>
      <c r="K141" s="576"/>
      <c r="L141" s="286"/>
      <c r="M141" s="132"/>
      <c r="N141" s="132"/>
      <c r="O141" s="287"/>
      <c r="P141" s="287"/>
      <c r="Q141" s="287"/>
    </row>
    <row r="142" spans="1:17" s="11" customFormat="1" ht="30" x14ac:dyDescent="0.25">
      <c r="A142" s="83"/>
      <c r="B142" s="450"/>
      <c r="C142" s="450" t="s">
        <v>5</v>
      </c>
      <c r="D142" s="450"/>
      <c r="E142" s="576" t="s">
        <v>221</v>
      </c>
      <c r="F142" s="443">
        <v>76.5</v>
      </c>
      <c r="G142" s="443">
        <v>53</v>
      </c>
      <c r="H142" s="443"/>
      <c r="I142" s="443"/>
      <c r="J142" s="443"/>
      <c r="K142" s="576"/>
      <c r="L142" s="286"/>
      <c r="M142" s="132"/>
      <c r="N142" s="132"/>
      <c r="O142" s="287"/>
      <c r="P142" s="287"/>
      <c r="Q142" s="287"/>
    </row>
    <row r="143" spans="1:17" s="11" customFormat="1" ht="18" customHeight="1" x14ac:dyDescent="0.25">
      <c r="A143" s="83"/>
      <c r="B143" s="447"/>
      <c r="C143" s="447" t="s">
        <v>49</v>
      </c>
      <c r="D143" s="447"/>
      <c r="E143" s="576" t="s">
        <v>222</v>
      </c>
      <c r="F143" s="606">
        <f>53+150</f>
        <v>203</v>
      </c>
      <c r="G143" s="606">
        <v>50</v>
      </c>
      <c r="H143" s="606"/>
      <c r="I143" s="606"/>
      <c r="J143" s="606"/>
      <c r="K143" s="576"/>
      <c r="L143" s="286"/>
      <c r="M143" s="132"/>
      <c r="N143" s="132"/>
      <c r="O143" s="287"/>
      <c r="P143" s="287"/>
      <c r="Q143" s="287"/>
    </row>
    <row r="144" spans="1:17" x14ac:dyDescent="0.25">
      <c r="A144" s="2336" t="s">
        <v>223</v>
      </c>
      <c r="B144" s="2336"/>
      <c r="C144" s="2336"/>
      <c r="D144" s="2336"/>
      <c r="E144" s="2336"/>
      <c r="F144" s="163">
        <f>F119+F125+F133+F138</f>
        <v>70432.2</v>
      </c>
      <c r="G144" s="163">
        <f>G119+G125+G133+G138</f>
        <v>51419.899999999994</v>
      </c>
      <c r="H144" s="163">
        <f>H119+H125+H133+H138</f>
        <v>50542.599999999991</v>
      </c>
      <c r="I144" s="163">
        <f>I119+I125+I133+I138</f>
        <v>50542.599999999991</v>
      </c>
      <c r="J144" s="163">
        <f>J119+J125+J133+J138</f>
        <v>50542.599999999991</v>
      </c>
      <c r="K144" s="850"/>
      <c r="L144" s="1539"/>
      <c r="M144" s="225"/>
      <c r="N144" s="225"/>
      <c r="O144" s="225"/>
      <c r="P144" s="225"/>
      <c r="Q144" s="225"/>
    </row>
    <row r="145" spans="1:17" ht="15" customHeight="1" x14ac:dyDescent="0.25">
      <c r="A145" s="2356" t="s">
        <v>224</v>
      </c>
      <c r="B145" s="2356"/>
      <c r="C145" s="2356"/>
      <c r="D145" s="2356"/>
      <c r="E145" s="2356"/>
      <c r="F145" s="2356"/>
      <c r="G145" s="2356"/>
      <c r="H145" s="2356"/>
      <c r="I145" s="2356"/>
      <c r="J145" s="2356"/>
      <c r="K145" s="2356"/>
      <c r="L145" s="2356"/>
      <c r="M145" s="2356"/>
      <c r="N145" s="2356"/>
      <c r="O145" s="2356"/>
      <c r="P145" s="2356"/>
      <c r="Q145" s="2356"/>
    </row>
    <row r="146" spans="1:17" s="395" customFormat="1" ht="74.25" x14ac:dyDescent="0.25">
      <c r="A146" s="394"/>
      <c r="B146" s="331" t="s">
        <v>102</v>
      </c>
      <c r="C146" s="331"/>
      <c r="D146" s="331"/>
      <c r="E146" s="500" t="s">
        <v>1203</v>
      </c>
      <c r="F146" s="430">
        <f>SUM(F147:F150)</f>
        <v>9806.1</v>
      </c>
      <c r="G146" s="430">
        <f>SUM(G147:G150)</f>
        <v>22347.9</v>
      </c>
      <c r="H146" s="430">
        <f t="shared" ref="H146:J146" si="12">H147</f>
        <v>21748.1</v>
      </c>
      <c r="I146" s="430">
        <f t="shared" si="12"/>
        <v>21948.1</v>
      </c>
      <c r="J146" s="430">
        <f t="shared" si="12"/>
        <v>21498.1</v>
      </c>
      <c r="K146" s="500" t="s">
        <v>589</v>
      </c>
      <c r="L146" s="583" t="s">
        <v>14</v>
      </c>
      <c r="M146" s="583">
        <v>4.9000000000000004</v>
      </c>
      <c r="N146" s="583">
        <v>4.9000000000000004</v>
      </c>
      <c r="O146" s="583">
        <v>4.9000000000000004</v>
      </c>
      <c r="P146" s="583">
        <v>4.9000000000000004</v>
      </c>
      <c r="Q146" s="583">
        <v>4.9000000000000004</v>
      </c>
    </row>
    <row r="147" spans="1:17" s="395" customFormat="1" ht="60" x14ac:dyDescent="0.25">
      <c r="A147" s="394"/>
      <c r="B147" s="412"/>
      <c r="C147" s="412" t="s">
        <v>2</v>
      </c>
      <c r="D147" s="412"/>
      <c r="E147" s="565" t="s">
        <v>225</v>
      </c>
      <c r="F147" s="557">
        <v>2101.4</v>
      </c>
      <c r="G147" s="557">
        <v>22347.9</v>
      </c>
      <c r="H147" s="557">
        <v>21748.1</v>
      </c>
      <c r="I147" s="557">
        <v>21948.1</v>
      </c>
      <c r="J147" s="557">
        <v>21498.1</v>
      </c>
      <c r="K147" s="565" t="s">
        <v>590</v>
      </c>
      <c r="L147" s="511" t="s">
        <v>968</v>
      </c>
      <c r="M147" s="511">
        <v>0</v>
      </c>
      <c r="N147" s="511">
        <v>0</v>
      </c>
      <c r="O147" s="511">
        <v>0</v>
      </c>
      <c r="P147" s="511">
        <v>0</v>
      </c>
      <c r="Q147" s="511">
        <v>0</v>
      </c>
    </row>
    <row r="148" spans="1:17" s="395" customFormat="1" ht="45" x14ac:dyDescent="0.25">
      <c r="A148" s="394"/>
      <c r="B148" s="412"/>
      <c r="C148" s="412" t="s">
        <v>3</v>
      </c>
      <c r="D148" s="412"/>
      <c r="E148" s="565" t="s">
        <v>226</v>
      </c>
      <c r="F148" s="557">
        <v>2313.8000000000002</v>
      </c>
      <c r="G148" s="557"/>
      <c r="H148" s="557"/>
      <c r="I148" s="557"/>
      <c r="J148" s="557"/>
      <c r="K148" s="565" t="s">
        <v>591</v>
      </c>
      <c r="L148" s="511" t="s">
        <v>14</v>
      </c>
      <c r="M148" s="511">
        <v>100</v>
      </c>
      <c r="N148" s="511">
        <v>100</v>
      </c>
      <c r="O148" s="511"/>
      <c r="P148" s="511"/>
      <c r="Q148" s="511"/>
    </row>
    <row r="149" spans="1:17" s="395" customFormat="1" ht="30" x14ac:dyDescent="0.25">
      <c r="A149" s="394"/>
      <c r="B149" s="412"/>
      <c r="C149" s="412" t="s">
        <v>4</v>
      </c>
      <c r="D149" s="412"/>
      <c r="E149" s="565" t="s">
        <v>227</v>
      </c>
      <c r="F149" s="557">
        <v>1107.7</v>
      </c>
      <c r="G149" s="557"/>
      <c r="H149" s="557"/>
      <c r="I149" s="557"/>
      <c r="J149" s="557"/>
      <c r="K149" s="565" t="s">
        <v>592</v>
      </c>
      <c r="L149" s="511" t="s">
        <v>14</v>
      </c>
      <c r="M149" s="511">
        <v>0</v>
      </c>
      <c r="N149" s="511">
        <v>0</v>
      </c>
      <c r="O149" s="511"/>
      <c r="P149" s="511"/>
      <c r="Q149" s="511"/>
    </row>
    <row r="150" spans="1:17" s="395" customFormat="1" ht="30" x14ac:dyDescent="0.25">
      <c r="A150" s="394"/>
      <c r="B150" s="412"/>
      <c r="C150" s="412" t="s">
        <v>5</v>
      </c>
      <c r="D150" s="412"/>
      <c r="E150" s="565" t="s">
        <v>228</v>
      </c>
      <c r="F150" s="557">
        <v>4283.2</v>
      </c>
      <c r="G150" s="557"/>
      <c r="H150" s="557"/>
      <c r="I150" s="557"/>
      <c r="J150" s="557"/>
      <c r="K150" s="565" t="s">
        <v>593</v>
      </c>
      <c r="L150" s="511" t="s">
        <v>968</v>
      </c>
      <c r="M150" s="511"/>
      <c r="N150" s="511"/>
      <c r="O150" s="511"/>
      <c r="P150" s="511"/>
      <c r="Q150" s="511"/>
    </row>
    <row r="151" spans="1:17" s="395" customFormat="1" ht="102" x14ac:dyDescent="0.25">
      <c r="A151" s="394"/>
      <c r="B151" s="428" t="s">
        <v>91</v>
      </c>
      <c r="C151" s="428"/>
      <c r="D151" s="428"/>
      <c r="E151" s="500" t="s">
        <v>1204</v>
      </c>
      <c r="F151" s="430">
        <f>SUM(F152:F154)</f>
        <v>14425.400000000001</v>
      </c>
      <c r="G151" s="430">
        <f>SUM(G152:G154)</f>
        <v>9765.9</v>
      </c>
      <c r="H151" s="430">
        <f>H152+H153+H154</f>
        <v>10365.700000000001</v>
      </c>
      <c r="I151" s="430">
        <f t="shared" ref="I151:J151" si="13">I152+I153+I154</f>
        <v>14094.4</v>
      </c>
      <c r="J151" s="430">
        <f t="shared" si="13"/>
        <v>14044.4</v>
      </c>
      <c r="K151" s="500" t="s">
        <v>594</v>
      </c>
      <c r="L151" s="511" t="s">
        <v>968</v>
      </c>
      <c r="M151" s="511">
        <v>2000</v>
      </c>
      <c r="N151" s="511">
        <v>2200</v>
      </c>
      <c r="O151" s="511">
        <v>2300</v>
      </c>
      <c r="P151" s="511">
        <v>2500</v>
      </c>
      <c r="Q151" s="511">
        <v>2600</v>
      </c>
    </row>
    <row r="152" spans="1:17" s="395" customFormat="1" ht="30" x14ac:dyDescent="0.25">
      <c r="A152" s="394"/>
      <c r="B152" s="429"/>
      <c r="C152" s="429" t="s">
        <v>2</v>
      </c>
      <c r="D152" s="429"/>
      <c r="E152" s="625" t="s">
        <v>1205</v>
      </c>
      <c r="F152" s="557">
        <v>10703.2</v>
      </c>
      <c r="G152" s="557">
        <v>9111.9</v>
      </c>
      <c r="H152" s="557">
        <v>9711.7000000000007</v>
      </c>
      <c r="I152" s="557">
        <v>13440.4</v>
      </c>
      <c r="J152" s="557">
        <v>13390.4</v>
      </c>
      <c r="K152" s="625" t="s">
        <v>595</v>
      </c>
      <c r="L152" s="400" t="s">
        <v>968</v>
      </c>
      <c r="M152" s="400">
        <v>2000</v>
      </c>
      <c r="N152" s="400">
        <v>2200</v>
      </c>
      <c r="O152" s="400">
        <v>2300</v>
      </c>
      <c r="P152" s="400">
        <v>2500</v>
      </c>
      <c r="Q152" s="400">
        <v>2600</v>
      </c>
    </row>
    <row r="153" spans="1:17" s="395" customFormat="1" ht="34.5" customHeight="1" x14ac:dyDescent="0.25">
      <c r="A153" s="394"/>
      <c r="B153" s="429"/>
      <c r="C153" s="429" t="s">
        <v>3</v>
      </c>
      <c r="D153" s="429"/>
      <c r="E153" s="625" t="s">
        <v>1206</v>
      </c>
      <c r="F153" s="557">
        <v>3722.2</v>
      </c>
      <c r="G153" s="557">
        <v>334</v>
      </c>
      <c r="H153" s="557">
        <v>334</v>
      </c>
      <c r="I153" s="557">
        <v>334</v>
      </c>
      <c r="J153" s="557">
        <v>334</v>
      </c>
      <c r="K153" s="625"/>
      <c r="L153" s="401"/>
      <c r="M153" s="401"/>
      <c r="N153" s="401"/>
      <c r="O153" s="401"/>
      <c r="P153" s="401"/>
      <c r="Q153" s="401"/>
    </row>
    <row r="154" spans="1:17" s="395" customFormat="1" ht="75" x14ac:dyDescent="0.25">
      <c r="A154" s="394"/>
      <c r="B154" s="429"/>
      <c r="C154" s="429" t="s">
        <v>4</v>
      </c>
      <c r="D154" s="429"/>
      <c r="E154" s="625" t="s">
        <v>229</v>
      </c>
      <c r="F154" s="557"/>
      <c r="G154" s="557">
        <v>320</v>
      </c>
      <c r="H154" s="557">
        <v>320</v>
      </c>
      <c r="I154" s="557">
        <v>320</v>
      </c>
      <c r="J154" s="557">
        <v>320</v>
      </c>
      <c r="K154" s="625" t="s">
        <v>596</v>
      </c>
      <c r="L154" s="487" t="s">
        <v>974</v>
      </c>
      <c r="M154" s="288">
        <v>20</v>
      </c>
      <c r="N154" s="284">
        <v>30</v>
      </c>
      <c r="O154" s="284">
        <v>37</v>
      </c>
      <c r="P154" s="284">
        <v>37</v>
      </c>
      <c r="Q154" s="284">
        <v>37</v>
      </c>
    </row>
    <row r="155" spans="1:17" s="395" customFormat="1" ht="73.5" x14ac:dyDescent="0.25">
      <c r="A155" s="394"/>
      <c r="B155" s="428" t="s">
        <v>98</v>
      </c>
      <c r="C155" s="429"/>
      <c r="D155" s="429"/>
      <c r="E155" s="500" t="s">
        <v>1208</v>
      </c>
      <c r="F155" s="430">
        <f>F156+F157+F158</f>
        <v>3076.7999999999997</v>
      </c>
      <c r="G155" s="430">
        <f t="shared" ref="G155:J155" si="14">G156+G157+G158</f>
        <v>0</v>
      </c>
      <c r="H155" s="430">
        <f t="shared" si="14"/>
        <v>0</v>
      </c>
      <c r="I155" s="430">
        <f t="shared" si="14"/>
        <v>0</v>
      </c>
      <c r="J155" s="430">
        <f t="shared" si="14"/>
        <v>0</v>
      </c>
      <c r="K155" s="510" t="s">
        <v>597</v>
      </c>
      <c r="L155" s="400" t="s">
        <v>968</v>
      </c>
      <c r="M155" s="290">
        <v>0</v>
      </c>
      <c r="N155" s="291">
        <v>0</v>
      </c>
      <c r="O155" s="292">
        <v>0</v>
      </c>
      <c r="P155" s="291">
        <v>0</v>
      </c>
      <c r="Q155" s="291">
        <v>0</v>
      </c>
    </row>
    <row r="156" spans="1:17" s="395" customFormat="1" x14ac:dyDescent="0.25">
      <c r="A156" s="394"/>
      <c r="B156" s="1619"/>
      <c r="C156" s="1619" t="s">
        <v>2</v>
      </c>
      <c r="D156" s="1619"/>
      <c r="E156" s="2358" t="s">
        <v>1207</v>
      </c>
      <c r="F156" s="557">
        <v>474.7</v>
      </c>
      <c r="G156" s="557"/>
      <c r="H156" s="557"/>
      <c r="I156" s="557"/>
      <c r="J156" s="557"/>
      <c r="K156" s="565" t="s">
        <v>598</v>
      </c>
      <c r="L156" s="487" t="s">
        <v>108</v>
      </c>
      <c r="M156" s="290"/>
      <c r="N156" s="291"/>
      <c r="O156" s="292"/>
      <c r="P156" s="291"/>
      <c r="Q156" s="291"/>
    </row>
    <row r="157" spans="1:17" s="395" customFormat="1" x14ac:dyDescent="0.25">
      <c r="A157" s="394"/>
      <c r="B157" s="1620"/>
      <c r="C157" s="1620"/>
      <c r="D157" s="1620"/>
      <c r="E157" s="2358"/>
      <c r="F157" s="557">
        <v>2602.1</v>
      </c>
      <c r="G157" s="557"/>
      <c r="H157" s="557"/>
      <c r="I157" s="557"/>
      <c r="J157" s="557"/>
      <c r="K157" s="625" t="s">
        <v>599</v>
      </c>
      <c r="L157" s="487" t="s">
        <v>975</v>
      </c>
      <c r="M157" s="290"/>
      <c r="N157" s="291"/>
      <c r="O157" s="292"/>
      <c r="P157" s="291"/>
      <c r="Q157" s="291"/>
    </row>
    <row r="158" spans="1:17" s="395" customFormat="1" ht="30" x14ac:dyDescent="0.25">
      <c r="A158" s="394"/>
      <c r="B158" s="413"/>
      <c r="C158" s="413" t="s">
        <v>3</v>
      </c>
      <c r="D158" s="413"/>
      <c r="E158" s="625" t="s">
        <v>230</v>
      </c>
      <c r="F158" s="557"/>
      <c r="G158" s="557"/>
      <c r="H158" s="557"/>
      <c r="I158" s="557"/>
      <c r="J158" s="557"/>
      <c r="K158" s="625" t="s">
        <v>600</v>
      </c>
      <c r="L158" s="487" t="s">
        <v>975</v>
      </c>
      <c r="M158" s="290"/>
      <c r="N158" s="291"/>
      <c r="O158" s="292"/>
      <c r="P158" s="291"/>
      <c r="Q158" s="291"/>
    </row>
    <row r="159" spans="1:17" s="395" customFormat="1" ht="73.5" x14ac:dyDescent="0.25">
      <c r="A159" s="394"/>
      <c r="B159" s="428" t="s">
        <v>101</v>
      </c>
      <c r="C159" s="413"/>
      <c r="D159" s="413"/>
      <c r="E159" s="500" t="s">
        <v>1209</v>
      </c>
      <c r="F159" s="430">
        <f>SUM(F160:F166)</f>
        <v>11564.199999999999</v>
      </c>
      <c r="G159" s="430">
        <f t="shared" ref="G159:J159" si="15">SUM(G160:G166)</f>
        <v>0</v>
      </c>
      <c r="H159" s="430">
        <f t="shared" si="15"/>
        <v>0</v>
      </c>
      <c r="I159" s="430">
        <f t="shared" si="15"/>
        <v>0</v>
      </c>
      <c r="J159" s="430">
        <f t="shared" si="15"/>
        <v>0</v>
      </c>
      <c r="K159" s="510" t="s">
        <v>601</v>
      </c>
      <c r="L159" s="511" t="s">
        <v>968</v>
      </c>
      <c r="M159" s="290"/>
      <c r="N159" s="291"/>
      <c r="O159" s="292"/>
      <c r="P159" s="291"/>
      <c r="Q159" s="291"/>
    </row>
    <row r="160" spans="1:17" s="395" customFormat="1" ht="30" x14ac:dyDescent="0.25">
      <c r="A160" s="394"/>
      <c r="B160" s="1619"/>
      <c r="C160" s="1619" t="s">
        <v>2</v>
      </c>
      <c r="D160" s="1619"/>
      <c r="E160" s="2358" t="s">
        <v>231</v>
      </c>
      <c r="F160" s="2136">
        <v>1155.5999999999999</v>
      </c>
      <c r="G160" s="2136"/>
      <c r="H160" s="2136"/>
      <c r="I160" s="2136"/>
      <c r="J160" s="2136"/>
      <c r="K160" s="565" t="s">
        <v>602</v>
      </c>
      <c r="L160" s="487" t="s">
        <v>14</v>
      </c>
      <c r="M160" s="284">
        <v>100</v>
      </c>
      <c r="N160" s="284"/>
      <c r="O160" s="292"/>
      <c r="P160" s="291"/>
      <c r="Q160" s="291"/>
    </row>
    <row r="161" spans="1:17" s="395" customFormat="1" ht="30" x14ac:dyDescent="0.25">
      <c r="A161" s="394"/>
      <c r="B161" s="1620"/>
      <c r="C161" s="1620"/>
      <c r="D161" s="1620"/>
      <c r="E161" s="2358"/>
      <c r="F161" s="1600"/>
      <c r="G161" s="1600"/>
      <c r="H161" s="1600"/>
      <c r="I161" s="1600"/>
      <c r="J161" s="1600"/>
      <c r="K161" s="565" t="s">
        <v>603</v>
      </c>
      <c r="L161" s="487" t="s">
        <v>14</v>
      </c>
      <c r="M161" s="284">
        <v>100</v>
      </c>
      <c r="N161" s="284"/>
      <c r="O161" s="292"/>
      <c r="P161" s="291"/>
      <c r="Q161" s="291"/>
    </row>
    <row r="162" spans="1:17" s="395" customFormat="1" x14ac:dyDescent="0.25">
      <c r="A162" s="394"/>
      <c r="B162" s="413"/>
      <c r="C162" s="413" t="s">
        <v>3</v>
      </c>
      <c r="D162" s="413"/>
      <c r="E162" s="625" t="s">
        <v>232</v>
      </c>
      <c r="F162" s="557">
        <v>578.4</v>
      </c>
      <c r="G162" s="557"/>
      <c r="H162" s="557"/>
      <c r="I162" s="557"/>
      <c r="J162" s="557"/>
      <c r="K162" s="565" t="s">
        <v>604</v>
      </c>
      <c r="L162" s="487" t="s">
        <v>972</v>
      </c>
      <c r="M162" s="284" t="s">
        <v>106</v>
      </c>
      <c r="N162" s="284"/>
      <c r="O162" s="292"/>
      <c r="P162" s="291"/>
      <c r="Q162" s="291"/>
    </row>
    <row r="163" spans="1:17" s="395" customFormat="1" ht="45" x14ac:dyDescent="0.25">
      <c r="A163" s="394"/>
      <c r="B163" s="413"/>
      <c r="C163" s="413" t="s">
        <v>4</v>
      </c>
      <c r="D163" s="413"/>
      <c r="E163" s="625" t="s">
        <v>233</v>
      </c>
      <c r="F163" s="557">
        <v>1133.9000000000001</v>
      </c>
      <c r="G163" s="557"/>
      <c r="H163" s="557"/>
      <c r="I163" s="557"/>
      <c r="J163" s="557"/>
      <c r="K163" s="565" t="s">
        <v>605</v>
      </c>
      <c r="L163" s="487" t="s">
        <v>14</v>
      </c>
      <c r="M163" s="284">
        <v>850</v>
      </c>
      <c r="N163" s="293"/>
      <c r="O163" s="292"/>
      <c r="P163" s="291"/>
      <c r="Q163" s="291"/>
    </row>
    <row r="164" spans="1:17" s="395" customFormat="1" x14ac:dyDescent="0.25">
      <c r="A164" s="394"/>
      <c r="B164" s="413"/>
      <c r="C164" s="413" t="s">
        <v>5</v>
      </c>
      <c r="D164" s="413"/>
      <c r="E164" s="625" t="s">
        <v>234</v>
      </c>
      <c r="F164" s="557">
        <v>7550</v>
      </c>
      <c r="G164" s="557"/>
      <c r="H164" s="557"/>
      <c r="I164" s="557"/>
      <c r="J164" s="557"/>
      <c r="K164" s="625" t="s">
        <v>606</v>
      </c>
      <c r="L164" s="487" t="s">
        <v>109</v>
      </c>
      <c r="M164" s="284"/>
      <c r="N164" s="293"/>
      <c r="O164" s="292"/>
      <c r="P164" s="291"/>
      <c r="Q164" s="291"/>
    </row>
    <row r="165" spans="1:17" s="395" customFormat="1" ht="45" x14ac:dyDescent="0.25">
      <c r="A165" s="394"/>
      <c r="B165" s="413"/>
      <c r="C165" s="413" t="s">
        <v>49</v>
      </c>
      <c r="D165" s="413"/>
      <c r="E165" s="565" t="s">
        <v>235</v>
      </c>
      <c r="F165" s="557">
        <v>579.29999999999995</v>
      </c>
      <c r="G165" s="557"/>
      <c r="H165" s="557"/>
      <c r="I165" s="557"/>
      <c r="J165" s="557"/>
      <c r="K165" s="565" t="s">
        <v>607</v>
      </c>
      <c r="L165" s="487" t="s">
        <v>968</v>
      </c>
      <c r="M165" s="284">
        <v>1</v>
      </c>
      <c r="N165" s="293"/>
      <c r="O165" s="292"/>
      <c r="P165" s="291"/>
      <c r="Q165" s="291"/>
    </row>
    <row r="166" spans="1:17" s="395" customFormat="1" ht="30" x14ac:dyDescent="0.25">
      <c r="A166" s="394"/>
      <c r="B166" s="413"/>
      <c r="C166" s="413" t="s">
        <v>50</v>
      </c>
      <c r="D166" s="413"/>
      <c r="E166" s="625" t="s">
        <v>236</v>
      </c>
      <c r="F166" s="557">
        <v>567</v>
      </c>
      <c r="G166" s="557"/>
      <c r="H166" s="557"/>
      <c r="I166" s="557"/>
      <c r="J166" s="557"/>
      <c r="K166" s="625" t="s">
        <v>608</v>
      </c>
      <c r="L166" s="487" t="s">
        <v>14</v>
      </c>
      <c r="M166" s="284">
        <v>50</v>
      </c>
      <c r="N166" s="293"/>
      <c r="O166" s="292"/>
      <c r="P166" s="291"/>
      <c r="Q166" s="291"/>
    </row>
    <row r="167" spans="1:17" s="395" customFormat="1" ht="102.75" x14ac:dyDescent="0.25">
      <c r="A167" s="394"/>
      <c r="B167" s="428" t="s">
        <v>110</v>
      </c>
      <c r="C167" s="413"/>
      <c r="D167" s="413"/>
      <c r="E167" s="500" t="s">
        <v>1210</v>
      </c>
      <c r="F167" s="430">
        <f>F168</f>
        <v>720</v>
      </c>
      <c r="G167" s="430">
        <f t="shared" ref="G167:J167" si="16">G168</f>
        <v>0</v>
      </c>
      <c r="H167" s="430">
        <f t="shared" si="16"/>
        <v>0</v>
      </c>
      <c r="I167" s="430">
        <f t="shared" si="16"/>
        <v>0</v>
      </c>
      <c r="J167" s="430">
        <f t="shared" si="16"/>
        <v>0</v>
      </c>
      <c r="K167" s="500" t="s">
        <v>609</v>
      </c>
      <c r="L167" s="583" t="s">
        <v>975</v>
      </c>
      <c r="M167" s="583"/>
      <c r="N167" s="583"/>
      <c r="O167" s="292"/>
      <c r="P167" s="291"/>
      <c r="Q167" s="291"/>
    </row>
    <row r="168" spans="1:17" s="395" customFormat="1" ht="30" x14ac:dyDescent="0.25">
      <c r="A168" s="394"/>
      <c r="B168" s="412"/>
      <c r="C168" s="412" t="s">
        <v>2</v>
      </c>
      <c r="D168" s="412"/>
      <c r="E168" s="806" t="s">
        <v>237</v>
      </c>
      <c r="F168" s="559">
        <v>720</v>
      </c>
      <c r="G168" s="559"/>
      <c r="H168" s="559"/>
      <c r="I168" s="559"/>
      <c r="J168" s="559"/>
      <c r="K168" s="565" t="s">
        <v>609</v>
      </c>
      <c r="L168" s="487" t="s">
        <v>16</v>
      </c>
      <c r="M168" s="284">
        <v>291</v>
      </c>
      <c r="N168" s="284"/>
      <c r="O168" s="292"/>
      <c r="P168" s="291"/>
      <c r="Q168" s="291"/>
    </row>
    <row r="169" spans="1:17" ht="15.75" customHeight="1" x14ac:dyDescent="0.25">
      <c r="A169" s="2336" t="s">
        <v>164</v>
      </c>
      <c r="B169" s="2336"/>
      <c r="C169" s="2336"/>
      <c r="D169" s="2336"/>
      <c r="E169" s="2355"/>
      <c r="F169" s="163">
        <f>F146+F151+F155+F159+F167</f>
        <v>39592.5</v>
      </c>
      <c r="G169" s="163">
        <f>G146+G151+G155+G159+G167</f>
        <v>32113.800000000003</v>
      </c>
      <c r="H169" s="163">
        <f>H146+H151+H155+H159+H167</f>
        <v>32113.8</v>
      </c>
      <c r="I169" s="163">
        <f>I146+I151+I155+I159+I167</f>
        <v>36042.5</v>
      </c>
      <c r="J169" s="163">
        <f>J146+J151+J155+J159+J167</f>
        <v>35542.5</v>
      </c>
      <c r="K169" s="544"/>
      <c r="L169" s="1538"/>
      <c r="M169" s="77"/>
      <c r="N169" s="77"/>
      <c r="O169" s="437"/>
      <c r="P169" s="437"/>
      <c r="Q169" s="437"/>
    </row>
    <row r="170" spans="1:17" x14ac:dyDescent="0.25">
      <c r="A170" s="2354" t="s">
        <v>238</v>
      </c>
      <c r="B170" s="2354"/>
      <c r="C170" s="2354"/>
      <c r="D170" s="2354"/>
      <c r="E170" s="2354"/>
      <c r="F170" s="2354"/>
      <c r="G170" s="2354"/>
      <c r="H170" s="2354"/>
      <c r="I170" s="2354"/>
      <c r="J170" s="2354"/>
      <c r="K170" s="2354"/>
      <c r="L170" s="2354"/>
      <c r="M170" s="2354"/>
      <c r="N170" s="2354"/>
      <c r="O170" s="2354"/>
      <c r="P170" s="2354"/>
      <c r="Q170" s="2354"/>
    </row>
    <row r="171" spans="1:17" s="11" customFormat="1" ht="74.25" x14ac:dyDescent="0.25">
      <c r="A171" s="83"/>
      <c r="B171" s="402" t="s">
        <v>102</v>
      </c>
      <c r="C171" s="402"/>
      <c r="D171" s="402"/>
      <c r="E171" s="492" t="s">
        <v>1211</v>
      </c>
      <c r="F171" s="448">
        <f>SUM(F172:F179)</f>
        <v>79281.5</v>
      </c>
      <c r="G171" s="448">
        <f t="shared" ref="G171:J171" si="17">SUM(G172:G179)</f>
        <v>145665.20000000001</v>
      </c>
      <c r="H171" s="448">
        <f t="shared" si="17"/>
        <v>108878.7</v>
      </c>
      <c r="I171" s="448">
        <f t="shared" si="17"/>
        <v>105901.5</v>
      </c>
      <c r="J171" s="448">
        <f t="shared" si="17"/>
        <v>105901.5</v>
      </c>
      <c r="K171" s="492" t="s">
        <v>610</v>
      </c>
      <c r="L171" s="119" t="s">
        <v>14</v>
      </c>
      <c r="M171" s="119">
        <v>100</v>
      </c>
      <c r="N171" s="119">
        <v>100</v>
      </c>
      <c r="O171" s="119">
        <v>100</v>
      </c>
      <c r="P171" s="119">
        <v>100</v>
      </c>
      <c r="Q171" s="119">
        <v>100</v>
      </c>
    </row>
    <row r="172" spans="1:17" s="11" customFormat="1" ht="15" customHeight="1" x14ac:dyDescent="0.25">
      <c r="A172" s="83"/>
      <c r="B172" s="442"/>
      <c r="C172" s="442" t="s">
        <v>2</v>
      </c>
      <c r="D172" s="442"/>
      <c r="E172" s="620" t="s">
        <v>239</v>
      </c>
      <c r="F172" s="443">
        <v>1658.7</v>
      </c>
      <c r="G172" s="443">
        <v>47979.4</v>
      </c>
      <c r="H172" s="443">
        <v>43282.1</v>
      </c>
      <c r="I172" s="443">
        <v>53784.3</v>
      </c>
      <c r="J172" s="443">
        <v>53784.3</v>
      </c>
      <c r="K172" s="2167" t="s">
        <v>611</v>
      </c>
      <c r="L172" s="512" t="s">
        <v>14</v>
      </c>
      <c r="M172" s="512">
        <v>100</v>
      </c>
      <c r="N172" s="512">
        <v>100</v>
      </c>
      <c r="O172" s="512">
        <v>100</v>
      </c>
      <c r="P172" s="512">
        <v>100</v>
      </c>
      <c r="Q172" s="512">
        <v>100</v>
      </c>
    </row>
    <row r="173" spans="1:17" s="11" customFormat="1" x14ac:dyDescent="0.25">
      <c r="A173" s="83"/>
      <c r="B173" s="442"/>
      <c r="C173" s="442" t="s">
        <v>53</v>
      </c>
      <c r="D173" s="442"/>
      <c r="E173" s="620" t="s">
        <v>295</v>
      </c>
      <c r="F173" s="443">
        <v>50112.7</v>
      </c>
      <c r="G173" s="443">
        <v>97685.8</v>
      </c>
      <c r="H173" s="443">
        <v>65508.1</v>
      </c>
      <c r="I173" s="443">
        <v>52117.2</v>
      </c>
      <c r="J173" s="443">
        <v>52117.2</v>
      </c>
      <c r="K173" s="2168"/>
      <c r="L173" s="512" t="s">
        <v>14</v>
      </c>
      <c r="M173" s="512">
        <v>100</v>
      </c>
      <c r="N173" s="512">
        <v>100</v>
      </c>
      <c r="O173" s="512">
        <v>100</v>
      </c>
      <c r="P173" s="512">
        <v>100</v>
      </c>
      <c r="Q173" s="512">
        <v>100</v>
      </c>
    </row>
    <row r="174" spans="1:17" s="11" customFormat="1" ht="60" x14ac:dyDescent="0.25">
      <c r="A174" s="83"/>
      <c r="B174" s="442"/>
      <c r="C174" s="442" t="s">
        <v>3</v>
      </c>
      <c r="D174" s="442"/>
      <c r="E174" s="620" t="s">
        <v>240</v>
      </c>
      <c r="F174" s="443">
        <v>6429.5</v>
      </c>
      <c r="G174" s="443"/>
      <c r="H174" s="443"/>
      <c r="I174" s="443"/>
      <c r="J174" s="443"/>
      <c r="K174" s="620" t="s">
        <v>612</v>
      </c>
      <c r="L174" s="512" t="s">
        <v>14</v>
      </c>
      <c r="M174" s="512">
        <v>100</v>
      </c>
      <c r="N174" s="512"/>
      <c r="O174" s="512"/>
      <c r="P174" s="512"/>
      <c r="Q174" s="512"/>
    </row>
    <row r="175" spans="1:17" s="11" customFormat="1" ht="30" x14ac:dyDescent="0.25">
      <c r="A175" s="83"/>
      <c r="B175" s="442"/>
      <c r="C175" s="442" t="s">
        <v>4</v>
      </c>
      <c r="D175" s="442"/>
      <c r="E175" s="620" t="s">
        <v>1212</v>
      </c>
      <c r="F175" s="443">
        <v>3196.3</v>
      </c>
      <c r="G175" s="443"/>
      <c r="H175" s="443"/>
      <c r="I175" s="443"/>
      <c r="J175" s="443"/>
      <c r="K175" s="620" t="s">
        <v>613</v>
      </c>
      <c r="L175" s="512" t="s">
        <v>14</v>
      </c>
      <c r="M175" s="512">
        <v>0</v>
      </c>
      <c r="N175" s="283"/>
      <c r="O175" s="512"/>
      <c r="P175" s="512"/>
      <c r="Q175" s="512"/>
    </row>
    <row r="176" spans="1:17" s="11" customFormat="1" ht="30" x14ac:dyDescent="0.25">
      <c r="A176" s="83"/>
      <c r="B176" s="442"/>
      <c r="C176" s="442" t="s">
        <v>5</v>
      </c>
      <c r="D176" s="442"/>
      <c r="E176" s="620" t="s">
        <v>241</v>
      </c>
      <c r="F176" s="443">
        <v>3986.1</v>
      </c>
      <c r="G176" s="443"/>
      <c r="H176" s="443"/>
      <c r="I176" s="443"/>
      <c r="J176" s="443"/>
      <c r="K176" s="620" t="s">
        <v>614</v>
      </c>
      <c r="L176" s="512" t="s">
        <v>895</v>
      </c>
      <c r="M176" s="512">
        <v>20</v>
      </c>
      <c r="N176" s="512"/>
      <c r="O176" s="512"/>
      <c r="P176" s="512"/>
      <c r="Q176" s="512"/>
    </row>
    <row r="177" spans="1:17" s="11" customFormat="1" ht="30" x14ac:dyDescent="0.25">
      <c r="A177" s="83"/>
      <c r="B177" s="442"/>
      <c r="C177" s="442" t="s">
        <v>49</v>
      </c>
      <c r="D177" s="442"/>
      <c r="E177" s="620" t="s">
        <v>144</v>
      </c>
      <c r="F177" s="443">
        <v>3308.7</v>
      </c>
      <c r="G177" s="443"/>
      <c r="H177" s="443"/>
      <c r="I177" s="443"/>
      <c r="J177" s="443"/>
      <c r="K177" s="620" t="s">
        <v>615</v>
      </c>
      <c r="L177" s="512" t="s">
        <v>974</v>
      </c>
      <c r="M177" s="512">
        <v>3</v>
      </c>
      <c r="N177" s="512"/>
      <c r="O177" s="512"/>
      <c r="P177" s="512"/>
      <c r="Q177" s="512"/>
    </row>
    <row r="178" spans="1:17" s="11" customFormat="1" ht="45" x14ac:dyDescent="0.25">
      <c r="A178" s="83"/>
      <c r="B178" s="442"/>
      <c r="C178" s="442" t="s">
        <v>50</v>
      </c>
      <c r="D178" s="442"/>
      <c r="E178" s="620" t="s">
        <v>187</v>
      </c>
      <c r="F178" s="443">
        <v>6539.2</v>
      </c>
      <c r="G178" s="443"/>
      <c r="H178" s="443">
        <v>88.5</v>
      </c>
      <c r="I178" s="443"/>
      <c r="J178" s="443"/>
      <c r="K178" s="576" t="s">
        <v>616</v>
      </c>
      <c r="L178" s="512" t="s">
        <v>14</v>
      </c>
      <c r="M178" s="512" t="s">
        <v>111</v>
      </c>
      <c r="N178" s="512"/>
      <c r="O178" s="512"/>
      <c r="P178" s="512"/>
      <c r="Q178" s="512"/>
    </row>
    <row r="179" spans="1:17" s="11" customFormat="1" ht="45" x14ac:dyDescent="0.25">
      <c r="A179" s="83"/>
      <c r="B179" s="442"/>
      <c r="C179" s="442" t="s">
        <v>51</v>
      </c>
      <c r="D179" s="442"/>
      <c r="E179" s="620" t="s">
        <v>1213</v>
      </c>
      <c r="F179" s="443">
        <v>4050.3</v>
      </c>
      <c r="G179" s="443"/>
      <c r="H179" s="443"/>
      <c r="I179" s="443"/>
      <c r="J179" s="443"/>
      <c r="K179" s="620" t="s">
        <v>617</v>
      </c>
      <c r="L179" s="512" t="s">
        <v>14</v>
      </c>
      <c r="M179" s="512">
        <v>30</v>
      </c>
      <c r="N179" s="512"/>
      <c r="O179" s="512"/>
      <c r="P179" s="512"/>
      <c r="Q179" s="512"/>
    </row>
    <row r="180" spans="1:17" s="11" customFormat="1" ht="87.75" x14ac:dyDescent="0.25">
      <c r="A180" s="83"/>
      <c r="B180" s="607" t="s">
        <v>91</v>
      </c>
      <c r="C180" s="607"/>
      <c r="D180" s="607"/>
      <c r="E180" s="157" t="s">
        <v>242</v>
      </c>
      <c r="F180" s="448">
        <f>SUM(F181:F196)</f>
        <v>0</v>
      </c>
      <c r="G180" s="448">
        <f>SUM(G181:G196)</f>
        <v>1777964.1999999997</v>
      </c>
      <c r="H180" s="448">
        <f t="shared" ref="H180:J180" si="18">SUM(H181:H196)</f>
        <v>1850450.7</v>
      </c>
      <c r="I180" s="448">
        <f t="shared" si="18"/>
        <v>2823470.0000000005</v>
      </c>
      <c r="J180" s="448">
        <f t="shared" si="18"/>
        <v>2699253.6000000006</v>
      </c>
      <c r="K180" s="492" t="s">
        <v>618</v>
      </c>
      <c r="L180" s="512" t="s">
        <v>112</v>
      </c>
      <c r="M180" s="327">
        <v>3.7</v>
      </c>
      <c r="N180" s="327">
        <v>3.9</v>
      </c>
      <c r="O180" s="327">
        <v>4.0999999999999996</v>
      </c>
      <c r="P180" s="327">
        <v>4.2</v>
      </c>
      <c r="Q180" s="327">
        <v>4.4000000000000004</v>
      </c>
    </row>
    <row r="181" spans="1:17" s="11" customFormat="1" ht="30" x14ac:dyDescent="0.25">
      <c r="A181" s="83"/>
      <c r="B181" s="450"/>
      <c r="C181" s="450" t="s">
        <v>2</v>
      </c>
      <c r="D181" s="450"/>
      <c r="E181" s="620" t="s">
        <v>1215</v>
      </c>
      <c r="F181" s="443"/>
      <c r="G181" s="443">
        <v>5422.4</v>
      </c>
      <c r="H181" s="138">
        <v>4170.3999999999996</v>
      </c>
      <c r="I181" s="138">
        <v>4141.8</v>
      </c>
      <c r="J181" s="138">
        <v>4141.8</v>
      </c>
      <c r="K181" s="620" t="s">
        <v>1218</v>
      </c>
      <c r="L181" s="512" t="s">
        <v>14</v>
      </c>
      <c r="M181" s="512">
        <v>100</v>
      </c>
      <c r="N181" s="512">
        <v>100</v>
      </c>
      <c r="O181" s="512">
        <v>100</v>
      </c>
      <c r="P181" s="512">
        <v>100</v>
      </c>
      <c r="Q181" s="512">
        <v>100</v>
      </c>
    </row>
    <row r="182" spans="1:17" s="11" customFormat="1" ht="30" customHeight="1" x14ac:dyDescent="0.25">
      <c r="A182" s="83"/>
      <c r="B182" s="450"/>
      <c r="C182" s="450" t="s">
        <v>3</v>
      </c>
      <c r="D182" s="450"/>
      <c r="E182" s="553" t="s">
        <v>1214</v>
      </c>
      <c r="F182" s="443"/>
      <c r="G182" s="443">
        <v>27000</v>
      </c>
      <c r="H182" s="138">
        <v>32000</v>
      </c>
      <c r="I182" s="138">
        <v>56082</v>
      </c>
      <c r="J182" s="138">
        <v>43041</v>
      </c>
      <c r="K182" s="1777" t="s">
        <v>622</v>
      </c>
      <c r="L182" s="512" t="s">
        <v>974</v>
      </c>
      <c r="M182" s="125">
        <v>3</v>
      </c>
      <c r="N182" s="125">
        <v>18</v>
      </c>
      <c r="O182" s="125">
        <v>36</v>
      </c>
      <c r="P182" s="125">
        <v>54</v>
      </c>
      <c r="Q182" s="125">
        <v>72</v>
      </c>
    </row>
    <row r="183" spans="1:17" s="11" customFormat="1" x14ac:dyDescent="0.25">
      <c r="A183" s="83"/>
      <c r="B183" s="450"/>
      <c r="C183" s="450" t="s">
        <v>4</v>
      </c>
      <c r="D183" s="450"/>
      <c r="E183" s="553" t="s">
        <v>1216</v>
      </c>
      <c r="F183" s="443"/>
      <c r="G183" s="443">
        <v>6000</v>
      </c>
      <c r="H183" s="138">
        <v>0</v>
      </c>
      <c r="I183" s="138">
        <v>0</v>
      </c>
      <c r="J183" s="138">
        <v>0</v>
      </c>
      <c r="K183" s="2352"/>
      <c r="L183" s="512" t="s">
        <v>974</v>
      </c>
      <c r="M183" s="125">
        <v>0</v>
      </c>
      <c r="N183" s="125">
        <v>20</v>
      </c>
      <c r="O183" s="125">
        <v>60</v>
      </c>
      <c r="P183" s="125">
        <v>100</v>
      </c>
      <c r="Q183" s="125">
        <v>100</v>
      </c>
    </row>
    <row r="184" spans="1:17" s="11" customFormat="1" ht="30" customHeight="1" x14ac:dyDescent="0.25">
      <c r="A184" s="83"/>
      <c r="B184" s="450"/>
      <c r="C184" s="450" t="s">
        <v>5</v>
      </c>
      <c r="D184" s="450"/>
      <c r="E184" s="553" t="s">
        <v>1217</v>
      </c>
      <c r="F184" s="443"/>
      <c r="G184" s="443">
        <v>8500</v>
      </c>
      <c r="H184" s="138">
        <v>23081</v>
      </c>
      <c r="I184" s="138">
        <v>12750</v>
      </c>
      <c r="J184" s="138">
        <v>0</v>
      </c>
      <c r="K184" s="2352"/>
      <c r="L184" s="512" t="s">
        <v>974</v>
      </c>
      <c r="M184" s="125">
        <v>0</v>
      </c>
      <c r="N184" s="125">
        <v>1</v>
      </c>
      <c r="O184" s="125">
        <v>18</v>
      </c>
      <c r="P184" s="125">
        <v>36</v>
      </c>
      <c r="Q184" s="125">
        <v>54</v>
      </c>
    </row>
    <row r="185" spans="1:17" s="11" customFormat="1" ht="45" x14ac:dyDescent="0.25">
      <c r="A185" s="83"/>
      <c r="B185" s="450"/>
      <c r="C185" s="450" t="s">
        <v>49</v>
      </c>
      <c r="D185" s="450"/>
      <c r="E185" s="553" t="s">
        <v>243</v>
      </c>
      <c r="F185" s="443"/>
      <c r="G185" s="443">
        <v>58265.4</v>
      </c>
      <c r="H185" s="138">
        <v>79404.100000000006</v>
      </c>
      <c r="I185" s="138">
        <v>46933.3</v>
      </c>
      <c r="J185" s="138">
        <v>46933.3</v>
      </c>
      <c r="K185" s="294" t="s">
        <v>619</v>
      </c>
      <c r="L185" s="512" t="s">
        <v>974</v>
      </c>
      <c r="M185" s="512">
        <v>34</v>
      </c>
      <c r="N185" s="512">
        <v>70</v>
      </c>
      <c r="O185" s="512">
        <v>72</v>
      </c>
      <c r="P185" s="512">
        <v>72</v>
      </c>
      <c r="Q185" s="512">
        <v>72</v>
      </c>
    </row>
    <row r="186" spans="1:17" s="11" customFormat="1" ht="60" x14ac:dyDescent="0.25">
      <c r="A186" s="83"/>
      <c r="B186" s="450"/>
      <c r="C186" s="450" t="s">
        <v>50</v>
      </c>
      <c r="D186" s="450"/>
      <c r="E186" s="553" t="s">
        <v>244</v>
      </c>
      <c r="F186" s="443"/>
      <c r="G186" s="443">
        <v>6121.7</v>
      </c>
      <c r="H186" s="138">
        <v>5360.6</v>
      </c>
      <c r="I186" s="138">
        <v>5740.5</v>
      </c>
      <c r="J186" s="138">
        <v>4740.5</v>
      </c>
      <c r="K186" s="294" t="s">
        <v>620</v>
      </c>
      <c r="L186" s="512" t="s">
        <v>14</v>
      </c>
      <c r="M186" s="286">
        <v>100</v>
      </c>
      <c r="N186" s="286">
        <v>100</v>
      </c>
      <c r="O186" s="286">
        <v>100</v>
      </c>
      <c r="P186" s="286">
        <v>100</v>
      </c>
      <c r="Q186" s="286">
        <v>100</v>
      </c>
    </row>
    <row r="187" spans="1:17" s="11" customFormat="1" ht="45" x14ac:dyDescent="0.25">
      <c r="A187" s="83"/>
      <c r="B187" s="450"/>
      <c r="C187" s="450" t="s">
        <v>51</v>
      </c>
      <c r="D187" s="450"/>
      <c r="E187" s="553" t="s">
        <v>1219</v>
      </c>
      <c r="F187" s="443"/>
      <c r="G187" s="443">
        <v>144779.6</v>
      </c>
      <c r="H187" s="138">
        <v>35000</v>
      </c>
      <c r="I187" s="138">
        <v>0</v>
      </c>
      <c r="J187" s="138">
        <v>0</v>
      </c>
      <c r="K187" s="553" t="s">
        <v>1220</v>
      </c>
      <c r="L187" s="512" t="s">
        <v>974</v>
      </c>
      <c r="M187" s="286">
        <v>77</v>
      </c>
      <c r="N187" s="286">
        <v>134</v>
      </c>
      <c r="O187" s="286">
        <v>181</v>
      </c>
      <c r="P187" s="286">
        <v>181</v>
      </c>
      <c r="Q187" s="286">
        <v>181</v>
      </c>
    </row>
    <row r="188" spans="1:17" s="11" customFormat="1" ht="105" x14ac:dyDescent="0.25">
      <c r="A188" s="83"/>
      <c r="B188" s="450"/>
      <c r="C188" s="450" t="s">
        <v>53</v>
      </c>
      <c r="D188" s="450"/>
      <c r="E188" s="553" t="s">
        <v>245</v>
      </c>
      <c r="F188" s="443"/>
      <c r="G188" s="443">
        <v>613298.69999999995</v>
      </c>
      <c r="H188" s="138">
        <v>1030648.3</v>
      </c>
      <c r="I188" s="138">
        <v>1862989.6</v>
      </c>
      <c r="J188" s="138">
        <v>1870978.7</v>
      </c>
      <c r="K188" s="294" t="s">
        <v>621</v>
      </c>
      <c r="L188" s="512" t="s">
        <v>974</v>
      </c>
      <c r="M188" s="512">
        <v>30</v>
      </c>
      <c r="N188" s="512">
        <v>38</v>
      </c>
      <c r="O188" s="512">
        <v>46</v>
      </c>
      <c r="P188" s="512">
        <v>54</v>
      </c>
      <c r="Q188" s="512">
        <v>62</v>
      </c>
    </row>
    <row r="189" spans="1:17" s="11" customFormat="1" ht="45" x14ac:dyDescent="0.25">
      <c r="A189" s="83"/>
      <c r="B189" s="450"/>
      <c r="C189" s="450" t="s">
        <v>54</v>
      </c>
      <c r="D189" s="450"/>
      <c r="E189" s="553" t="s">
        <v>246</v>
      </c>
      <c r="F189" s="443"/>
      <c r="G189" s="443">
        <v>4773.2</v>
      </c>
      <c r="H189" s="138">
        <v>1250</v>
      </c>
      <c r="I189" s="138">
        <v>1250</v>
      </c>
      <c r="J189" s="138">
        <v>1250</v>
      </c>
      <c r="K189" s="497" t="s">
        <v>623</v>
      </c>
      <c r="L189" s="512" t="s">
        <v>974</v>
      </c>
      <c r="M189" s="442" t="s">
        <v>113</v>
      </c>
      <c r="N189" s="442" t="s">
        <v>114</v>
      </c>
      <c r="O189" s="442" t="s">
        <v>115</v>
      </c>
      <c r="P189" s="442" t="s">
        <v>115</v>
      </c>
      <c r="Q189" s="442" t="s">
        <v>115</v>
      </c>
    </row>
    <row r="190" spans="1:17" s="11" customFormat="1" ht="45" x14ac:dyDescent="0.25">
      <c r="A190" s="83"/>
      <c r="B190" s="450"/>
      <c r="C190" s="450" t="s">
        <v>86</v>
      </c>
      <c r="D190" s="450"/>
      <c r="E190" s="553" t="s">
        <v>247</v>
      </c>
      <c r="F190" s="443"/>
      <c r="G190" s="443">
        <v>143002.29999999999</v>
      </c>
      <c r="H190" s="138">
        <v>67410.8</v>
      </c>
      <c r="I190" s="138">
        <v>221749.9</v>
      </c>
      <c r="J190" s="138">
        <v>137149.9</v>
      </c>
      <c r="K190" s="576" t="s">
        <v>624</v>
      </c>
      <c r="L190" s="512" t="s">
        <v>14</v>
      </c>
      <c r="M190" s="286">
        <v>0</v>
      </c>
      <c r="N190" s="286">
        <v>10</v>
      </c>
      <c r="O190" s="286">
        <v>30</v>
      </c>
      <c r="P190" s="286">
        <v>80</v>
      </c>
      <c r="Q190" s="286">
        <v>100</v>
      </c>
    </row>
    <row r="191" spans="1:17" s="11" customFormat="1" ht="60" x14ac:dyDescent="0.25">
      <c r="A191" s="83"/>
      <c r="B191" s="450"/>
      <c r="C191" s="450" t="s">
        <v>87</v>
      </c>
      <c r="D191" s="450"/>
      <c r="E191" s="294" t="s">
        <v>248</v>
      </c>
      <c r="F191" s="443"/>
      <c r="G191" s="443">
        <v>73207.7</v>
      </c>
      <c r="H191" s="138">
        <v>102753.4</v>
      </c>
      <c r="I191" s="138">
        <v>260747.2</v>
      </c>
      <c r="J191" s="138">
        <v>260747.2</v>
      </c>
      <c r="K191" s="553" t="s">
        <v>625</v>
      </c>
      <c r="L191" s="512" t="s">
        <v>14</v>
      </c>
      <c r="M191" s="286">
        <v>42.4</v>
      </c>
      <c r="N191" s="286">
        <v>43</v>
      </c>
      <c r="O191" s="286">
        <v>44</v>
      </c>
      <c r="P191" s="286">
        <v>45</v>
      </c>
      <c r="Q191" s="286">
        <v>46</v>
      </c>
    </row>
    <row r="192" spans="1:17" s="11" customFormat="1" ht="45" x14ac:dyDescent="0.25">
      <c r="A192" s="83"/>
      <c r="B192" s="450"/>
      <c r="C192" s="450" t="s">
        <v>88</v>
      </c>
      <c r="D192" s="450"/>
      <c r="E192" s="553" t="s">
        <v>1221</v>
      </c>
      <c r="F192" s="443"/>
      <c r="G192" s="443">
        <v>337401.9</v>
      </c>
      <c r="H192" s="138">
        <v>423449.9</v>
      </c>
      <c r="I192" s="138">
        <v>26387.599999999999</v>
      </c>
      <c r="J192" s="138">
        <v>26387.599999999999</v>
      </c>
      <c r="K192" s="294" t="s">
        <v>626</v>
      </c>
      <c r="L192" s="512" t="s">
        <v>14</v>
      </c>
      <c r="M192" s="512">
        <v>19.100000000000001</v>
      </c>
      <c r="N192" s="512">
        <v>15</v>
      </c>
      <c r="O192" s="512">
        <v>11</v>
      </c>
      <c r="P192" s="512">
        <v>9</v>
      </c>
      <c r="Q192" s="512">
        <v>2</v>
      </c>
    </row>
    <row r="193" spans="1:17" s="11" customFormat="1" ht="30" x14ac:dyDescent="0.25">
      <c r="A193" s="83"/>
      <c r="B193" s="450"/>
      <c r="C193" s="450" t="s">
        <v>89</v>
      </c>
      <c r="D193" s="450"/>
      <c r="E193" s="553" t="s">
        <v>1222</v>
      </c>
      <c r="F193" s="443"/>
      <c r="G193" s="443">
        <v>130364.9</v>
      </c>
      <c r="H193" s="138">
        <v>0</v>
      </c>
      <c r="I193" s="138">
        <v>0</v>
      </c>
      <c r="J193" s="138">
        <v>0</v>
      </c>
      <c r="K193" s="553" t="s">
        <v>627</v>
      </c>
      <c r="L193" s="512" t="s">
        <v>14</v>
      </c>
      <c r="M193" s="512">
        <v>60</v>
      </c>
      <c r="N193" s="512">
        <v>96</v>
      </c>
      <c r="O193" s="512">
        <v>100</v>
      </c>
      <c r="P193" s="512">
        <v>100</v>
      </c>
      <c r="Q193" s="512">
        <v>100</v>
      </c>
    </row>
    <row r="194" spans="1:17" s="11" customFormat="1" ht="45" x14ac:dyDescent="0.25">
      <c r="A194" s="83"/>
      <c r="B194" s="450"/>
      <c r="C194" s="450" t="s">
        <v>90</v>
      </c>
      <c r="D194" s="450"/>
      <c r="E194" s="620" t="s">
        <v>1223</v>
      </c>
      <c r="F194" s="443"/>
      <c r="G194" s="443">
        <v>25250</v>
      </c>
      <c r="H194" s="138">
        <v>0</v>
      </c>
      <c r="I194" s="138">
        <v>0</v>
      </c>
      <c r="J194" s="138">
        <v>0</v>
      </c>
      <c r="K194" s="553" t="s">
        <v>628</v>
      </c>
      <c r="L194" s="512" t="s">
        <v>14</v>
      </c>
      <c r="M194" s="512">
        <v>0</v>
      </c>
      <c r="N194" s="512">
        <v>100</v>
      </c>
      <c r="O194" s="512">
        <v>100</v>
      </c>
      <c r="P194" s="512">
        <v>100</v>
      </c>
      <c r="Q194" s="512">
        <v>100</v>
      </c>
    </row>
    <row r="195" spans="1:17" s="11" customFormat="1" ht="45" x14ac:dyDescent="0.25">
      <c r="A195" s="83"/>
      <c r="B195" s="450"/>
      <c r="C195" s="450" t="s">
        <v>65</v>
      </c>
      <c r="D195" s="450"/>
      <c r="E195" s="620" t="s">
        <v>249</v>
      </c>
      <c r="F195" s="443"/>
      <c r="G195" s="443">
        <v>54850</v>
      </c>
      <c r="H195" s="138">
        <v>30000</v>
      </c>
      <c r="I195" s="138">
        <v>57269</v>
      </c>
      <c r="J195" s="138">
        <v>0</v>
      </c>
      <c r="K195" s="553" t="s">
        <v>629</v>
      </c>
      <c r="L195" s="512" t="s">
        <v>14</v>
      </c>
      <c r="M195" s="286">
        <v>0</v>
      </c>
      <c r="N195" s="286">
        <v>10</v>
      </c>
      <c r="O195" s="286">
        <v>30</v>
      </c>
      <c r="P195" s="286">
        <v>80</v>
      </c>
      <c r="Q195" s="286">
        <v>100</v>
      </c>
    </row>
    <row r="196" spans="1:17" s="11" customFormat="1" ht="45" x14ac:dyDescent="0.25">
      <c r="A196" s="83"/>
      <c r="B196" s="450"/>
      <c r="C196" s="450" t="s">
        <v>79</v>
      </c>
      <c r="D196" s="450"/>
      <c r="E196" s="620" t="s">
        <v>250</v>
      </c>
      <c r="F196" s="443"/>
      <c r="G196" s="443">
        <v>139726.39999999999</v>
      </c>
      <c r="H196" s="138">
        <v>15922.2</v>
      </c>
      <c r="I196" s="138">
        <v>267429.09999999998</v>
      </c>
      <c r="J196" s="138">
        <v>303883.59999999998</v>
      </c>
      <c r="K196" s="553" t="s">
        <v>630</v>
      </c>
      <c r="L196" s="512" t="s">
        <v>974</v>
      </c>
      <c r="M196" s="132">
        <v>0</v>
      </c>
      <c r="N196" s="132">
        <v>0</v>
      </c>
      <c r="O196" s="132">
        <v>2</v>
      </c>
      <c r="P196" s="132">
        <v>5</v>
      </c>
      <c r="Q196" s="132">
        <v>8</v>
      </c>
    </row>
    <row r="197" spans="1:17" s="11" customFormat="1" ht="88.5" x14ac:dyDescent="0.25">
      <c r="A197" s="83"/>
      <c r="B197" s="607" t="s">
        <v>91</v>
      </c>
      <c r="C197" s="607"/>
      <c r="D197" s="607"/>
      <c r="E197" s="492" t="s">
        <v>1224</v>
      </c>
      <c r="F197" s="448">
        <f>SUM(F198:F202)</f>
        <v>195384</v>
      </c>
      <c r="G197" s="448">
        <f t="shared" ref="G197:J197" si="19">SUM(G198:G202)</f>
        <v>0</v>
      </c>
      <c r="H197" s="448">
        <f t="shared" si="19"/>
        <v>0</v>
      </c>
      <c r="I197" s="448">
        <f t="shared" si="19"/>
        <v>0</v>
      </c>
      <c r="J197" s="448">
        <f t="shared" si="19"/>
        <v>0</v>
      </c>
      <c r="K197" s="492" t="s">
        <v>631</v>
      </c>
      <c r="L197" s="512" t="s">
        <v>14</v>
      </c>
      <c r="M197" s="512">
        <v>0</v>
      </c>
      <c r="N197" s="512"/>
      <c r="O197" s="403"/>
      <c r="P197" s="404"/>
      <c r="Q197" s="404"/>
    </row>
    <row r="198" spans="1:17" s="11" customFormat="1" ht="30" x14ac:dyDescent="0.25">
      <c r="A198" s="83"/>
      <c r="B198" s="450"/>
      <c r="C198" s="450" t="s">
        <v>2</v>
      </c>
      <c r="D198" s="450"/>
      <c r="E198" s="620" t="s">
        <v>1215</v>
      </c>
      <c r="F198" s="443">
        <v>824.9</v>
      </c>
      <c r="G198" s="443"/>
      <c r="H198" s="138"/>
      <c r="I198" s="138"/>
      <c r="J198" s="138"/>
      <c r="K198" s="620" t="s">
        <v>632</v>
      </c>
      <c r="L198" s="512" t="s">
        <v>14</v>
      </c>
      <c r="M198" s="512">
        <v>100</v>
      </c>
      <c r="N198" s="512"/>
      <c r="O198" s="405"/>
      <c r="P198" s="289"/>
      <c r="Q198" s="289"/>
    </row>
    <row r="199" spans="1:17" s="11" customFormat="1" ht="15" customHeight="1" x14ac:dyDescent="0.25">
      <c r="A199" s="83"/>
      <c r="B199" s="450"/>
      <c r="C199" s="450" t="s">
        <v>3</v>
      </c>
      <c r="D199" s="450"/>
      <c r="E199" s="553" t="s">
        <v>251</v>
      </c>
      <c r="F199" s="443">
        <v>0</v>
      </c>
      <c r="G199" s="443"/>
      <c r="H199" s="138"/>
      <c r="I199" s="138"/>
      <c r="J199" s="138"/>
      <c r="K199" s="2168" t="s">
        <v>1229</v>
      </c>
      <c r="L199" s="2140" t="s">
        <v>974</v>
      </c>
      <c r="M199" s="2151">
        <v>20</v>
      </c>
      <c r="N199" s="2151"/>
      <c r="O199" s="405"/>
      <c r="P199" s="289"/>
      <c r="Q199" s="289"/>
    </row>
    <row r="200" spans="1:17" s="11" customFormat="1" x14ac:dyDescent="0.25">
      <c r="A200" s="83"/>
      <c r="B200" s="450"/>
      <c r="C200" s="450" t="s">
        <v>4</v>
      </c>
      <c r="D200" s="450"/>
      <c r="E200" s="553" t="s">
        <v>1225</v>
      </c>
      <c r="F200" s="443">
        <v>1730</v>
      </c>
      <c r="G200" s="443"/>
      <c r="H200" s="138"/>
      <c r="I200" s="138"/>
      <c r="J200" s="138"/>
      <c r="K200" s="2168"/>
      <c r="L200" s="2158"/>
      <c r="M200" s="2152"/>
      <c r="N200" s="2152"/>
      <c r="O200" s="405"/>
      <c r="P200" s="289"/>
      <c r="Q200" s="289"/>
    </row>
    <row r="201" spans="1:17" s="11" customFormat="1" x14ac:dyDescent="0.25">
      <c r="A201" s="83"/>
      <c r="B201" s="450"/>
      <c r="C201" s="450" t="s">
        <v>5</v>
      </c>
      <c r="D201" s="450"/>
      <c r="E201" s="553" t="s">
        <v>252</v>
      </c>
      <c r="F201" s="443">
        <v>158207.4</v>
      </c>
      <c r="G201" s="443"/>
      <c r="H201" s="138"/>
      <c r="I201" s="138"/>
      <c r="J201" s="138"/>
      <c r="K201" s="2168"/>
      <c r="L201" s="2141"/>
      <c r="M201" s="2153"/>
      <c r="N201" s="2153"/>
      <c r="O201" s="405"/>
      <c r="P201" s="289"/>
      <c r="Q201" s="289"/>
    </row>
    <row r="202" spans="1:17" s="11" customFormat="1" ht="60" x14ac:dyDescent="0.25">
      <c r="A202" s="83"/>
      <c r="B202" s="450"/>
      <c r="C202" s="450" t="s">
        <v>49</v>
      </c>
      <c r="D202" s="450"/>
      <c r="E202" s="553" t="s">
        <v>253</v>
      </c>
      <c r="F202" s="443">
        <v>34621.699999999997</v>
      </c>
      <c r="G202" s="443"/>
      <c r="H202" s="138"/>
      <c r="I202" s="138"/>
      <c r="J202" s="138"/>
      <c r="K202" s="294" t="s">
        <v>1228</v>
      </c>
      <c r="L202" s="512" t="s">
        <v>974</v>
      </c>
      <c r="M202" s="512">
        <v>0</v>
      </c>
      <c r="N202" s="512"/>
      <c r="O202" s="405"/>
      <c r="P202" s="289"/>
      <c r="Q202" s="289"/>
    </row>
    <row r="203" spans="1:17" s="11" customFormat="1" ht="58.5" x14ac:dyDescent="0.25">
      <c r="A203" s="83"/>
      <c r="B203" s="607" t="s">
        <v>98</v>
      </c>
      <c r="C203" s="607"/>
      <c r="D203" s="607"/>
      <c r="E203" s="492" t="s">
        <v>1233</v>
      </c>
      <c r="F203" s="448">
        <f>SUM(F204:F206)</f>
        <v>108752.59999999999</v>
      </c>
      <c r="G203" s="448">
        <f t="shared" ref="G203:J203" si="20">SUM(G204:G206)</f>
        <v>0</v>
      </c>
      <c r="H203" s="448">
        <f t="shared" si="20"/>
        <v>0</v>
      </c>
      <c r="I203" s="448">
        <f t="shared" si="20"/>
        <v>0</v>
      </c>
      <c r="J203" s="448">
        <f t="shared" si="20"/>
        <v>0</v>
      </c>
      <c r="K203" s="501" t="s">
        <v>1230</v>
      </c>
      <c r="L203" s="119" t="s">
        <v>974</v>
      </c>
      <c r="M203" s="512">
        <v>0</v>
      </c>
      <c r="N203" s="512"/>
      <c r="O203" s="403"/>
      <c r="P203" s="404"/>
      <c r="Q203" s="404"/>
    </row>
    <row r="204" spans="1:17" s="11" customFormat="1" ht="38.25" customHeight="1" x14ac:dyDescent="0.25">
      <c r="A204" s="83"/>
      <c r="B204" s="450"/>
      <c r="C204" s="450" t="s">
        <v>2</v>
      </c>
      <c r="D204" s="450"/>
      <c r="E204" s="553" t="s">
        <v>254</v>
      </c>
      <c r="F204" s="443">
        <v>4033.4</v>
      </c>
      <c r="G204" s="443"/>
      <c r="H204" s="138"/>
      <c r="I204" s="138"/>
      <c r="J204" s="138"/>
      <c r="K204" s="553" t="s">
        <v>633</v>
      </c>
      <c r="L204" s="512" t="s">
        <v>974</v>
      </c>
      <c r="M204" s="132">
        <v>20</v>
      </c>
      <c r="N204" s="132"/>
      <c r="O204" s="405"/>
      <c r="P204" s="289"/>
      <c r="Q204" s="289"/>
    </row>
    <row r="205" spans="1:17" s="11" customFormat="1" ht="30" x14ac:dyDescent="0.25">
      <c r="A205" s="83"/>
      <c r="B205" s="450"/>
      <c r="C205" s="450" t="s">
        <v>3</v>
      </c>
      <c r="D205" s="450"/>
      <c r="E205" s="553" t="s">
        <v>1226</v>
      </c>
      <c r="F205" s="443">
        <v>104719.2</v>
      </c>
      <c r="G205" s="443"/>
      <c r="H205" s="138"/>
      <c r="I205" s="138"/>
      <c r="J205" s="138"/>
      <c r="K205" s="553" t="s">
        <v>634</v>
      </c>
      <c r="L205" s="512" t="s">
        <v>974</v>
      </c>
      <c r="M205" s="132">
        <v>75</v>
      </c>
      <c r="N205" s="132"/>
      <c r="O205" s="405"/>
      <c r="P205" s="289"/>
      <c r="Q205" s="289"/>
    </row>
    <row r="206" spans="1:17" s="11" customFormat="1" ht="75" x14ac:dyDescent="0.25">
      <c r="A206" s="83"/>
      <c r="B206" s="450"/>
      <c r="C206" s="450" t="s">
        <v>4</v>
      </c>
      <c r="D206" s="450"/>
      <c r="E206" s="553" t="s">
        <v>1227</v>
      </c>
      <c r="F206" s="443">
        <v>0</v>
      </c>
      <c r="G206" s="443">
        <v>0</v>
      </c>
      <c r="H206" s="138"/>
      <c r="I206" s="138"/>
      <c r="J206" s="138"/>
      <c r="K206" s="553" t="s">
        <v>635</v>
      </c>
      <c r="L206" s="512" t="s">
        <v>14</v>
      </c>
      <c r="M206" s="132">
        <v>100</v>
      </c>
      <c r="N206" s="132"/>
      <c r="O206" s="405"/>
      <c r="P206" s="289"/>
      <c r="Q206" s="289"/>
    </row>
    <row r="207" spans="1:17" s="11" customFormat="1" ht="73.5" x14ac:dyDescent="0.25">
      <c r="A207" s="83"/>
      <c r="B207" s="607" t="s">
        <v>101</v>
      </c>
      <c r="C207" s="607"/>
      <c r="D207" s="607"/>
      <c r="E207" s="501" t="s">
        <v>1232</v>
      </c>
      <c r="F207" s="448">
        <f>SUM(F208:F215)</f>
        <v>912982.5</v>
      </c>
      <c r="G207" s="448">
        <f t="shared" ref="G207:J207" si="21">SUM(G208:G215)</f>
        <v>0</v>
      </c>
      <c r="H207" s="448">
        <f t="shared" si="21"/>
        <v>0</v>
      </c>
      <c r="I207" s="448">
        <f t="shared" si="21"/>
        <v>0</v>
      </c>
      <c r="J207" s="448">
        <f t="shared" si="21"/>
        <v>0</v>
      </c>
      <c r="K207" s="501" t="s">
        <v>1231</v>
      </c>
      <c r="L207" s="512" t="s">
        <v>14</v>
      </c>
      <c r="M207" s="132">
        <v>100</v>
      </c>
      <c r="N207" s="132"/>
      <c r="O207" s="403"/>
      <c r="P207" s="404"/>
      <c r="Q207" s="404"/>
    </row>
    <row r="208" spans="1:17" s="11" customFormat="1" ht="45" x14ac:dyDescent="0.25">
      <c r="A208" s="83"/>
      <c r="B208" s="450"/>
      <c r="C208" s="450" t="s">
        <v>2</v>
      </c>
      <c r="D208" s="450"/>
      <c r="E208" s="553" t="s">
        <v>255</v>
      </c>
      <c r="F208" s="443">
        <v>451301.4</v>
      </c>
      <c r="G208" s="443"/>
      <c r="H208" s="138"/>
      <c r="I208" s="138"/>
      <c r="J208" s="138"/>
      <c r="K208" s="553" t="s">
        <v>636</v>
      </c>
      <c r="L208" s="512" t="s">
        <v>14</v>
      </c>
      <c r="M208" s="512">
        <v>15</v>
      </c>
      <c r="N208" s="512"/>
      <c r="O208" s="405"/>
      <c r="P208" s="289"/>
      <c r="Q208" s="289"/>
    </row>
    <row r="209" spans="1:20" s="11" customFormat="1" ht="60" x14ac:dyDescent="0.25">
      <c r="A209" s="83"/>
      <c r="B209" s="450"/>
      <c r="C209" s="450" t="s">
        <v>3</v>
      </c>
      <c r="D209" s="450"/>
      <c r="E209" s="553" t="s">
        <v>1236</v>
      </c>
      <c r="F209" s="443">
        <v>4913.1000000000004</v>
      </c>
      <c r="G209" s="443"/>
      <c r="H209" s="138"/>
      <c r="I209" s="138"/>
      <c r="J209" s="138"/>
      <c r="K209" s="553" t="s">
        <v>637</v>
      </c>
      <c r="L209" s="512"/>
      <c r="M209" s="442" t="s">
        <v>116</v>
      </c>
      <c r="N209" s="442"/>
      <c r="O209" s="405"/>
      <c r="P209" s="289"/>
      <c r="Q209" s="289"/>
    </row>
    <row r="210" spans="1:20" s="11" customFormat="1" ht="60" x14ac:dyDescent="0.25">
      <c r="A210" s="83"/>
      <c r="B210" s="450"/>
      <c r="C210" s="450" t="s">
        <v>4</v>
      </c>
      <c r="D210" s="450"/>
      <c r="E210" s="553" t="s">
        <v>1234</v>
      </c>
      <c r="F210" s="443">
        <v>19511.8</v>
      </c>
      <c r="G210" s="443"/>
      <c r="H210" s="138"/>
      <c r="I210" s="138"/>
      <c r="J210" s="138"/>
      <c r="K210" s="576" t="s">
        <v>638</v>
      </c>
      <c r="L210" s="512" t="s">
        <v>14</v>
      </c>
      <c r="M210" s="132">
        <v>50</v>
      </c>
      <c r="N210" s="132"/>
      <c r="O210" s="405"/>
      <c r="P210" s="289"/>
      <c r="Q210" s="289"/>
    </row>
    <row r="211" spans="1:20" s="11" customFormat="1" ht="30" x14ac:dyDescent="0.25">
      <c r="A211" s="83"/>
      <c r="B211" s="450"/>
      <c r="C211" s="450" t="s">
        <v>5</v>
      </c>
      <c r="D211" s="450"/>
      <c r="E211" s="294" t="s">
        <v>1235</v>
      </c>
      <c r="F211" s="443">
        <v>69362.899999999994</v>
      </c>
      <c r="G211" s="443"/>
      <c r="H211" s="138"/>
      <c r="I211" s="138"/>
      <c r="J211" s="138"/>
      <c r="K211" s="553" t="s">
        <v>639</v>
      </c>
      <c r="L211" s="512" t="s">
        <v>14</v>
      </c>
      <c r="M211" s="132">
        <v>0</v>
      </c>
      <c r="N211" s="132"/>
      <c r="O211" s="405"/>
      <c r="P211" s="289"/>
      <c r="Q211" s="289"/>
    </row>
    <row r="212" spans="1:20" s="11" customFormat="1" ht="45" x14ac:dyDescent="0.25">
      <c r="A212" s="83"/>
      <c r="B212" s="450"/>
      <c r="C212" s="450" t="s">
        <v>49</v>
      </c>
      <c r="D212" s="450"/>
      <c r="E212" s="553" t="s">
        <v>1237</v>
      </c>
      <c r="F212" s="443">
        <v>238284.3</v>
      </c>
      <c r="G212" s="443"/>
      <c r="H212" s="138"/>
      <c r="I212" s="138"/>
      <c r="J212" s="138"/>
      <c r="K212" s="553" t="s">
        <v>640</v>
      </c>
      <c r="L212" s="512" t="s">
        <v>974</v>
      </c>
      <c r="M212" s="406">
        <v>5</v>
      </c>
      <c r="N212" s="406"/>
      <c r="O212" s="405"/>
      <c r="P212" s="289"/>
      <c r="Q212" s="289"/>
    </row>
    <row r="213" spans="1:20" s="11" customFormat="1" ht="30" customHeight="1" x14ac:dyDescent="0.25">
      <c r="A213" s="83"/>
      <c r="B213" s="450"/>
      <c r="C213" s="450" t="s">
        <v>50</v>
      </c>
      <c r="D213" s="450"/>
      <c r="E213" s="553" t="s">
        <v>256</v>
      </c>
      <c r="F213" s="443">
        <v>100609</v>
      </c>
      <c r="G213" s="443"/>
      <c r="H213" s="138"/>
      <c r="I213" s="138"/>
      <c r="J213" s="138"/>
      <c r="K213" s="2139" t="s">
        <v>641</v>
      </c>
      <c r="L213" s="2140" t="s">
        <v>974</v>
      </c>
      <c r="M213" s="2140">
        <v>200988</v>
      </c>
      <c r="N213" s="2140"/>
      <c r="O213" s="405"/>
      <c r="P213" s="289"/>
      <c r="Q213" s="289"/>
    </row>
    <row r="214" spans="1:20" s="11" customFormat="1" ht="45" x14ac:dyDescent="0.25">
      <c r="A214" s="83"/>
      <c r="B214" s="450"/>
      <c r="C214" s="450" t="s">
        <v>51</v>
      </c>
      <c r="D214" s="450"/>
      <c r="E214" s="620" t="s">
        <v>257</v>
      </c>
      <c r="F214" s="443">
        <v>12000</v>
      </c>
      <c r="G214" s="443"/>
      <c r="H214" s="138"/>
      <c r="I214" s="138"/>
      <c r="J214" s="138"/>
      <c r="K214" s="2139"/>
      <c r="L214" s="2141"/>
      <c r="M214" s="2141"/>
      <c r="N214" s="2141"/>
      <c r="O214" s="405"/>
      <c r="P214" s="289"/>
      <c r="Q214" s="289"/>
    </row>
    <row r="215" spans="1:20" s="11" customFormat="1" ht="75" x14ac:dyDescent="0.25">
      <c r="A215" s="83"/>
      <c r="B215" s="450"/>
      <c r="C215" s="450" t="s">
        <v>53</v>
      </c>
      <c r="D215" s="450"/>
      <c r="E215" s="620" t="s">
        <v>258</v>
      </c>
      <c r="F215" s="443">
        <v>17000</v>
      </c>
      <c r="G215" s="443"/>
      <c r="H215" s="138"/>
      <c r="I215" s="138"/>
      <c r="J215" s="138"/>
      <c r="K215" s="553" t="s">
        <v>642</v>
      </c>
      <c r="L215" s="512" t="s">
        <v>14</v>
      </c>
      <c r="M215" s="132">
        <v>30</v>
      </c>
      <c r="N215" s="132"/>
      <c r="O215" s="405"/>
      <c r="P215" s="289"/>
      <c r="Q215" s="289"/>
    </row>
    <row r="216" spans="1:20" s="11" customFormat="1" ht="44.25" x14ac:dyDescent="0.25">
      <c r="A216" s="83"/>
      <c r="B216" s="607" t="s">
        <v>110</v>
      </c>
      <c r="C216" s="607"/>
      <c r="D216" s="607"/>
      <c r="E216" s="492" t="s">
        <v>1238</v>
      </c>
      <c r="F216" s="448">
        <f>F217</f>
        <v>0</v>
      </c>
      <c r="G216" s="448">
        <f t="shared" ref="G216:J216" si="22">G217</f>
        <v>0</v>
      </c>
      <c r="H216" s="448">
        <f t="shared" si="22"/>
        <v>0</v>
      </c>
      <c r="I216" s="448">
        <f t="shared" si="22"/>
        <v>0</v>
      </c>
      <c r="J216" s="448">
        <f t="shared" si="22"/>
        <v>0</v>
      </c>
      <c r="K216" s="501" t="s">
        <v>643</v>
      </c>
      <c r="L216" s="512">
        <v>0</v>
      </c>
      <c r="M216" s="132">
        <v>0</v>
      </c>
      <c r="N216" s="132"/>
      <c r="O216" s="403"/>
      <c r="P216" s="404"/>
      <c r="Q216" s="404"/>
    </row>
    <row r="217" spans="1:20" s="11" customFormat="1" ht="45" x14ac:dyDescent="0.25">
      <c r="A217" s="83"/>
      <c r="B217" s="450"/>
      <c r="C217" s="450" t="s">
        <v>2</v>
      </c>
      <c r="D217" s="450"/>
      <c r="E217" s="628" t="s">
        <v>259</v>
      </c>
      <c r="F217" s="606">
        <v>0</v>
      </c>
      <c r="G217" s="606"/>
      <c r="H217" s="461"/>
      <c r="I217" s="461"/>
      <c r="J217" s="461"/>
      <c r="K217" s="553" t="s">
        <v>644</v>
      </c>
      <c r="L217" s="548" t="s">
        <v>14</v>
      </c>
      <c r="M217" s="289">
        <v>0</v>
      </c>
      <c r="N217" s="289"/>
      <c r="O217" s="407"/>
      <c r="P217" s="289"/>
      <c r="Q217" s="289"/>
    </row>
    <row r="218" spans="1:20" ht="16.5" customHeight="1" x14ac:dyDescent="0.25">
      <c r="A218" s="2336" t="s">
        <v>164</v>
      </c>
      <c r="B218" s="2336"/>
      <c r="C218" s="2336"/>
      <c r="D218" s="2336"/>
      <c r="E218" s="2355"/>
      <c r="F218" s="163">
        <f>F171+F180+F197+F203+F216+F207</f>
        <v>1296400.6000000001</v>
      </c>
      <c r="G218" s="163">
        <f>G171+G180+G197+G203+G216+G207</f>
        <v>1923629.3999999997</v>
      </c>
      <c r="H218" s="163">
        <f>H171+H180+H197+H203+H216+H207</f>
        <v>1959329.4</v>
      </c>
      <c r="I218" s="163">
        <f>I171+I180+I197+I203+I216+I207</f>
        <v>2929371.5000000005</v>
      </c>
      <c r="J218" s="163">
        <f>J171+J180+J197+J203+J216+J207</f>
        <v>2805155.1000000006</v>
      </c>
      <c r="K218" s="837"/>
      <c r="L218" s="1540"/>
      <c r="M218" s="411"/>
      <c r="N218" s="411"/>
      <c r="O218" s="411"/>
      <c r="P218" s="411"/>
      <c r="Q218" s="411"/>
    </row>
    <row r="219" spans="1:20" x14ac:dyDescent="0.25">
      <c r="A219" s="697" t="s">
        <v>41</v>
      </c>
      <c r="B219" s="384" t="s">
        <v>41</v>
      </c>
      <c r="C219" s="385"/>
      <c r="D219" s="385"/>
      <c r="E219" s="811"/>
      <c r="F219" s="462"/>
      <c r="G219" s="462"/>
      <c r="H219" s="462"/>
      <c r="I219" s="462"/>
      <c r="J219" s="462"/>
      <c r="K219" s="851"/>
      <c r="L219" s="1541"/>
      <c r="M219" s="385"/>
      <c r="N219" s="385"/>
      <c r="O219" s="385"/>
      <c r="P219" s="385"/>
      <c r="Q219" s="386"/>
    </row>
    <row r="220" spans="1:20" ht="74.25" x14ac:dyDescent="0.25">
      <c r="B220" s="610">
        <v>1</v>
      </c>
      <c r="C220" s="438"/>
      <c r="D220" s="623"/>
      <c r="E220" s="582" t="s">
        <v>260</v>
      </c>
      <c r="F220" s="542">
        <f>F221+F222+F223+F225+F228</f>
        <v>43606.7</v>
      </c>
      <c r="G220" s="542">
        <f>G221+G222+G223+G225+G228</f>
        <v>43606.7</v>
      </c>
      <c r="H220" s="542">
        <f>H221+H222+H223+H225+H228</f>
        <v>48486.9</v>
      </c>
      <c r="I220" s="542">
        <f>I221+I222+I223+I225+I228</f>
        <v>48529.177667586002</v>
      </c>
      <c r="J220" s="542">
        <f>J221+J222+J223+J225+J228</f>
        <v>48624.925718753992</v>
      </c>
      <c r="K220" s="477"/>
      <c r="L220" s="584"/>
      <c r="M220" s="584"/>
      <c r="N220" s="584"/>
      <c r="O220" s="584"/>
      <c r="P220" s="584"/>
      <c r="Q220" s="584"/>
      <c r="R220" s="578"/>
      <c r="S220" s="578"/>
      <c r="T220" s="578"/>
    </row>
    <row r="221" spans="1:20" ht="30" x14ac:dyDescent="0.25">
      <c r="B221" s="551"/>
      <c r="C221" s="626">
        <v>1</v>
      </c>
      <c r="D221" s="41"/>
      <c r="E221" s="527" t="s">
        <v>261</v>
      </c>
      <c r="F221" s="550">
        <v>18519.2</v>
      </c>
      <c r="G221" s="550">
        <v>18519.2</v>
      </c>
      <c r="H221" s="550">
        <v>19238.400000000001</v>
      </c>
      <c r="I221" s="550">
        <f>H221*100.087194/100</f>
        <v>19255.174730496001</v>
      </c>
      <c r="J221" s="550">
        <f>H221*1.00284666</f>
        <v>19293.165183744</v>
      </c>
      <c r="K221" s="589" t="s">
        <v>645</v>
      </c>
      <c r="L221" s="540" t="s">
        <v>976</v>
      </c>
      <c r="M221" s="540">
        <v>1</v>
      </c>
      <c r="N221" s="540">
        <v>1</v>
      </c>
      <c r="O221" s="540">
        <v>1</v>
      </c>
      <c r="P221" s="540">
        <v>1</v>
      </c>
      <c r="Q221" s="540">
        <v>1</v>
      </c>
    </row>
    <row r="222" spans="1:20" ht="30" x14ac:dyDescent="0.25">
      <c r="B222" s="551"/>
      <c r="C222" s="94">
        <v>2</v>
      </c>
      <c r="D222" s="438"/>
      <c r="E222" s="527" t="s">
        <v>1239</v>
      </c>
      <c r="F222" s="729">
        <v>3251.1</v>
      </c>
      <c r="G222" s="729">
        <v>3251.1</v>
      </c>
      <c r="H222" s="729">
        <v>3753.6</v>
      </c>
      <c r="I222" s="550">
        <f>H222*100.087194/100</f>
        <v>3756.8729139839998</v>
      </c>
      <c r="J222" s="550">
        <f>H222*1.00284666</f>
        <v>3764.2852229759997</v>
      </c>
      <c r="K222" s="589" t="s">
        <v>646</v>
      </c>
      <c r="L222" s="540" t="s">
        <v>14</v>
      </c>
      <c r="M222" s="540">
        <v>100</v>
      </c>
      <c r="N222" s="540">
        <v>100</v>
      </c>
      <c r="O222" s="540">
        <v>100</v>
      </c>
      <c r="P222" s="540">
        <v>100</v>
      </c>
      <c r="Q222" s="540">
        <v>100</v>
      </c>
    </row>
    <row r="223" spans="1:20" ht="45" x14ac:dyDescent="0.25">
      <c r="B223" s="2137"/>
      <c r="C223" s="2169">
        <v>3</v>
      </c>
      <c r="D223" s="2161"/>
      <c r="E223" s="2051" t="s">
        <v>262</v>
      </c>
      <c r="F223" s="2154">
        <v>3844.6</v>
      </c>
      <c r="G223" s="2154">
        <v>3844.6</v>
      </c>
      <c r="H223" s="2154">
        <v>4379.3999999999996</v>
      </c>
      <c r="I223" s="2154">
        <f t="shared" ref="I223" si="23">H223*100.087194/100</f>
        <v>4383.2185740359992</v>
      </c>
      <c r="J223" s="2154">
        <f>H223*1.00284666</f>
        <v>4391.8666628039991</v>
      </c>
      <c r="K223" s="589" t="s">
        <v>647</v>
      </c>
      <c r="L223" s="540" t="s">
        <v>14</v>
      </c>
      <c r="M223" s="540">
        <v>90</v>
      </c>
      <c r="N223" s="540">
        <v>90</v>
      </c>
      <c r="O223" s="540">
        <v>90</v>
      </c>
      <c r="P223" s="540">
        <v>90</v>
      </c>
      <c r="Q223" s="540">
        <v>90</v>
      </c>
    </row>
    <row r="224" spans="1:20" ht="45" x14ac:dyDescent="0.25">
      <c r="B224" s="2138"/>
      <c r="C224" s="2138"/>
      <c r="D224" s="2138"/>
      <c r="E224" s="2051"/>
      <c r="F224" s="1650"/>
      <c r="G224" s="1650"/>
      <c r="H224" s="1650"/>
      <c r="I224" s="2155"/>
      <c r="J224" s="1650"/>
      <c r="K224" s="589" t="s">
        <v>648</v>
      </c>
      <c r="L224" s="540" t="s">
        <v>14</v>
      </c>
      <c r="M224" s="540">
        <v>50</v>
      </c>
      <c r="N224" s="540">
        <v>50</v>
      </c>
      <c r="O224" s="540">
        <v>50</v>
      </c>
      <c r="P224" s="540">
        <v>50</v>
      </c>
      <c r="Q224" s="540">
        <v>50</v>
      </c>
    </row>
    <row r="225" spans="1:20" ht="60" x14ac:dyDescent="0.25">
      <c r="B225" s="2137"/>
      <c r="C225" s="2169">
        <v>4</v>
      </c>
      <c r="D225" s="2161"/>
      <c r="E225" s="2051" t="s">
        <v>241</v>
      </c>
      <c r="F225" s="2154">
        <v>3332.2</v>
      </c>
      <c r="G225" s="2154">
        <v>3332.2</v>
      </c>
      <c r="H225" s="2154">
        <v>3910.4</v>
      </c>
      <c r="I225" s="2154">
        <f>H225*100.087194/100</f>
        <v>3913.8096341759997</v>
      </c>
      <c r="J225" s="2154">
        <f>H225*1.00284666</f>
        <v>3921.5315792639994</v>
      </c>
      <c r="K225" s="589" t="s">
        <v>649</v>
      </c>
      <c r="L225" s="540" t="s">
        <v>968</v>
      </c>
      <c r="M225" s="540">
        <v>8</v>
      </c>
      <c r="N225" s="540">
        <v>8</v>
      </c>
      <c r="O225" s="540">
        <v>8</v>
      </c>
      <c r="P225" s="540">
        <v>8</v>
      </c>
      <c r="Q225" s="540">
        <v>8</v>
      </c>
    </row>
    <row r="226" spans="1:20" ht="30" x14ac:dyDescent="0.25">
      <c r="B226" s="2274"/>
      <c r="C226" s="2368"/>
      <c r="D226" s="2162"/>
      <c r="E226" s="2051"/>
      <c r="F226" s="2033"/>
      <c r="G226" s="2033"/>
      <c r="H226" s="2033"/>
      <c r="I226" s="2033"/>
      <c r="J226" s="2033"/>
      <c r="K226" s="589" t="s">
        <v>650</v>
      </c>
      <c r="L226" s="540" t="s">
        <v>968</v>
      </c>
      <c r="M226" s="540">
        <v>125</v>
      </c>
      <c r="N226" s="540">
        <v>125</v>
      </c>
      <c r="O226" s="540">
        <v>125</v>
      </c>
      <c r="P226" s="540">
        <v>125</v>
      </c>
      <c r="Q226" s="540">
        <v>125</v>
      </c>
    </row>
    <row r="227" spans="1:20" ht="45" x14ac:dyDescent="0.25">
      <c r="B227" s="2138"/>
      <c r="C227" s="2138"/>
      <c r="D227" s="2138"/>
      <c r="E227" s="2051"/>
      <c r="F227" s="2155"/>
      <c r="G227" s="2155"/>
      <c r="H227" s="2155"/>
      <c r="I227" s="2155"/>
      <c r="J227" s="2155"/>
      <c r="K227" s="589" t="s">
        <v>651</v>
      </c>
      <c r="L227" s="540" t="s">
        <v>968</v>
      </c>
      <c r="M227" s="540">
        <v>20</v>
      </c>
      <c r="N227" s="540">
        <v>85</v>
      </c>
      <c r="O227" s="540">
        <v>85</v>
      </c>
      <c r="P227" s="540">
        <v>85</v>
      </c>
      <c r="Q227" s="540">
        <v>85</v>
      </c>
    </row>
    <row r="228" spans="1:20" x14ac:dyDescent="0.25">
      <c r="B228" s="551"/>
      <c r="C228" s="482">
        <v>6</v>
      </c>
      <c r="D228" s="438"/>
      <c r="E228" s="589" t="s">
        <v>1240</v>
      </c>
      <c r="F228" s="729">
        <v>14659.6</v>
      </c>
      <c r="G228" s="729">
        <v>14659.6</v>
      </c>
      <c r="H228" s="729">
        <v>17205.099999999999</v>
      </c>
      <c r="I228" s="729">
        <f>H228*100.087194/100</f>
        <v>17220.101814893998</v>
      </c>
      <c r="J228" s="729">
        <f>H228*1.00284666</f>
        <v>17254.077069965995</v>
      </c>
      <c r="K228" s="589" t="s">
        <v>652</v>
      </c>
      <c r="L228" s="540" t="s">
        <v>14</v>
      </c>
      <c r="M228" s="540">
        <v>100</v>
      </c>
      <c r="N228" s="540">
        <v>100</v>
      </c>
      <c r="O228" s="540">
        <v>100</v>
      </c>
      <c r="P228" s="540">
        <v>100</v>
      </c>
      <c r="Q228" s="540">
        <v>100</v>
      </c>
    </row>
    <row r="229" spans="1:20" x14ac:dyDescent="0.25">
      <c r="B229" s="551">
        <v>2</v>
      </c>
      <c r="C229" s="482"/>
      <c r="D229" s="438"/>
      <c r="E229" s="458" t="s">
        <v>1171</v>
      </c>
      <c r="F229" s="420">
        <f>F230</f>
        <v>211112.9</v>
      </c>
      <c r="G229" s="420">
        <f t="shared" ref="G229:I229" si="24">G230</f>
        <v>211112.9</v>
      </c>
      <c r="H229" s="420">
        <f t="shared" si="24"/>
        <v>206232.7</v>
      </c>
      <c r="I229" s="420">
        <f t="shared" si="24"/>
        <v>206412.52254043799</v>
      </c>
      <c r="J229" s="420">
        <f>J230</f>
        <v>206813.77437778199</v>
      </c>
      <c r="K229" s="589"/>
      <c r="L229" s="540"/>
      <c r="M229" s="660"/>
      <c r="N229" s="660"/>
      <c r="O229" s="660"/>
      <c r="P229" s="660"/>
      <c r="Q229" s="660"/>
    </row>
    <row r="230" spans="1:20" ht="39" customHeight="1" x14ac:dyDescent="0.25">
      <c r="B230" s="2137"/>
      <c r="C230" s="2169">
        <v>1</v>
      </c>
      <c r="D230" s="2161"/>
      <c r="E230" s="1669" t="s">
        <v>1241</v>
      </c>
      <c r="F230" s="2154">
        <v>211112.9</v>
      </c>
      <c r="G230" s="2154">
        <v>211112.9</v>
      </c>
      <c r="H230" s="2154">
        <v>206232.7</v>
      </c>
      <c r="I230" s="2154">
        <f>H230*100.087194/100</f>
        <v>206412.52254043799</v>
      </c>
      <c r="J230" s="2154">
        <f>H230*1.00284666-6</f>
        <v>206813.77437778199</v>
      </c>
      <c r="K230" s="589" t="s">
        <v>653</v>
      </c>
      <c r="L230" s="540" t="s">
        <v>968</v>
      </c>
      <c r="M230" s="540">
        <v>287</v>
      </c>
      <c r="N230" s="540">
        <v>287</v>
      </c>
      <c r="O230" s="540">
        <v>287</v>
      </c>
      <c r="P230" s="540">
        <v>287</v>
      </c>
      <c r="Q230" s="540">
        <v>287</v>
      </c>
    </row>
    <row r="231" spans="1:20" ht="75.75" customHeight="1" x14ac:dyDescent="0.25">
      <c r="B231" s="2274"/>
      <c r="C231" s="2170"/>
      <c r="D231" s="2162"/>
      <c r="E231" s="1669"/>
      <c r="F231" s="2157"/>
      <c r="G231" s="2157"/>
      <c r="H231" s="2157"/>
      <c r="I231" s="2157"/>
      <c r="J231" s="2157"/>
      <c r="K231" s="589" t="s">
        <v>654</v>
      </c>
      <c r="L231" s="540" t="s">
        <v>14</v>
      </c>
      <c r="M231" s="540">
        <v>100</v>
      </c>
      <c r="N231" s="540">
        <v>100</v>
      </c>
      <c r="O231" s="540">
        <v>100</v>
      </c>
      <c r="P231" s="540">
        <v>100</v>
      </c>
      <c r="Q231" s="540">
        <v>100</v>
      </c>
    </row>
    <row r="232" spans="1:20" ht="15.75" thickBot="1" x14ac:dyDescent="0.3">
      <c r="A232" s="2100" t="s">
        <v>164</v>
      </c>
      <c r="B232" s="2100"/>
      <c r="C232" s="2100"/>
      <c r="D232" s="2100"/>
      <c r="E232" s="2100"/>
      <c r="F232" s="8">
        <f>F220+F229</f>
        <v>254719.59999999998</v>
      </c>
      <c r="G232" s="8">
        <f>G220+G229</f>
        <v>254719.59999999998</v>
      </c>
      <c r="H232" s="8">
        <f>H220+H229</f>
        <v>254719.6</v>
      </c>
      <c r="I232" s="8">
        <f>I220+I229</f>
        <v>254941.70020802401</v>
      </c>
      <c r="J232" s="8">
        <f>J220+J229</f>
        <v>255438.70009653596</v>
      </c>
      <c r="K232" s="852"/>
      <c r="L232" s="2163"/>
      <c r="M232" s="2164"/>
      <c r="N232" s="2164"/>
      <c r="O232" s="2164"/>
      <c r="P232" s="2164"/>
      <c r="Q232" s="2165"/>
    </row>
    <row r="233" spans="1:20" x14ac:dyDescent="0.25">
      <c r="A233" s="347" t="s">
        <v>40</v>
      </c>
      <c r="B233" s="2166" t="s">
        <v>263</v>
      </c>
      <c r="C233" s="2166"/>
      <c r="D233" s="2166"/>
      <c r="E233" s="2166"/>
      <c r="F233" s="2166"/>
      <c r="G233" s="2166"/>
      <c r="H233" s="2166"/>
      <c r="I233" s="2166"/>
      <c r="J233" s="2166"/>
      <c r="K233" s="2166"/>
      <c r="L233" s="2166"/>
      <c r="M233" s="2166"/>
      <c r="N233" s="2166"/>
      <c r="O233" s="2166"/>
      <c r="P233" s="2166"/>
      <c r="Q233" s="2166"/>
      <c r="R233" s="2166"/>
    </row>
    <row r="234" spans="1:20" ht="15" customHeight="1" x14ac:dyDescent="0.25">
      <c r="B234" s="2159" t="s">
        <v>102</v>
      </c>
      <c r="C234" s="2156"/>
      <c r="D234" s="2226"/>
      <c r="E234" s="812" t="s">
        <v>1173</v>
      </c>
      <c r="F234" s="2177">
        <f>F236</f>
        <v>97871.4</v>
      </c>
      <c r="G234" s="2160">
        <f t="shared" ref="G234:J234" si="25">G236</f>
        <v>99713.600000000006</v>
      </c>
      <c r="H234" s="2160">
        <f t="shared" si="25"/>
        <v>297947.5</v>
      </c>
      <c r="I234" s="2160">
        <f t="shared" si="25"/>
        <v>99720</v>
      </c>
      <c r="J234" s="2160">
        <f t="shared" si="25"/>
        <v>99620</v>
      </c>
      <c r="K234" s="1669" t="s">
        <v>655</v>
      </c>
      <c r="L234" s="2156" t="s">
        <v>14</v>
      </c>
      <c r="M234" s="415"/>
      <c r="N234" s="2353"/>
      <c r="O234" s="2156"/>
      <c r="P234" s="2156"/>
      <c r="Q234" s="2156"/>
      <c r="R234" s="578"/>
      <c r="S234" s="578"/>
      <c r="T234" s="578"/>
    </row>
    <row r="235" spans="1:20" ht="49.5" customHeight="1" x14ac:dyDescent="0.25">
      <c r="B235" s="2159"/>
      <c r="C235" s="2156"/>
      <c r="D235" s="2226"/>
      <c r="E235" s="813" t="s">
        <v>1172</v>
      </c>
      <c r="F235" s="2178"/>
      <c r="G235" s="2075"/>
      <c r="H235" s="2075"/>
      <c r="I235" s="2075"/>
      <c r="J235" s="2075"/>
      <c r="K235" s="1669"/>
      <c r="L235" s="2156"/>
      <c r="M235" s="617"/>
      <c r="N235" s="1835"/>
      <c r="O235" s="2156"/>
      <c r="P235" s="2156"/>
      <c r="Q235" s="2156"/>
    </row>
    <row r="236" spans="1:20" ht="30" x14ac:dyDescent="0.25">
      <c r="B236" s="664"/>
      <c r="C236" s="350" t="s">
        <v>134</v>
      </c>
      <c r="D236" s="540"/>
      <c r="E236" s="589" t="s">
        <v>1242</v>
      </c>
      <c r="F236" s="729">
        <v>97871.4</v>
      </c>
      <c r="G236" s="729">
        <v>99713.600000000006</v>
      </c>
      <c r="H236" s="729">
        <f>100000+197947.5</f>
        <v>297947.5</v>
      </c>
      <c r="I236" s="729">
        <v>99720</v>
      </c>
      <c r="J236" s="729">
        <v>99620</v>
      </c>
      <c r="K236" s="589" t="s">
        <v>501</v>
      </c>
      <c r="L236" s="415" t="s">
        <v>14</v>
      </c>
      <c r="M236" s="540"/>
      <c r="N236" s="415">
        <v>100</v>
      </c>
      <c r="O236" s="415">
        <v>100</v>
      </c>
      <c r="P236" s="415">
        <v>100</v>
      </c>
      <c r="Q236" s="415">
        <v>100</v>
      </c>
    </row>
    <row r="237" spans="1:20" ht="86.25" customHeight="1" x14ac:dyDescent="0.25">
      <c r="B237" s="2184" t="s">
        <v>91</v>
      </c>
      <c r="C237" s="2103"/>
      <c r="D237" s="2184"/>
      <c r="E237" s="582" t="s">
        <v>1243</v>
      </c>
      <c r="F237" s="541">
        <f>F239</f>
        <v>28662.1</v>
      </c>
      <c r="G237" s="541">
        <f>G239</f>
        <v>22924</v>
      </c>
      <c r="H237" s="541">
        <f t="shared" ref="H237:J237" si="26">H239</f>
        <v>630296.69999999995</v>
      </c>
      <c r="I237" s="541">
        <f t="shared" si="26"/>
        <v>23005.1</v>
      </c>
      <c r="J237" s="541">
        <f t="shared" si="26"/>
        <v>23344.300000000003</v>
      </c>
      <c r="K237" s="589"/>
      <c r="L237" s="616" t="s">
        <v>14</v>
      </c>
      <c r="M237" s="96"/>
      <c r="N237" s="96"/>
      <c r="O237" s="96"/>
      <c r="P237" s="96"/>
      <c r="Q237" s="96"/>
    </row>
    <row r="238" spans="1:20" ht="15" hidden="1" customHeight="1" x14ac:dyDescent="0.25">
      <c r="B238" s="2185"/>
      <c r="C238" s="2104"/>
      <c r="D238" s="2185"/>
      <c r="E238" s="582"/>
      <c r="F238" s="542"/>
      <c r="G238" s="542"/>
      <c r="H238" s="542"/>
      <c r="I238" s="542"/>
      <c r="J238" s="542"/>
      <c r="K238" s="589"/>
      <c r="L238" s="617"/>
      <c r="M238" s="97"/>
      <c r="N238" s="97"/>
      <c r="O238" s="97"/>
      <c r="P238" s="97"/>
      <c r="Q238" s="97"/>
    </row>
    <row r="239" spans="1:20" ht="75" x14ac:dyDescent="0.25">
      <c r="B239" s="349"/>
      <c r="C239" s="350" t="s">
        <v>2</v>
      </c>
      <c r="D239" s="562"/>
      <c r="E239" s="593" t="s">
        <v>264</v>
      </c>
      <c r="F239" s="558">
        <f>24132.6+4529.5</f>
        <v>28662.1</v>
      </c>
      <c r="G239" s="558">
        <f>45737.6-18905.3-3908.3</f>
        <v>22924</v>
      </c>
      <c r="H239" s="776">
        <f>1016348.9-386052.2</f>
        <v>630296.69999999995</v>
      </c>
      <c r="I239" s="729">
        <f>69600-46594.9</f>
        <v>23005.1</v>
      </c>
      <c r="J239" s="729">
        <f>57400-34055.7</f>
        <v>23344.300000000003</v>
      </c>
      <c r="K239" s="589" t="s">
        <v>1244</v>
      </c>
      <c r="L239" s="415" t="s">
        <v>14</v>
      </c>
      <c r="M239" s="415"/>
      <c r="N239" s="415">
        <v>100</v>
      </c>
      <c r="O239" s="415">
        <v>100</v>
      </c>
      <c r="P239" s="415">
        <v>100</v>
      </c>
      <c r="Q239" s="540">
        <v>100</v>
      </c>
    </row>
    <row r="240" spans="1:20" x14ac:dyDescent="0.25">
      <c r="A240" s="27"/>
      <c r="B240" s="2175" t="s">
        <v>164</v>
      </c>
      <c r="C240" s="2175"/>
      <c r="D240" s="2175"/>
      <c r="E240" s="2175"/>
      <c r="F240" s="205">
        <f>F234+F237</f>
        <v>126533.5</v>
      </c>
      <c r="G240" s="205">
        <f>G234+G237</f>
        <v>122637.6</v>
      </c>
      <c r="H240" s="205">
        <f>H234+H237</f>
        <v>928244.2</v>
      </c>
      <c r="I240" s="205">
        <f>I234+I237</f>
        <v>122725.1</v>
      </c>
      <c r="J240" s="205">
        <f>J234+J237</f>
        <v>122964.3</v>
      </c>
      <c r="K240" s="838"/>
      <c r="L240" s="2175"/>
      <c r="M240" s="2175"/>
      <c r="N240" s="2175"/>
      <c r="O240" s="2175"/>
      <c r="P240" s="2175"/>
      <c r="Q240" s="28"/>
    </row>
    <row r="241" spans="1:17" ht="15" customHeight="1" x14ac:dyDescent="0.25">
      <c r="A241" s="1573" t="s">
        <v>265</v>
      </c>
      <c r="B241" s="1573"/>
      <c r="C241" s="1573"/>
      <c r="D241" s="1573"/>
      <c r="E241" s="1573"/>
      <c r="F241" s="1573"/>
      <c r="G241" s="1573"/>
      <c r="H241" s="1573"/>
      <c r="I241" s="1573"/>
      <c r="J241" s="1573"/>
      <c r="K241" s="1573"/>
      <c r="L241" s="1573"/>
      <c r="M241" s="1573"/>
      <c r="N241" s="1573"/>
      <c r="O241" s="1573"/>
      <c r="P241" s="1573"/>
      <c r="Q241" s="1573"/>
    </row>
    <row r="242" spans="1:17" ht="59.25" x14ac:dyDescent="0.25">
      <c r="B242" s="703">
        <v>1</v>
      </c>
      <c r="C242" s="724"/>
      <c r="D242" s="235"/>
      <c r="E242" s="582" t="s">
        <v>1174</v>
      </c>
      <c r="F242" s="542">
        <f>F243+F244+F245+F246+F247+F248</f>
        <v>157260.79999999999</v>
      </c>
      <c r="G242" s="542">
        <f t="shared" ref="G242" si="27">G243+G244+G245+G246+G247+G248</f>
        <v>256354.09999999998</v>
      </c>
      <c r="H242" s="542">
        <f>H243+H244+H245+H246+H247+H248</f>
        <v>255219.3</v>
      </c>
      <c r="I242" s="542">
        <f t="shared" ref="I242:J242" si="28">I243+I244+I245+I246+I247+I248</f>
        <v>254722.59999999998</v>
      </c>
      <c r="J242" s="542">
        <f t="shared" si="28"/>
        <v>255914.19999999995</v>
      </c>
      <c r="K242" s="582" t="s">
        <v>655</v>
      </c>
      <c r="L242" s="584" t="s">
        <v>14</v>
      </c>
      <c r="M242" s="584">
        <v>26</v>
      </c>
      <c r="N242" s="467">
        <v>26</v>
      </c>
      <c r="O242" s="236"/>
      <c r="P242" s="236"/>
      <c r="Q242" s="236"/>
    </row>
    <row r="243" spans="1:17" x14ac:dyDescent="0.25">
      <c r="B243" s="701"/>
      <c r="C243" s="702">
        <v>1</v>
      </c>
      <c r="D243" s="237"/>
      <c r="E243" s="527" t="s">
        <v>140</v>
      </c>
      <c r="F243" s="729">
        <v>39619.4</v>
      </c>
      <c r="G243" s="729">
        <v>32332.7</v>
      </c>
      <c r="H243" s="729">
        <v>23984.5</v>
      </c>
      <c r="I243" s="729">
        <v>23984.5</v>
      </c>
      <c r="J243" s="729">
        <v>23984.5</v>
      </c>
      <c r="K243" s="589" t="s">
        <v>501</v>
      </c>
      <c r="L243" s="511" t="s">
        <v>15</v>
      </c>
      <c r="M243" s="239"/>
      <c r="N243" s="239"/>
      <c r="O243" s="239"/>
      <c r="P243" s="239"/>
      <c r="Q243" s="239"/>
    </row>
    <row r="244" spans="1:17" ht="45" x14ac:dyDescent="0.25">
      <c r="B244" s="701"/>
      <c r="C244" s="24">
        <v>2</v>
      </c>
      <c r="D244" s="237"/>
      <c r="E244" s="527" t="s">
        <v>141</v>
      </c>
      <c r="F244" s="729">
        <v>61928.6</v>
      </c>
      <c r="G244" s="729">
        <v>19726.3</v>
      </c>
      <c r="H244" s="729">
        <v>12618.3</v>
      </c>
      <c r="I244" s="729">
        <v>12618.3</v>
      </c>
      <c r="J244" s="729">
        <v>12618.3</v>
      </c>
      <c r="K244" s="589" t="s">
        <v>656</v>
      </c>
      <c r="L244" s="540" t="s">
        <v>14</v>
      </c>
      <c r="M244" s="540" t="s">
        <v>891</v>
      </c>
      <c r="N244" s="540" t="s">
        <v>891</v>
      </c>
      <c r="O244" s="239"/>
      <c r="P244" s="239"/>
      <c r="Q244" s="239"/>
    </row>
    <row r="245" spans="1:17" ht="30" x14ac:dyDescent="0.25">
      <c r="B245" s="701"/>
      <c r="C245" s="24">
        <v>3</v>
      </c>
      <c r="D245" s="237"/>
      <c r="E245" s="527" t="s">
        <v>262</v>
      </c>
      <c r="F245" s="729">
        <v>10666.7</v>
      </c>
      <c r="G245" s="729">
        <v>8280.4</v>
      </c>
      <c r="H245" s="729">
        <v>10899.4</v>
      </c>
      <c r="I245" s="729">
        <v>10899.4</v>
      </c>
      <c r="J245" s="729">
        <v>10899.4</v>
      </c>
      <c r="K245" s="589" t="s">
        <v>657</v>
      </c>
      <c r="L245" s="540" t="s">
        <v>14</v>
      </c>
      <c r="M245" s="540">
        <v>9</v>
      </c>
      <c r="N245" s="540">
        <v>0</v>
      </c>
      <c r="O245" s="239"/>
      <c r="P245" s="239"/>
      <c r="Q245" s="239"/>
    </row>
    <row r="246" spans="1:17" ht="30" x14ac:dyDescent="0.25">
      <c r="B246" s="701"/>
      <c r="C246" s="24">
        <v>5</v>
      </c>
      <c r="D246" s="237"/>
      <c r="E246" s="527" t="s">
        <v>266</v>
      </c>
      <c r="F246" s="729">
        <v>39619.300000000003</v>
      </c>
      <c r="G246" s="729">
        <v>39022.5</v>
      </c>
      <c r="H246" s="729">
        <v>9602.6</v>
      </c>
      <c r="I246" s="729">
        <v>9602.6</v>
      </c>
      <c r="J246" s="729">
        <v>9602.6</v>
      </c>
      <c r="K246" s="589" t="s">
        <v>658</v>
      </c>
      <c r="L246" s="540" t="s">
        <v>16</v>
      </c>
      <c r="M246" s="540">
        <v>1482</v>
      </c>
      <c r="N246" s="540">
        <v>741</v>
      </c>
      <c r="O246" s="239"/>
      <c r="P246" s="239"/>
      <c r="Q246" s="239"/>
    </row>
    <row r="247" spans="1:17" ht="45" x14ac:dyDescent="0.25">
      <c r="B247" s="701"/>
      <c r="C247" s="25">
        <v>6</v>
      </c>
      <c r="D247" s="237"/>
      <c r="E247" s="589" t="s">
        <v>267</v>
      </c>
      <c r="F247" s="729">
        <v>3903</v>
      </c>
      <c r="G247" s="729">
        <v>154278.79999999999</v>
      </c>
      <c r="H247" s="729">
        <f>191032.1+4400.1</f>
        <v>195432.2</v>
      </c>
      <c r="I247" s="729">
        <f>190002.8+532.7+4400</f>
        <v>194935.5</v>
      </c>
      <c r="J247" s="729">
        <f>190002.8+1724.3+4400</f>
        <v>196127.09999999998</v>
      </c>
      <c r="K247" s="589" t="s">
        <v>659</v>
      </c>
      <c r="L247" s="540" t="s">
        <v>14</v>
      </c>
      <c r="M247" s="660">
        <v>16.100000000000001</v>
      </c>
      <c r="N247" s="660">
        <v>16.100000000000001</v>
      </c>
      <c r="O247" s="239"/>
      <c r="P247" s="239"/>
      <c r="Q247" s="239"/>
    </row>
    <row r="248" spans="1:17" ht="45" x14ac:dyDescent="0.25">
      <c r="B248" s="701"/>
      <c r="C248" s="452">
        <v>12</v>
      </c>
      <c r="D248" s="240"/>
      <c r="E248" s="814" t="s">
        <v>268</v>
      </c>
      <c r="F248" s="558">
        <v>1523.8</v>
      </c>
      <c r="G248" s="729">
        <v>2713.4</v>
      </c>
      <c r="H248" s="729">
        <v>2682.3</v>
      </c>
      <c r="I248" s="729">
        <v>2682.3</v>
      </c>
      <c r="J248" s="729">
        <v>2682.3</v>
      </c>
      <c r="K248" s="589" t="s">
        <v>660</v>
      </c>
      <c r="L248" s="540" t="s">
        <v>968</v>
      </c>
      <c r="M248" s="540" t="s">
        <v>17</v>
      </c>
      <c r="N248" s="540" t="s">
        <v>18</v>
      </c>
      <c r="O248" s="239"/>
      <c r="P248" s="239"/>
      <c r="Q248" s="239"/>
    </row>
    <row r="249" spans="1:17" ht="109.5" customHeight="1" x14ac:dyDescent="0.25">
      <c r="B249" s="242" t="s">
        <v>91</v>
      </c>
      <c r="C249" s="243"/>
      <c r="D249" s="240"/>
      <c r="E249" s="815" t="s">
        <v>1246</v>
      </c>
      <c r="F249" s="420">
        <f>F250+F251+F252</f>
        <v>131038.6</v>
      </c>
      <c r="G249" s="420">
        <f t="shared" ref="G249" si="29">G250+G251+G252</f>
        <v>106189.3</v>
      </c>
      <c r="H249" s="420">
        <f>H250+H251+H252</f>
        <v>230002.5</v>
      </c>
      <c r="I249" s="420">
        <f t="shared" ref="I249:J249" si="30">I250+I251+I252</f>
        <v>230002.5</v>
      </c>
      <c r="J249" s="420">
        <f t="shared" si="30"/>
        <v>230002.5</v>
      </c>
      <c r="K249" s="658" t="s">
        <v>1247</v>
      </c>
      <c r="L249" s="238"/>
      <c r="M249" s="660" t="s">
        <v>19</v>
      </c>
      <c r="N249" s="660" t="s">
        <v>20</v>
      </c>
      <c r="O249" s="239"/>
      <c r="P249" s="239"/>
      <c r="Q249" s="239"/>
    </row>
    <row r="250" spans="1:17" ht="90" x14ac:dyDescent="0.25">
      <c r="B250" s="452"/>
      <c r="C250" s="452" t="s">
        <v>2</v>
      </c>
      <c r="D250" s="240"/>
      <c r="E250" s="814" t="s">
        <v>1245</v>
      </c>
      <c r="F250" s="558">
        <v>52415.4</v>
      </c>
      <c r="G250" s="729">
        <v>52138.9</v>
      </c>
      <c r="H250" s="729">
        <v>221118.9</v>
      </c>
      <c r="I250" s="729">
        <v>221118.9</v>
      </c>
      <c r="J250" s="729">
        <v>221118.9</v>
      </c>
      <c r="K250" s="628" t="s">
        <v>661</v>
      </c>
      <c r="L250" s="238"/>
      <c r="M250" s="540" t="s">
        <v>21</v>
      </c>
      <c r="N250" s="540" t="s">
        <v>22</v>
      </c>
      <c r="O250" s="239"/>
      <c r="P250" s="239"/>
      <c r="Q250" s="239"/>
    </row>
    <row r="251" spans="1:17" ht="90" x14ac:dyDescent="0.25">
      <c r="B251" s="452"/>
      <c r="C251" s="452" t="s">
        <v>3</v>
      </c>
      <c r="D251" s="240"/>
      <c r="E251" s="814" t="s">
        <v>1248</v>
      </c>
      <c r="F251" s="558">
        <v>55036.3</v>
      </c>
      <c r="G251" s="729">
        <v>34830.1</v>
      </c>
      <c r="H251" s="729">
        <v>5874.1</v>
      </c>
      <c r="I251" s="729">
        <v>5874.1</v>
      </c>
      <c r="J251" s="729">
        <v>5874.1</v>
      </c>
      <c r="K251" s="628" t="s">
        <v>662</v>
      </c>
      <c r="L251" s="238"/>
      <c r="M251" s="540" t="s">
        <v>23</v>
      </c>
      <c r="N251" s="540" t="s">
        <v>24</v>
      </c>
      <c r="O251" s="239"/>
      <c r="P251" s="239"/>
      <c r="Q251" s="239"/>
    </row>
    <row r="252" spans="1:17" ht="88.5" customHeight="1" x14ac:dyDescent="0.25">
      <c r="B252" s="452"/>
      <c r="C252" s="452" t="s">
        <v>4</v>
      </c>
      <c r="D252" s="240"/>
      <c r="E252" s="814" t="s">
        <v>269</v>
      </c>
      <c r="F252" s="558">
        <v>23586.9</v>
      </c>
      <c r="G252" s="729">
        <v>19220.3</v>
      </c>
      <c r="H252" s="729">
        <v>3009.5</v>
      </c>
      <c r="I252" s="729">
        <v>3009.5</v>
      </c>
      <c r="J252" s="729">
        <v>3009.5</v>
      </c>
      <c r="K252" s="628" t="s">
        <v>1249</v>
      </c>
      <c r="L252" s="238"/>
      <c r="M252" s="540" t="s">
        <v>25</v>
      </c>
      <c r="N252" s="540" t="s">
        <v>26</v>
      </c>
      <c r="O252" s="239"/>
      <c r="P252" s="239"/>
      <c r="Q252" s="239"/>
    </row>
    <row r="253" spans="1:17" ht="156.75" x14ac:dyDescent="0.25">
      <c r="B253" s="244" t="s">
        <v>98</v>
      </c>
      <c r="C253" s="245"/>
      <c r="D253" s="429"/>
      <c r="E253" s="815" t="s">
        <v>270</v>
      </c>
      <c r="F253" s="420">
        <f>F254+F255+F256</f>
        <v>224812.1</v>
      </c>
      <c r="G253" s="420">
        <f t="shared" ref="G253" si="31">G254+G255+G256</f>
        <v>147771.29999999999</v>
      </c>
      <c r="H253" s="420">
        <f>H254+H255+H256</f>
        <v>51040</v>
      </c>
      <c r="I253" s="420">
        <f t="shared" ref="I253:J253" si="32">I254+I255+I256</f>
        <v>51040</v>
      </c>
      <c r="J253" s="420">
        <f t="shared" si="32"/>
        <v>51040</v>
      </c>
      <c r="K253" s="658" t="s">
        <v>663</v>
      </c>
      <c r="L253" s="511"/>
      <c r="M253" s="660" t="s">
        <v>27</v>
      </c>
      <c r="N253" s="583" t="s">
        <v>28</v>
      </c>
      <c r="O253" s="247"/>
      <c r="P253" s="247"/>
      <c r="Q253" s="247"/>
    </row>
    <row r="254" spans="1:17" ht="135" x14ac:dyDescent="0.25">
      <c r="B254" s="244"/>
      <c r="C254" s="245" t="s">
        <v>2</v>
      </c>
      <c r="D254" s="248"/>
      <c r="E254" s="814" t="s">
        <v>271</v>
      </c>
      <c r="F254" s="729">
        <v>62947.4</v>
      </c>
      <c r="G254" s="557">
        <v>71078</v>
      </c>
      <c r="H254" s="729">
        <v>43673.9</v>
      </c>
      <c r="I254" s="729">
        <v>43673.9</v>
      </c>
      <c r="J254" s="729">
        <v>43673.9</v>
      </c>
      <c r="K254" s="628" t="s">
        <v>664</v>
      </c>
      <c r="L254" s="511"/>
      <c r="M254" s="540" t="s">
        <v>29</v>
      </c>
      <c r="N254" s="557" t="s">
        <v>30</v>
      </c>
      <c r="O254" s="249"/>
      <c r="P254" s="249"/>
      <c r="Q254" s="249"/>
    </row>
    <row r="255" spans="1:17" ht="135" x14ac:dyDescent="0.25">
      <c r="B255" s="244"/>
      <c r="C255" s="245" t="s">
        <v>3</v>
      </c>
      <c r="D255" s="250"/>
      <c r="E255" s="814" t="s">
        <v>272</v>
      </c>
      <c r="F255" s="729">
        <v>62947.4</v>
      </c>
      <c r="G255" s="557">
        <v>28963.200000000001</v>
      </c>
      <c r="H255" s="729">
        <v>4226.7</v>
      </c>
      <c r="I255" s="729">
        <v>4226.7</v>
      </c>
      <c r="J255" s="729">
        <v>4226.7</v>
      </c>
      <c r="K255" s="628" t="s">
        <v>665</v>
      </c>
      <c r="L255" s="511"/>
      <c r="M255" s="540" t="s">
        <v>31</v>
      </c>
      <c r="N255" s="557" t="s">
        <v>32</v>
      </c>
      <c r="O255" s="249"/>
      <c r="P255" s="249"/>
      <c r="Q255" s="249"/>
    </row>
    <row r="256" spans="1:17" ht="135" x14ac:dyDescent="0.25">
      <c r="B256" s="251"/>
      <c r="C256" s="252" t="s">
        <v>4</v>
      </c>
      <c r="D256" s="250"/>
      <c r="E256" s="814" t="s">
        <v>273</v>
      </c>
      <c r="F256" s="558">
        <f>35969.9+62947.4</f>
        <v>98917.3</v>
      </c>
      <c r="G256" s="558">
        <v>47730.1</v>
      </c>
      <c r="H256" s="558">
        <v>3139.4</v>
      </c>
      <c r="I256" s="558">
        <v>3139.4</v>
      </c>
      <c r="J256" s="558">
        <v>3139.4</v>
      </c>
      <c r="K256" s="628" t="s">
        <v>664</v>
      </c>
      <c r="L256" s="511"/>
      <c r="M256" s="540" t="s">
        <v>33</v>
      </c>
      <c r="N256" s="557" t="s">
        <v>34</v>
      </c>
      <c r="O256" s="249"/>
      <c r="P256" s="249"/>
      <c r="Q256" s="249"/>
    </row>
    <row r="257" spans="1:17" ht="99.75" x14ac:dyDescent="0.25">
      <c r="B257" s="244" t="s">
        <v>101</v>
      </c>
      <c r="C257" s="245"/>
      <c r="D257" s="250"/>
      <c r="E257" s="816" t="s">
        <v>274</v>
      </c>
      <c r="F257" s="420">
        <f>F258+F259</f>
        <v>82051.8</v>
      </c>
      <c r="G257" s="420">
        <f t="shared" ref="G257" si="33">G258+G259</f>
        <v>90654.6</v>
      </c>
      <c r="H257" s="302">
        <f>H258+H259</f>
        <v>41604.400000000001</v>
      </c>
      <c r="I257" s="302">
        <f t="shared" ref="I257:J257" si="34">I258+I259</f>
        <v>41604.400000000001</v>
      </c>
      <c r="J257" s="302">
        <f t="shared" si="34"/>
        <v>41604.400000000001</v>
      </c>
      <c r="K257" s="658" t="s">
        <v>666</v>
      </c>
      <c r="L257" s="511"/>
      <c r="M257" s="660" t="s">
        <v>35</v>
      </c>
      <c r="N257" s="430" t="s">
        <v>36</v>
      </c>
      <c r="O257" s="249"/>
      <c r="P257" s="249"/>
      <c r="Q257" s="249"/>
    </row>
    <row r="258" spans="1:17" ht="90" x14ac:dyDescent="0.25">
      <c r="B258" s="425"/>
      <c r="C258" s="245" t="s">
        <v>2</v>
      </c>
      <c r="D258" s="250"/>
      <c r="E258" s="589" t="s">
        <v>275</v>
      </c>
      <c r="F258" s="303">
        <v>42666.9</v>
      </c>
      <c r="G258" s="557">
        <v>36624.5</v>
      </c>
      <c r="H258" s="558">
        <v>38620.5</v>
      </c>
      <c r="I258" s="558">
        <v>38620.5</v>
      </c>
      <c r="J258" s="558">
        <v>38620.5</v>
      </c>
      <c r="K258" s="628" t="s">
        <v>667</v>
      </c>
      <c r="L258" s="511"/>
      <c r="M258" s="540" t="s">
        <v>37</v>
      </c>
      <c r="N258" s="557" t="s">
        <v>38</v>
      </c>
      <c r="O258" s="249"/>
      <c r="P258" s="249"/>
      <c r="Q258" s="249"/>
    </row>
    <row r="259" spans="1:17" ht="90" x14ac:dyDescent="0.25">
      <c r="B259" s="425"/>
      <c r="C259" s="245" t="s">
        <v>3</v>
      </c>
      <c r="D259" s="250"/>
      <c r="E259" s="817" t="s">
        <v>276</v>
      </c>
      <c r="F259" s="303">
        <v>39384.9</v>
      </c>
      <c r="G259" s="557">
        <v>54030.1</v>
      </c>
      <c r="H259" s="558">
        <v>2983.9</v>
      </c>
      <c r="I259" s="558">
        <v>2983.9</v>
      </c>
      <c r="J259" s="558">
        <v>2983.9</v>
      </c>
      <c r="K259" s="628" t="s">
        <v>668</v>
      </c>
      <c r="L259" s="644"/>
      <c r="M259" s="415" t="s">
        <v>131</v>
      </c>
      <c r="N259" s="559" t="s">
        <v>132</v>
      </c>
      <c r="O259" s="253"/>
      <c r="P259" s="253"/>
      <c r="Q259" s="253"/>
    </row>
    <row r="260" spans="1:17" ht="99.75" x14ac:dyDescent="0.25">
      <c r="B260" s="244" t="s">
        <v>110</v>
      </c>
      <c r="C260" s="245"/>
      <c r="D260" s="248"/>
      <c r="E260" s="818" t="s">
        <v>277</v>
      </c>
      <c r="F260" s="420">
        <f t="shared" ref="F260:G260" si="35">F261+F262</f>
        <v>0</v>
      </c>
      <c r="G260" s="420">
        <f t="shared" si="35"/>
        <v>0</v>
      </c>
      <c r="H260" s="420">
        <f>H261+H262</f>
        <v>38342.400000000001</v>
      </c>
      <c r="I260" s="420">
        <f t="shared" ref="I260:J260" si="36">I261+I262</f>
        <v>38342.400000000001</v>
      </c>
      <c r="J260" s="420">
        <f t="shared" si="36"/>
        <v>38342.400000000001</v>
      </c>
      <c r="K260" s="658" t="s">
        <v>669</v>
      </c>
      <c r="L260" s="511"/>
      <c r="M260" s="660" t="s">
        <v>35</v>
      </c>
      <c r="N260" s="430" t="s">
        <v>36</v>
      </c>
      <c r="O260" s="249"/>
      <c r="P260" s="249"/>
      <c r="Q260" s="249"/>
    </row>
    <row r="261" spans="1:17" ht="60" x14ac:dyDescent="0.25">
      <c r="B261" s="254"/>
      <c r="C261" s="245" t="s">
        <v>2</v>
      </c>
      <c r="D261" s="248"/>
      <c r="E261" s="817" t="s">
        <v>1251</v>
      </c>
      <c r="F261" s="729"/>
      <c r="G261" s="729"/>
      <c r="H261" s="729">
        <v>33454.400000000001</v>
      </c>
      <c r="I261" s="729">
        <v>33454.400000000001</v>
      </c>
      <c r="J261" s="729">
        <v>33454.400000000001</v>
      </c>
      <c r="K261" s="628"/>
      <c r="L261" s="511"/>
      <c r="M261" s="540"/>
      <c r="N261" s="557"/>
      <c r="O261" s="249"/>
      <c r="P261" s="249"/>
      <c r="Q261" s="249"/>
    </row>
    <row r="262" spans="1:17" ht="90" x14ac:dyDescent="0.25">
      <c r="B262" s="254"/>
      <c r="C262" s="245" t="s">
        <v>3</v>
      </c>
      <c r="D262" s="248"/>
      <c r="E262" s="817" t="s">
        <v>1250</v>
      </c>
      <c r="F262" s="729"/>
      <c r="G262" s="729"/>
      <c r="H262" s="729">
        <v>4888</v>
      </c>
      <c r="I262" s="729">
        <v>4888</v>
      </c>
      <c r="J262" s="729">
        <v>4888</v>
      </c>
      <c r="K262" s="628"/>
      <c r="L262" s="511"/>
      <c r="M262" s="540"/>
      <c r="N262" s="557"/>
      <c r="O262" s="249"/>
      <c r="P262" s="249"/>
      <c r="Q262" s="249"/>
    </row>
    <row r="263" spans="1:17" s="11" customFormat="1" x14ac:dyDescent="0.25">
      <c r="A263" s="2181" t="s">
        <v>223</v>
      </c>
      <c r="B263" s="2182"/>
      <c r="C263" s="2182"/>
      <c r="D263" s="2182"/>
      <c r="E263" s="2183"/>
      <c r="F263" s="8">
        <f>F242+F249+F253+F257+F260</f>
        <v>595163.30000000005</v>
      </c>
      <c r="G263" s="8">
        <f>G242+G249+G253+G257+G260</f>
        <v>600969.29999999993</v>
      </c>
      <c r="H263" s="351">
        <f>H242+H249+H253+H257+H260</f>
        <v>616208.60000000009</v>
      </c>
      <c r="I263" s="8">
        <f>I242+I249+I253+I257+I260</f>
        <v>615711.9</v>
      </c>
      <c r="J263" s="8">
        <f>J242+J249+J253+J257+J260</f>
        <v>616903.5</v>
      </c>
      <c r="K263" s="7"/>
      <c r="L263" s="8"/>
      <c r="M263" s="8"/>
      <c r="N263" s="8"/>
      <c r="O263" s="8"/>
      <c r="P263" s="8"/>
      <c r="Q263" s="8"/>
    </row>
    <row r="264" spans="1:17" ht="15.75" customHeight="1" x14ac:dyDescent="0.25">
      <c r="A264" s="1573" t="s">
        <v>278</v>
      </c>
      <c r="B264" s="1573"/>
      <c r="C264" s="1573"/>
      <c r="D264" s="1573"/>
      <c r="E264" s="1573"/>
      <c r="F264" s="1573"/>
      <c r="G264" s="1573"/>
      <c r="H264" s="1573"/>
      <c r="I264" s="1573"/>
      <c r="J264" s="1573"/>
      <c r="K264" s="1573"/>
      <c r="L264" s="1573"/>
      <c r="M264" s="1573"/>
      <c r="N264" s="1573"/>
      <c r="O264" s="1573"/>
      <c r="P264" s="1573"/>
      <c r="Q264" s="1573"/>
    </row>
    <row r="265" spans="1:17" ht="65.25" customHeight="1" x14ac:dyDescent="0.25">
      <c r="A265" s="82"/>
      <c r="B265" s="610">
        <v>1</v>
      </c>
      <c r="C265" s="353"/>
      <c r="D265" s="100"/>
      <c r="E265" s="340" t="s">
        <v>279</v>
      </c>
      <c r="F265" s="227">
        <f>F266+F267+F268+F269</f>
        <v>20151.7</v>
      </c>
      <c r="G265" s="227">
        <f>G266+G267+G268+G269</f>
        <v>15537.7</v>
      </c>
      <c r="H265" s="227">
        <f>H266+H267+H268+H269</f>
        <v>17024.099999999999</v>
      </c>
      <c r="I265" s="227">
        <f>I266+I267+I268+I269</f>
        <v>15260.4</v>
      </c>
      <c r="J265" s="227">
        <f>J266+J267+J268+J269</f>
        <v>15321</v>
      </c>
      <c r="K265" s="340" t="s">
        <v>1252</v>
      </c>
      <c r="L265" s="215" t="s">
        <v>14</v>
      </c>
      <c r="M265" s="352"/>
      <c r="N265" s="352"/>
      <c r="O265" s="352"/>
      <c r="P265" s="352"/>
      <c r="Q265" s="352"/>
    </row>
    <row r="266" spans="1:17" x14ac:dyDescent="0.25">
      <c r="B266" s="551"/>
      <c r="C266" s="626">
        <v>1</v>
      </c>
      <c r="D266" s="99"/>
      <c r="E266" s="502" t="s">
        <v>239</v>
      </c>
      <c r="F266" s="226">
        <v>11690</v>
      </c>
      <c r="G266" s="226">
        <v>8964.2000000000007</v>
      </c>
      <c r="H266" s="226">
        <f>9036.8+633.1</f>
        <v>9669.9</v>
      </c>
      <c r="I266" s="226">
        <v>8479.4</v>
      </c>
      <c r="J266" s="226">
        <v>8479.4</v>
      </c>
      <c r="K266" s="338" t="s">
        <v>670</v>
      </c>
      <c r="L266" s="210" t="s">
        <v>14</v>
      </c>
      <c r="M266" s="454">
        <v>100</v>
      </c>
      <c r="N266" s="454">
        <v>100</v>
      </c>
      <c r="O266" s="454">
        <v>100</v>
      </c>
      <c r="P266" s="454">
        <v>100</v>
      </c>
      <c r="Q266" s="454">
        <v>100</v>
      </c>
    </row>
    <row r="267" spans="1:17" ht="30" x14ac:dyDescent="0.25">
      <c r="B267" s="551"/>
      <c r="C267" s="94">
        <v>2</v>
      </c>
      <c r="D267" s="99"/>
      <c r="E267" s="502" t="s">
        <v>280</v>
      </c>
      <c r="F267" s="226">
        <v>2821.2</v>
      </c>
      <c r="G267" s="226">
        <v>2283</v>
      </c>
      <c r="H267" s="226">
        <f>2262.2+295.4</f>
        <v>2557.6</v>
      </c>
      <c r="I267" s="226">
        <v>2383</v>
      </c>
      <c r="J267" s="226">
        <v>2383</v>
      </c>
      <c r="K267" s="338" t="s">
        <v>671</v>
      </c>
      <c r="L267" s="210" t="s">
        <v>14</v>
      </c>
      <c r="M267" s="454">
        <v>100</v>
      </c>
      <c r="N267" s="454">
        <v>100</v>
      </c>
      <c r="O267" s="454">
        <v>100</v>
      </c>
      <c r="P267" s="454">
        <v>100</v>
      </c>
      <c r="Q267" s="454">
        <v>100</v>
      </c>
    </row>
    <row r="268" spans="1:17" ht="30" x14ac:dyDescent="0.25">
      <c r="B268" s="551"/>
      <c r="C268" s="94">
        <v>3</v>
      </c>
      <c r="D268" s="99"/>
      <c r="E268" s="502" t="s">
        <v>262</v>
      </c>
      <c r="F268" s="226">
        <v>4433.3</v>
      </c>
      <c r="G268" s="226">
        <v>3494.5</v>
      </c>
      <c r="H268" s="226">
        <f>3454.8+551.6</f>
        <v>4006.4</v>
      </c>
      <c r="I268" s="226">
        <v>3602</v>
      </c>
      <c r="J268" s="226">
        <v>3602</v>
      </c>
      <c r="K268" s="338" t="s">
        <v>1253</v>
      </c>
      <c r="L268" s="210" t="s">
        <v>892</v>
      </c>
      <c r="M268" s="210" t="s">
        <v>94</v>
      </c>
      <c r="N268" s="210" t="s">
        <v>95</v>
      </c>
      <c r="O268" s="210" t="s">
        <v>122</v>
      </c>
      <c r="P268" s="210" t="s">
        <v>123</v>
      </c>
      <c r="Q268" s="210" t="s">
        <v>124</v>
      </c>
    </row>
    <row r="269" spans="1:17" ht="60" x14ac:dyDescent="0.25">
      <c r="B269" s="551"/>
      <c r="C269" s="94">
        <v>5</v>
      </c>
      <c r="D269" s="99"/>
      <c r="E269" s="502" t="s">
        <v>281</v>
      </c>
      <c r="F269" s="226">
        <v>1207.2</v>
      </c>
      <c r="G269" s="226">
        <v>796</v>
      </c>
      <c r="H269" s="226">
        <v>790.2</v>
      </c>
      <c r="I269" s="226">
        <v>796</v>
      </c>
      <c r="J269" s="226">
        <v>856.6</v>
      </c>
      <c r="K269" s="338" t="s">
        <v>672</v>
      </c>
      <c r="L269" s="210" t="s">
        <v>893</v>
      </c>
      <c r="M269" s="210">
        <v>62</v>
      </c>
      <c r="N269" s="210">
        <v>32</v>
      </c>
      <c r="O269" s="210">
        <v>60</v>
      </c>
      <c r="P269" s="210">
        <v>70</v>
      </c>
      <c r="Q269" s="210">
        <v>80</v>
      </c>
    </row>
    <row r="270" spans="1:17" ht="28.5" x14ac:dyDescent="0.25">
      <c r="B270" s="551">
        <v>2</v>
      </c>
      <c r="C270" s="482"/>
      <c r="D270" s="99"/>
      <c r="E270" s="340" t="s">
        <v>282</v>
      </c>
      <c r="F270" s="221">
        <f>F271+F272+F273</f>
        <v>8692.9000000000015</v>
      </c>
      <c r="G270" s="221">
        <f>G271+G272+G273</f>
        <v>6143.8</v>
      </c>
      <c r="H270" s="221">
        <f>H271+H272+H273</f>
        <v>6686.2000000000007</v>
      </c>
      <c r="I270" s="221">
        <f>I271+I272+I273</f>
        <v>6245.1</v>
      </c>
      <c r="J270" s="221">
        <f>J271+J272+J273</f>
        <v>6245.1</v>
      </c>
      <c r="K270" s="340" t="s">
        <v>673</v>
      </c>
      <c r="L270" s="210"/>
      <c r="M270" s="210"/>
      <c r="N270" s="210"/>
      <c r="O270" s="210"/>
      <c r="P270" s="210"/>
      <c r="Q270" s="210"/>
    </row>
    <row r="271" spans="1:17" ht="30" x14ac:dyDescent="0.25">
      <c r="B271" s="551"/>
      <c r="C271" s="482">
        <v>1</v>
      </c>
      <c r="D271" s="99"/>
      <c r="E271" s="338" t="s">
        <v>283</v>
      </c>
      <c r="F271" s="226">
        <v>3651</v>
      </c>
      <c r="G271" s="226">
        <v>2645.6</v>
      </c>
      <c r="H271" s="226">
        <f>2639.3+216.3</f>
        <v>2855.6000000000004</v>
      </c>
      <c r="I271" s="226">
        <v>2650</v>
      </c>
      <c r="J271" s="226">
        <v>2650</v>
      </c>
      <c r="K271" s="340" t="s">
        <v>674</v>
      </c>
      <c r="L271" s="210" t="s">
        <v>893</v>
      </c>
      <c r="M271" s="210" t="s">
        <v>96</v>
      </c>
      <c r="N271" s="210" t="s">
        <v>97</v>
      </c>
      <c r="O271" s="210" t="s">
        <v>125</v>
      </c>
      <c r="P271" s="210" t="s">
        <v>126</v>
      </c>
      <c r="Q271" s="210" t="s">
        <v>127</v>
      </c>
    </row>
    <row r="272" spans="1:17" ht="45" x14ac:dyDescent="0.25">
      <c r="B272" s="551"/>
      <c r="C272" s="482">
        <v>2</v>
      </c>
      <c r="D272" s="99"/>
      <c r="E272" s="338" t="s">
        <v>284</v>
      </c>
      <c r="F272" s="226">
        <v>2868.6</v>
      </c>
      <c r="G272" s="226">
        <v>2067</v>
      </c>
      <c r="H272" s="226">
        <f>2067+166.2</f>
        <v>2233.1999999999998</v>
      </c>
      <c r="I272" s="226">
        <v>2067</v>
      </c>
      <c r="J272" s="226">
        <v>2067</v>
      </c>
      <c r="K272" s="340" t="s">
        <v>675</v>
      </c>
      <c r="L272" s="210" t="s">
        <v>894</v>
      </c>
      <c r="M272" s="210">
        <v>188</v>
      </c>
      <c r="N272" s="210">
        <v>74</v>
      </c>
      <c r="O272" s="210">
        <v>150</v>
      </c>
      <c r="P272" s="210">
        <v>160</v>
      </c>
      <c r="Q272" s="210">
        <v>170</v>
      </c>
    </row>
    <row r="273" spans="1:17" ht="45" x14ac:dyDescent="0.25">
      <c r="B273" s="551"/>
      <c r="C273" s="354" t="s">
        <v>4</v>
      </c>
      <c r="D273" s="99"/>
      <c r="E273" s="338" t="s">
        <v>285</v>
      </c>
      <c r="F273" s="226">
        <v>2173.3000000000002</v>
      </c>
      <c r="G273" s="226">
        <v>1431.2</v>
      </c>
      <c r="H273" s="226">
        <f>1431.2+166.2</f>
        <v>1597.4</v>
      </c>
      <c r="I273" s="226">
        <v>1528.1</v>
      </c>
      <c r="J273" s="226">
        <v>1528.1</v>
      </c>
      <c r="K273" s="338" t="s">
        <v>676</v>
      </c>
      <c r="L273" s="210" t="s">
        <v>893</v>
      </c>
      <c r="M273" s="209">
        <v>10</v>
      </c>
      <c r="N273" s="209">
        <v>8</v>
      </c>
      <c r="O273" s="209">
        <v>10</v>
      </c>
      <c r="P273" s="209">
        <v>12</v>
      </c>
      <c r="Q273" s="209">
        <v>14</v>
      </c>
    </row>
    <row r="274" spans="1:17" ht="28.5" x14ac:dyDescent="0.25">
      <c r="B274" s="355" t="s">
        <v>98</v>
      </c>
      <c r="C274" s="354"/>
      <c r="D274" s="99"/>
      <c r="E274" s="340" t="s">
        <v>286</v>
      </c>
      <c r="F274" s="228">
        <f>F275+F276</f>
        <v>6322</v>
      </c>
      <c r="G274" s="228">
        <f>G275+G276</f>
        <v>5226.6000000000004</v>
      </c>
      <c r="H274" s="228">
        <f>H275+H276</f>
        <v>5775.6</v>
      </c>
      <c r="I274" s="228">
        <f>I275+I276</f>
        <v>5327.9</v>
      </c>
      <c r="J274" s="228">
        <f>J275+J276</f>
        <v>5327.9</v>
      </c>
      <c r="K274" s="340" t="s">
        <v>677</v>
      </c>
      <c r="L274" s="210"/>
      <c r="M274" s="209"/>
      <c r="N274" s="212"/>
      <c r="O274" s="212"/>
      <c r="P274" s="212"/>
      <c r="Q274" s="212"/>
    </row>
    <row r="275" spans="1:17" ht="30" x14ac:dyDescent="0.25">
      <c r="B275" s="355"/>
      <c r="C275" s="354" t="s">
        <v>2</v>
      </c>
      <c r="D275" s="99"/>
      <c r="E275" s="338" t="s">
        <v>287</v>
      </c>
      <c r="F275" s="387">
        <v>4299</v>
      </c>
      <c r="G275" s="387">
        <v>3522.6</v>
      </c>
      <c r="H275" s="226">
        <f>3522.6+419.5</f>
        <v>3942.1</v>
      </c>
      <c r="I275" s="226">
        <v>3536</v>
      </c>
      <c r="J275" s="226">
        <v>3536</v>
      </c>
      <c r="K275" s="338" t="s">
        <v>678</v>
      </c>
      <c r="L275" s="210" t="s">
        <v>892</v>
      </c>
      <c r="M275" s="209" t="s">
        <v>99</v>
      </c>
      <c r="N275" s="209" t="s">
        <v>100</v>
      </c>
      <c r="O275" s="209" t="s">
        <v>128</v>
      </c>
      <c r="P275" s="209" t="s">
        <v>129</v>
      </c>
      <c r="Q275" s="209" t="s">
        <v>130</v>
      </c>
    </row>
    <row r="276" spans="1:17" ht="60" x14ac:dyDescent="0.25">
      <c r="B276" s="355"/>
      <c r="C276" s="354" t="s">
        <v>3</v>
      </c>
      <c r="D276" s="99"/>
      <c r="E276" s="338" t="s">
        <v>288</v>
      </c>
      <c r="F276" s="387">
        <v>2023</v>
      </c>
      <c r="G276" s="387">
        <v>1704</v>
      </c>
      <c r="H276" s="226">
        <f>1704+129.5</f>
        <v>1833.5</v>
      </c>
      <c r="I276" s="226">
        <v>1791.9</v>
      </c>
      <c r="J276" s="226">
        <v>1791.9</v>
      </c>
      <c r="K276" s="338" t="s">
        <v>679</v>
      </c>
      <c r="L276" s="210" t="s">
        <v>14</v>
      </c>
      <c r="M276" s="209">
        <v>100</v>
      </c>
      <c r="N276" s="209">
        <v>100</v>
      </c>
      <c r="O276" s="209">
        <v>100</v>
      </c>
      <c r="P276" s="209">
        <v>100</v>
      </c>
      <c r="Q276" s="209">
        <v>100</v>
      </c>
    </row>
    <row r="277" spans="1:17" ht="28.5" x14ac:dyDescent="0.25">
      <c r="B277" s="355" t="s">
        <v>101</v>
      </c>
      <c r="C277" s="354"/>
      <c r="D277" s="99"/>
      <c r="E277" s="340" t="s">
        <v>289</v>
      </c>
      <c r="F277" s="228">
        <f>F278+F279</f>
        <v>4346.6000000000004</v>
      </c>
      <c r="G277" s="228">
        <f>G278+G279</f>
        <v>3808.4</v>
      </c>
      <c r="H277" s="228">
        <f>H278+H279</f>
        <v>4230.6000000000004</v>
      </c>
      <c r="I277" s="228">
        <f>I278+I279</f>
        <v>3909.9</v>
      </c>
      <c r="J277" s="228">
        <f>J278+J279</f>
        <v>3909.9</v>
      </c>
      <c r="K277" s="340" t="s">
        <v>680</v>
      </c>
      <c r="L277" s="210"/>
      <c r="M277" s="209"/>
      <c r="N277" s="212"/>
      <c r="O277" s="212"/>
      <c r="P277" s="212"/>
      <c r="Q277" s="212"/>
    </row>
    <row r="278" spans="1:17" ht="30" x14ac:dyDescent="0.25">
      <c r="B278" s="355"/>
      <c r="C278" s="354" t="s">
        <v>2</v>
      </c>
      <c r="D278" s="99"/>
      <c r="E278" s="338" t="s">
        <v>1254</v>
      </c>
      <c r="F278" s="387">
        <v>2173.3000000000002</v>
      </c>
      <c r="G278" s="387">
        <v>1904.7</v>
      </c>
      <c r="H278" s="226">
        <f>1905.1+211.1</f>
        <v>2116.1999999999998</v>
      </c>
      <c r="I278" s="226">
        <v>1976.2</v>
      </c>
      <c r="J278" s="226">
        <v>1976.2</v>
      </c>
      <c r="K278" s="338" t="s">
        <v>681</v>
      </c>
      <c r="L278" s="210" t="s">
        <v>892</v>
      </c>
      <c r="M278" s="209" t="s">
        <v>94</v>
      </c>
      <c r="N278" s="209" t="s">
        <v>95</v>
      </c>
      <c r="O278" s="209" t="s">
        <v>122</v>
      </c>
      <c r="P278" s="209" t="s">
        <v>123</v>
      </c>
      <c r="Q278" s="209" t="s">
        <v>124</v>
      </c>
    </row>
    <row r="279" spans="1:17" ht="30" x14ac:dyDescent="0.25">
      <c r="B279" s="339"/>
      <c r="C279" s="341" t="s">
        <v>3</v>
      </c>
      <c r="D279" s="114"/>
      <c r="E279" s="338" t="s">
        <v>290</v>
      </c>
      <c r="F279" s="229">
        <v>2173.3000000000002</v>
      </c>
      <c r="G279" s="229">
        <v>1903.7</v>
      </c>
      <c r="H279" s="229">
        <f>1903.3+211.1</f>
        <v>2114.4</v>
      </c>
      <c r="I279" s="229">
        <v>1933.7</v>
      </c>
      <c r="J279" s="229">
        <v>1933.7</v>
      </c>
      <c r="K279" s="502" t="s">
        <v>682</v>
      </c>
      <c r="L279" s="211" t="s">
        <v>893</v>
      </c>
      <c r="M279" s="220">
        <v>149</v>
      </c>
      <c r="N279" s="220">
        <v>68</v>
      </c>
      <c r="O279" s="220">
        <v>200</v>
      </c>
      <c r="P279" s="220">
        <v>250</v>
      </c>
      <c r="Q279" s="220">
        <v>300</v>
      </c>
    </row>
    <row r="280" spans="1:17" x14ac:dyDescent="0.25">
      <c r="A280" s="2245" t="s">
        <v>291</v>
      </c>
      <c r="B280" s="2245"/>
      <c r="C280" s="2245"/>
      <c r="D280" s="2245"/>
      <c r="E280" s="2245"/>
      <c r="F280" s="8">
        <f>F265+F270+F274+F277</f>
        <v>39513.200000000004</v>
      </c>
      <c r="G280" s="8">
        <f>G265+G270+G274+G277</f>
        <v>30716.5</v>
      </c>
      <c r="H280" s="8">
        <f>H265+H270+H274+H277</f>
        <v>33716.5</v>
      </c>
      <c r="I280" s="8">
        <f>I265+I270+I274+I277</f>
        <v>30743.300000000003</v>
      </c>
      <c r="J280" s="8">
        <f>J265+J270+J274+J277</f>
        <v>30803.9</v>
      </c>
      <c r="K280" s="7"/>
      <c r="L280" s="2063"/>
      <c r="M280" s="2063"/>
      <c r="N280" s="2063"/>
      <c r="O280" s="2063"/>
      <c r="P280" s="2063"/>
      <c r="Q280" s="2063"/>
    </row>
    <row r="281" spans="1:17" ht="15" customHeight="1" x14ac:dyDescent="0.25">
      <c r="A281" s="1573" t="s">
        <v>292</v>
      </c>
      <c r="B281" s="1573"/>
      <c r="C281" s="1573"/>
      <c r="D281" s="1573"/>
      <c r="E281" s="1573"/>
      <c r="F281" s="1573"/>
      <c r="G281" s="1573"/>
      <c r="H281" s="1573"/>
      <c r="I281" s="1573"/>
      <c r="J281" s="1573"/>
      <c r="K281" s="1573"/>
      <c r="L281" s="1573"/>
      <c r="M281" s="1573"/>
      <c r="N281" s="1573"/>
      <c r="O281" s="1573"/>
      <c r="P281" s="1573"/>
      <c r="Q281" s="1573"/>
    </row>
    <row r="282" spans="1:17" ht="74.25" x14ac:dyDescent="0.25">
      <c r="B282" s="609">
        <v>1</v>
      </c>
      <c r="C282" s="41"/>
      <c r="D282" s="101"/>
      <c r="E282" s="582" t="s">
        <v>1175</v>
      </c>
      <c r="F282" s="357">
        <f>SUM(F283:F290)</f>
        <v>21740</v>
      </c>
      <c r="G282" s="357">
        <f t="shared" ref="G282" si="37">SUM(G283:G290)</f>
        <v>24341.699999999997</v>
      </c>
      <c r="H282" s="357">
        <f t="shared" ref="H282" si="38">SUM(H283:H290)</f>
        <v>41737.64</v>
      </c>
      <c r="I282" s="357">
        <f t="shared" ref="I282" si="39">SUM(I283:I290)</f>
        <v>41651.46</v>
      </c>
      <c r="J282" s="357">
        <f t="shared" ref="J282" si="40">SUM(J283:J290)</f>
        <v>41756.26</v>
      </c>
      <c r="K282" s="582" t="s">
        <v>655</v>
      </c>
      <c r="L282" s="584" t="s">
        <v>14</v>
      </c>
      <c r="M282" s="584"/>
      <c r="N282" s="584"/>
      <c r="O282" s="584"/>
      <c r="P282" s="584"/>
      <c r="Q282" s="584"/>
    </row>
    <row r="283" spans="1:17" x14ac:dyDescent="0.25">
      <c r="B283" s="609"/>
      <c r="C283" s="478">
        <v>1</v>
      </c>
      <c r="D283" s="724"/>
      <c r="E283" s="527" t="s">
        <v>205</v>
      </c>
      <c r="F283" s="453">
        <v>4066.2</v>
      </c>
      <c r="G283" s="69">
        <v>4656.1000000000004</v>
      </c>
      <c r="H283" s="102">
        <v>7377.32</v>
      </c>
      <c r="I283" s="729">
        <v>7291.14</v>
      </c>
      <c r="J283" s="729">
        <v>7291.14</v>
      </c>
      <c r="K283" s="589" t="s">
        <v>501</v>
      </c>
      <c r="L283" s="540" t="s">
        <v>15</v>
      </c>
      <c r="M283" s="540"/>
      <c r="N283" s="540"/>
      <c r="O283" s="540"/>
      <c r="P283" s="540"/>
      <c r="Q283" s="540"/>
    </row>
    <row r="284" spans="1:17" ht="30" x14ac:dyDescent="0.25">
      <c r="B284" s="609"/>
      <c r="C284" s="482">
        <v>2</v>
      </c>
      <c r="D284" s="724"/>
      <c r="E284" s="527" t="s">
        <v>206</v>
      </c>
      <c r="F284" s="453">
        <v>1350</v>
      </c>
      <c r="G284" s="69">
        <v>1510.3</v>
      </c>
      <c r="H284" s="729">
        <v>2539.7800000000002</v>
      </c>
      <c r="I284" s="729">
        <v>2539.7800000000002</v>
      </c>
      <c r="J284" s="729">
        <v>2539.7800000000002</v>
      </c>
      <c r="K284" s="589" t="s">
        <v>683</v>
      </c>
      <c r="L284" s="540" t="s">
        <v>14</v>
      </c>
      <c r="M284" s="540">
        <v>100</v>
      </c>
      <c r="N284" s="540">
        <v>100</v>
      </c>
      <c r="O284" s="540">
        <v>100</v>
      </c>
      <c r="P284" s="540">
        <v>100</v>
      </c>
      <c r="Q284" s="540">
        <v>100</v>
      </c>
    </row>
    <row r="285" spans="1:17" ht="30" x14ac:dyDescent="0.25">
      <c r="B285" s="609"/>
      <c r="C285" s="482">
        <v>3</v>
      </c>
      <c r="D285" s="724"/>
      <c r="E285" s="527" t="s">
        <v>142</v>
      </c>
      <c r="F285" s="453">
        <v>615</v>
      </c>
      <c r="G285" s="69">
        <v>815.7</v>
      </c>
      <c r="H285" s="729">
        <v>1221.74</v>
      </c>
      <c r="I285" s="729">
        <v>1221.74</v>
      </c>
      <c r="J285" s="729">
        <v>1221.74</v>
      </c>
      <c r="K285" s="589" t="s">
        <v>549</v>
      </c>
      <c r="L285" s="540" t="s">
        <v>14</v>
      </c>
      <c r="M285" s="540">
        <v>91.2</v>
      </c>
      <c r="N285" s="540">
        <v>92.2</v>
      </c>
      <c r="O285" s="540">
        <v>92.3</v>
      </c>
      <c r="P285" s="540">
        <v>93.1</v>
      </c>
      <c r="Q285" s="540">
        <v>93.2</v>
      </c>
    </row>
    <row r="286" spans="1:17" ht="30" x14ac:dyDescent="0.25">
      <c r="B286" s="609"/>
      <c r="C286" s="482">
        <v>4</v>
      </c>
      <c r="D286" s="724"/>
      <c r="E286" s="527" t="s">
        <v>143</v>
      </c>
      <c r="F286" s="453">
        <v>1149</v>
      </c>
      <c r="G286" s="596">
        <v>1349</v>
      </c>
      <c r="H286" s="729">
        <v>2270.63</v>
      </c>
      <c r="I286" s="729">
        <v>2270.63</v>
      </c>
      <c r="J286" s="729">
        <v>2270.63</v>
      </c>
      <c r="K286" s="589" t="s">
        <v>684</v>
      </c>
      <c r="L286" s="540" t="s">
        <v>895</v>
      </c>
      <c r="M286" s="540">
        <v>78.3</v>
      </c>
      <c r="N286" s="540">
        <v>78.400000000000006</v>
      </c>
      <c r="O286" s="540">
        <v>78.5</v>
      </c>
      <c r="P286" s="540">
        <v>78.599999999999994</v>
      </c>
      <c r="Q286" s="540">
        <v>79.099999999999994</v>
      </c>
    </row>
    <row r="287" spans="1:17" ht="30" x14ac:dyDescent="0.25">
      <c r="B287" s="609"/>
      <c r="C287" s="482">
        <v>5</v>
      </c>
      <c r="D287" s="724"/>
      <c r="E287" s="527" t="s">
        <v>207</v>
      </c>
      <c r="F287" s="453">
        <v>1187</v>
      </c>
      <c r="G287" s="69">
        <v>1337.3</v>
      </c>
      <c r="H287" s="729">
        <v>2242.39</v>
      </c>
      <c r="I287" s="729">
        <v>2242.39</v>
      </c>
      <c r="J287" s="729">
        <v>2242.39</v>
      </c>
      <c r="K287" s="589" t="s">
        <v>685</v>
      </c>
      <c r="L287" s="540" t="s">
        <v>896</v>
      </c>
      <c r="M287" s="540">
        <v>100</v>
      </c>
      <c r="N287" s="540">
        <v>100</v>
      </c>
      <c r="O287" s="540">
        <v>100</v>
      </c>
      <c r="P287" s="540">
        <v>100</v>
      </c>
      <c r="Q287" s="540">
        <v>100</v>
      </c>
    </row>
    <row r="288" spans="1:17" ht="45" x14ac:dyDescent="0.25">
      <c r="B288" s="609"/>
      <c r="C288" s="482">
        <v>6</v>
      </c>
      <c r="D288" s="724"/>
      <c r="E288" s="589" t="s">
        <v>293</v>
      </c>
      <c r="F288" s="453">
        <v>3020</v>
      </c>
      <c r="G288" s="69">
        <v>3719.7</v>
      </c>
      <c r="H288" s="102">
        <v>6539</v>
      </c>
      <c r="I288" s="729">
        <v>6539</v>
      </c>
      <c r="J288" s="729">
        <v>6539</v>
      </c>
      <c r="K288" s="589" t="s">
        <v>686</v>
      </c>
      <c r="L288" s="540" t="s">
        <v>14</v>
      </c>
      <c r="M288" s="540">
        <v>7.5</v>
      </c>
      <c r="N288" s="540">
        <v>8.5</v>
      </c>
      <c r="O288" s="540">
        <v>8.9</v>
      </c>
      <c r="P288" s="540">
        <v>9.5</v>
      </c>
      <c r="Q288" s="540">
        <v>9.9</v>
      </c>
    </row>
    <row r="289" spans="1:17" ht="45" x14ac:dyDescent="0.25">
      <c r="B289" s="609"/>
      <c r="C289" s="482">
        <v>7</v>
      </c>
      <c r="D289" s="724"/>
      <c r="E289" s="589" t="s">
        <v>294</v>
      </c>
      <c r="F289" s="453">
        <v>3131</v>
      </c>
      <c r="G289" s="69">
        <v>3731.8</v>
      </c>
      <c r="H289" s="102">
        <v>6707.4</v>
      </c>
      <c r="I289" s="729">
        <v>6707.4</v>
      </c>
      <c r="J289" s="729">
        <v>6707.4</v>
      </c>
      <c r="K289" s="103" t="s">
        <v>687</v>
      </c>
      <c r="L289" s="540">
        <v>98.9</v>
      </c>
      <c r="M289" s="540">
        <v>99.9</v>
      </c>
      <c r="N289" s="540">
        <v>100</v>
      </c>
      <c r="O289" s="540">
        <v>100</v>
      </c>
      <c r="P289" s="540">
        <v>100</v>
      </c>
      <c r="Q289" s="540">
        <v>100</v>
      </c>
    </row>
    <row r="290" spans="1:17" ht="45" x14ac:dyDescent="0.25">
      <c r="B290" s="609"/>
      <c r="C290" s="482">
        <v>8</v>
      </c>
      <c r="D290" s="724"/>
      <c r="E290" s="589" t="s">
        <v>295</v>
      </c>
      <c r="F290" s="453">
        <v>7221.8</v>
      </c>
      <c r="G290" s="69">
        <v>7221.8</v>
      </c>
      <c r="H290" s="102">
        <v>12839.38</v>
      </c>
      <c r="I290" s="729">
        <v>12839.38</v>
      </c>
      <c r="J290" s="729">
        <v>12944.18</v>
      </c>
      <c r="K290" s="589" t="s">
        <v>688</v>
      </c>
      <c r="L290" s="540">
        <v>89.2</v>
      </c>
      <c r="M290" s="540">
        <v>89.9</v>
      </c>
      <c r="N290" s="540">
        <v>90</v>
      </c>
      <c r="O290" s="540">
        <v>90.1</v>
      </c>
      <c r="P290" s="540">
        <v>90.6</v>
      </c>
      <c r="Q290" s="540">
        <v>90.7</v>
      </c>
    </row>
    <row r="291" spans="1:17" ht="101.25" x14ac:dyDescent="0.25">
      <c r="B291" s="358" t="s">
        <v>91</v>
      </c>
      <c r="C291" s="767"/>
      <c r="D291" s="104"/>
      <c r="E291" s="582" t="s">
        <v>296</v>
      </c>
      <c r="F291" s="203">
        <f>SUM(F292:F297)</f>
        <v>5762</v>
      </c>
      <c r="G291" s="203">
        <f t="shared" ref="G291" si="41">SUM(G292:G297)</f>
        <v>7262</v>
      </c>
      <c r="H291" s="203">
        <f t="shared" ref="H291" si="42">SUM(H292:H297)</f>
        <v>12104.460000000001</v>
      </c>
      <c r="I291" s="203">
        <f t="shared" ref="I291" si="43">SUM(I292:I297)</f>
        <v>12104.460000000001</v>
      </c>
      <c r="J291" s="203">
        <f t="shared" ref="J291" si="44">SUM(J292:J297)</f>
        <v>12104.460000000001</v>
      </c>
      <c r="K291" s="589" t="s">
        <v>689</v>
      </c>
      <c r="L291" s="540">
        <v>88.5</v>
      </c>
      <c r="M291" s="562">
        <v>88.6</v>
      </c>
      <c r="N291" s="92">
        <v>90.1</v>
      </c>
      <c r="O291" s="92">
        <v>90.5</v>
      </c>
      <c r="P291" s="92">
        <v>90.9</v>
      </c>
      <c r="Q291" s="92">
        <v>100</v>
      </c>
    </row>
    <row r="292" spans="1:17" ht="30" x14ac:dyDescent="0.25">
      <c r="B292" s="358"/>
      <c r="C292" s="478">
        <v>1</v>
      </c>
      <c r="D292" s="104"/>
      <c r="E292" s="589" t="s">
        <v>92</v>
      </c>
      <c r="F292" s="453">
        <v>947</v>
      </c>
      <c r="G292" s="613">
        <v>1269</v>
      </c>
      <c r="H292" s="105">
        <v>2122.88</v>
      </c>
      <c r="I292" s="547">
        <v>2122.88</v>
      </c>
      <c r="J292" s="547">
        <v>2122.88</v>
      </c>
      <c r="K292" s="589" t="s">
        <v>690</v>
      </c>
      <c r="L292" s="540">
        <v>90</v>
      </c>
      <c r="M292" s="562">
        <v>91.2</v>
      </c>
      <c r="N292" s="106">
        <v>92</v>
      </c>
      <c r="O292" s="106">
        <v>93</v>
      </c>
      <c r="P292" s="106">
        <v>95</v>
      </c>
      <c r="Q292" s="106">
        <v>96</v>
      </c>
    </row>
    <row r="293" spans="1:17" ht="60" x14ac:dyDescent="0.25">
      <c r="B293" s="358"/>
      <c r="C293" s="482">
        <v>2</v>
      </c>
      <c r="D293" s="104"/>
      <c r="E293" s="589" t="s">
        <v>297</v>
      </c>
      <c r="F293" s="453">
        <v>1260.2</v>
      </c>
      <c r="G293" s="613">
        <v>1498.4</v>
      </c>
      <c r="H293" s="105">
        <v>2449.66</v>
      </c>
      <c r="I293" s="547">
        <v>2449.66</v>
      </c>
      <c r="J293" s="547">
        <v>2449.66</v>
      </c>
      <c r="K293" s="589" t="s">
        <v>691</v>
      </c>
      <c r="L293" s="540">
        <v>50.6</v>
      </c>
      <c r="M293" s="562">
        <v>50.7</v>
      </c>
      <c r="N293" s="106">
        <v>50.8</v>
      </c>
      <c r="O293" s="106">
        <v>50.9</v>
      </c>
      <c r="P293" s="106">
        <v>61.2</v>
      </c>
      <c r="Q293" s="729">
        <v>61.3</v>
      </c>
    </row>
    <row r="294" spans="1:17" ht="45" x14ac:dyDescent="0.25">
      <c r="B294" s="358"/>
      <c r="C294" s="482">
        <v>3</v>
      </c>
      <c r="D294" s="104"/>
      <c r="E294" s="589" t="s">
        <v>298</v>
      </c>
      <c r="F294" s="453">
        <v>1208.8</v>
      </c>
      <c r="G294" s="613">
        <v>2373.8000000000002</v>
      </c>
      <c r="H294" s="105">
        <v>2493.16</v>
      </c>
      <c r="I294" s="547">
        <v>2493.16</v>
      </c>
      <c r="J294" s="547">
        <v>2493.16</v>
      </c>
      <c r="K294" s="589" t="s">
        <v>692</v>
      </c>
      <c r="L294" s="540">
        <v>62.3</v>
      </c>
      <c r="M294" s="562">
        <v>64.7</v>
      </c>
      <c r="N294" s="106">
        <v>64.900000000000006</v>
      </c>
      <c r="O294" s="106">
        <v>65</v>
      </c>
      <c r="P294" s="106">
        <v>65.599999999999994</v>
      </c>
      <c r="Q294" s="106">
        <v>65.900000000000006</v>
      </c>
    </row>
    <row r="295" spans="1:17" ht="60" x14ac:dyDescent="0.25">
      <c r="B295" s="358"/>
      <c r="C295" s="482">
        <v>4</v>
      </c>
      <c r="D295" s="104"/>
      <c r="E295" s="589" t="s">
        <v>299</v>
      </c>
      <c r="F295" s="453">
        <v>823.4</v>
      </c>
      <c r="G295" s="69">
        <v>1061.9000000000001</v>
      </c>
      <c r="H295" s="102">
        <v>1636.14</v>
      </c>
      <c r="I295" s="729">
        <v>1636.14</v>
      </c>
      <c r="J295" s="729">
        <v>1636.14</v>
      </c>
      <c r="K295" s="589" t="s">
        <v>693</v>
      </c>
      <c r="L295" s="540">
        <v>48.6</v>
      </c>
      <c r="M295" s="562">
        <v>50.8</v>
      </c>
      <c r="N295" s="93">
        <v>52</v>
      </c>
      <c r="O295" s="93">
        <v>54.8</v>
      </c>
      <c r="P295" s="93">
        <v>55.2</v>
      </c>
      <c r="Q295" s="93">
        <v>59.5</v>
      </c>
    </row>
    <row r="296" spans="1:17" ht="45" x14ac:dyDescent="0.25">
      <c r="B296" s="358"/>
      <c r="C296" s="482">
        <v>5</v>
      </c>
      <c r="D296" s="104"/>
      <c r="E296" s="589" t="s">
        <v>300</v>
      </c>
      <c r="F296" s="453">
        <v>964</v>
      </c>
      <c r="G296" s="547">
        <f>1139.2-80.3</f>
        <v>1058.9000000000001</v>
      </c>
      <c r="H296" s="105">
        <v>2137.88</v>
      </c>
      <c r="I296" s="547">
        <v>2137.88</v>
      </c>
      <c r="J296" s="547">
        <v>2137.88</v>
      </c>
      <c r="K296" s="589" t="s">
        <v>694</v>
      </c>
      <c r="L296" s="540">
        <v>50.8</v>
      </c>
      <c r="M296" s="562">
        <v>51.2</v>
      </c>
      <c r="N296" s="106">
        <v>52.4</v>
      </c>
      <c r="O296" s="106">
        <v>53.7</v>
      </c>
      <c r="P296" s="106">
        <v>54.8</v>
      </c>
      <c r="Q296" s="106">
        <v>54.9</v>
      </c>
    </row>
    <row r="297" spans="1:17" ht="30.75" thickBot="1" x14ac:dyDescent="0.3">
      <c r="B297" s="358"/>
      <c r="C297" s="482">
        <v>6</v>
      </c>
      <c r="D297" s="104"/>
      <c r="E297" s="589" t="s">
        <v>301</v>
      </c>
      <c r="F297" s="453">
        <v>558.6</v>
      </c>
      <c r="G297" s="547">
        <v>0</v>
      </c>
      <c r="H297" s="105">
        <v>1264.74</v>
      </c>
      <c r="I297" s="547">
        <v>1264.74</v>
      </c>
      <c r="J297" s="547">
        <v>1264.74</v>
      </c>
      <c r="K297" s="589" t="s">
        <v>695</v>
      </c>
      <c r="L297" s="540">
        <v>100</v>
      </c>
      <c r="M297" s="562">
        <v>100</v>
      </c>
      <c r="N297" s="107">
        <v>100</v>
      </c>
      <c r="O297" s="107">
        <v>100</v>
      </c>
      <c r="P297" s="107">
        <v>100</v>
      </c>
      <c r="Q297" s="107">
        <v>100</v>
      </c>
    </row>
    <row r="298" spans="1:17" ht="15.75" hidden="1" thickBot="1" x14ac:dyDescent="0.3">
      <c r="B298" s="439"/>
      <c r="C298" s="655"/>
      <c r="D298" s="104"/>
      <c r="E298" s="589"/>
      <c r="F298" s="203"/>
      <c r="G298" s="564"/>
      <c r="H298" s="564"/>
      <c r="I298" s="541"/>
      <c r="J298" s="541"/>
      <c r="K298" s="589"/>
      <c r="L298" s="540"/>
      <c r="M298" s="562"/>
      <c r="N298" s="106"/>
      <c r="O298" s="106"/>
      <c r="P298" s="106"/>
      <c r="Q298" s="106"/>
    </row>
    <row r="299" spans="1:17" x14ac:dyDescent="0.25">
      <c r="A299" s="745" t="s">
        <v>93</v>
      </c>
      <c r="B299" s="437" t="s">
        <v>164</v>
      </c>
      <c r="C299" s="437"/>
      <c r="D299" s="437"/>
      <c r="E299" s="575"/>
      <c r="F299" s="199">
        <f t="shared" ref="F299:J299" si="45">F282+F291</f>
        <v>27502</v>
      </c>
      <c r="G299" s="199">
        <f t="shared" si="45"/>
        <v>31603.699999999997</v>
      </c>
      <c r="H299" s="199">
        <f t="shared" si="45"/>
        <v>53842.1</v>
      </c>
      <c r="I299" s="199">
        <f t="shared" si="45"/>
        <v>53755.92</v>
      </c>
      <c r="J299" s="199">
        <f t="shared" si="45"/>
        <v>53860.72</v>
      </c>
      <c r="K299" s="853"/>
      <c r="L299" s="2179"/>
      <c r="M299" s="2179"/>
      <c r="N299" s="2179"/>
      <c r="O299" s="2179"/>
      <c r="P299" s="2179"/>
      <c r="Q299" s="2180"/>
    </row>
    <row r="300" spans="1:17" x14ac:dyDescent="0.25">
      <c r="A300" s="2166" t="s">
        <v>302</v>
      </c>
      <c r="B300" s="2166"/>
      <c r="C300" s="2166"/>
      <c r="D300" s="2166"/>
      <c r="E300" s="2166"/>
      <c r="F300" s="2166"/>
      <c r="G300" s="2166"/>
      <c r="H300" s="2166"/>
      <c r="I300" s="2166"/>
      <c r="J300" s="2166"/>
      <c r="K300" s="2166"/>
      <c r="L300" s="2166"/>
      <c r="M300" s="2166"/>
      <c r="N300" s="2166"/>
      <c r="O300" s="2166"/>
      <c r="P300" s="2166"/>
      <c r="Q300" s="2166"/>
    </row>
    <row r="301" spans="1:17" s="295" customFormat="1" ht="81" customHeight="1" x14ac:dyDescent="0.25">
      <c r="B301" s="468">
        <v>1</v>
      </c>
      <c r="C301" s="445"/>
      <c r="D301" s="446"/>
      <c r="E301" s="653" t="s">
        <v>303</v>
      </c>
      <c r="F301" s="117">
        <f>SUM(F302:F311)</f>
        <v>41492.9</v>
      </c>
      <c r="G301" s="117">
        <f>SUM(G302:G311)</f>
        <v>55348.100000000006</v>
      </c>
      <c r="H301" s="117">
        <f>H312</f>
        <v>91201.9</v>
      </c>
      <c r="I301" s="117">
        <f>I312</f>
        <v>75673.899999999994</v>
      </c>
      <c r="J301" s="117">
        <f>J312</f>
        <v>75746.100000000006</v>
      </c>
      <c r="K301" s="653" t="s">
        <v>655</v>
      </c>
      <c r="L301" s="604" t="s">
        <v>14</v>
      </c>
      <c r="M301" s="604"/>
      <c r="N301" s="604"/>
      <c r="O301" s="604"/>
      <c r="P301" s="604"/>
      <c r="Q301" s="604"/>
    </row>
    <row r="302" spans="1:17" s="295" customFormat="1" x14ac:dyDescent="0.25">
      <c r="B302" s="469"/>
      <c r="C302" s="624">
        <v>1</v>
      </c>
      <c r="D302" s="470"/>
      <c r="E302" s="527" t="s">
        <v>239</v>
      </c>
      <c r="F302" s="443">
        <v>26615.8</v>
      </c>
      <c r="G302" s="311">
        <v>9951.2000000000007</v>
      </c>
      <c r="H302" s="443"/>
      <c r="I302" s="443"/>
      <c r="J302" s="443"/>
      <c r="K302" s="589" t="s">
        <v>696</v>
      </c>
      <c r="L302" s="511" t="s">
        <v>15</v>
      </c>
      <c r="M302" s="511">
        <v>100</v>
      </c>
      <c r="N302" s="511">
        <v>100</v>
      </c>
      <c r="O302" s="511">
        <v>100</v>
      </c>
      <c r="P302" s="511">
        <v>100</v>
      </c>
      <c r="Q302" s="511">
        <v>100</v>
      </c>
    </row>
    <row r="303" spans="1:17" s="295" customFormat="1" ht="33.75" customHeight="1" x14ac:dyDescent="0.25">
      <c r="B303" s="469"/>
      <c r="C303" s="423">
        <v>2</v>
      </c>
      <c r="D303" s="436"/>
      <c r="E303" s="527" t="s">
        <v>304</v>
      </c>
      <c r="F303" s="443">
        <v>2750.8</v>
      </c>
      <c r="G303" s="311">
        <v>6586.6</v>
      </c>
      <c r="H303" s="443"/>
      <c r="I303" s="443"/>
      <c r="J303" s="443"/>
      <c r="K303" s="589" t="s">
        <v>697</v>
      </c>
      <c r="L303" s="511" t="s">
        <v>14</v>
      </c>
      <c r="M303" s="511">
        <v>100</v>
      </c>
      <c r="N303" s="511">
        <v>100</v>
      </c>
      <c r="O303" s="511">
        <v>100</v>
      </c>
      <c r="P303" s="511">
        <v>100</v>
      </c>
      <c r="Q303" s="511">
        <v>100</v>
      </c>
    </row>
    <row r="304" spans="1:17" s="295" customFormat="1" ht="30" x14ac:dyDescent="0.25">
      <c r="B304" s="2233"/>
      <c r="C304" s="2171">
        <v>3</v>
      </c>
      <c r="D304" s="2176"/>
      <c r="E304" s="2051" t="s">
        <v>305</v>
      </c>
      <c r="F304" s="2135">
        <v>3921.3</v>
      </c>
      <c r="G304" s="2142">
        <v>3856.9</v>
      </c>
      <c r="H304" s="2135"/>
      <c r="I304" s="2135"/>
      <c r="J304" s="2135"/>
      <c r="K304" s="589" t="s">
        <v>698</v>
      </c>
      <c r="L304" s="511" t="s">
        <v>14</v>
      </c>
      <c r="M304" s="511">
        <v>55</v>
      </c>
      <c r="N304" s="511">
        <v>79</v>
      </c>
      <c r="O304" s="511">
        <v>77</v>
      </c>
      <c r="P304" s="511">
        <v>75</v>
      </c>
      <c r="Q304" s="511">
        <v>75</v>
      </c>
    </row>
    <row r="305" spans="2:17" s="295" customFormat="1" ht="30" x14ac:dyDescent="0.25">
      <c r="B305" s="1732"/>
      <c r="C305" s="1734"/>
      <c r="D305" s="1740"/>
      <c r="E305" s="2051"/>
      <c r="F305" s="1789"/>
      <c r="G305" s="2125"/>
      <c r="H305" s="1789"/>
      <c r="I305" s="1789"/>
      <c r="J305" s="1789"/>
      <c r="K305" s="589" t="s">
        <v>699</v>
      </c>
      <c r="L305" s="511" t="s">
        <v>14</v>
      </c>
      <c r="M305" s="511" t="s">
        <v>60</v>
      </c>
      <c r="N305" s="511">
        <v>10</v>
      </c>
      <c r="O305" s="511">
        <v>15</v>
      </c>
      <c r="P305" s="511">
        <v>20</v>
      </c>
      <c r="Q305" s="511">
        <v>22</v>
      </c>
    </row>
    <row r="306" spans="2:17" s="295" customFormat="1" ht="51" customHeight="1" x14ac:dyDescent="0.25">
      <c r="B306" s="2233"/>
      <c r="C306" s="2171">
        <v>4</v>
      </c>
      <c r="D306" s="2176"/>
      <c r="E306" s="2051" t="s">
        <v>306</v>
      </c>
      <c r="F306" s="2136">
        <v>1801.9</v>
      </c>
      <c r="G306" s="2142">
        <v>7352.8</v>
      </c>
      <c r="H306" s="2135"/>
      <c r="I306" s="2135"/>
      <c r="J306" s="2135"/>
      <c r="K306" s="589" t="s">
        <v>700</v>
      </c>
      <c r="L306" s="511" t="s">
        <v>16</v>
      </c>
      <c r="M306" s="511">
        <v>480</v>
      </c>
      <c r="N306" s="511">
        <v>490</v>
      </c>
      <c r="O306" s="511">
        <v>490</v>
      </c>
      <c r="P306" s="511">
        <v>490</v>
      </c>
      <c r="Q306" s="511">
        <v>490</v>
      </c>
    </row>
    <row r="307" spans="2:17" s="295" customFormat="1" ht="105" x14ac:dyDescent="0.25">
      <c r="B307" s="1819"/>
      <c r="C307" s="1820"/>
      <c r="D307" s="1821"/>
      <c r="E307" s="2051"/>
      <c r="F307" s="1610"/>
      <c r="G307" s="2124"/>
      <c r="H307" s="1791"/>
      <c r="I307" s="1791"/>
      <c r="J307" s="1791"/>
      <c r="K307" s="589" t="s">
        <v>701</v>
      </c>
      <c r="L307" s="511" t="s">
        <v>897</v>
      </c>
      <c r="M307" s="511">
        <v>6</v>
      </c>
      <c r="N307" s="511">
        <v>6</v>
      </c>
      <c r="O307" s="511">
        <v>6</v>
      </c>
      <c r="P307" s="511">
        <v>6</v>
      </c>
      <c r="Q307" s="511">
        <v>6</v>
      </c>
    </row>
    <row r="308" spans="2:17" s="295" customFormat="1" ht="90" x14ac:dyDescent="0.25">
      <c r="B308" s="1819"/>
      <c r="C308" s="1820"/>
      <c r="D308" s="1821"/>
      <c r="E308" s="2051"/>
      <c r="F308" s="1610"/>
      <c r="G308" s="2124"/>
      <c r="H308" s="1791"/>
      <c r="I308" s="1791"/>
      <c r="J308" s="1791"/>
      <c r="K308" s="589" t="s">
        <v>702</v>
      </c>
      <c r="L308" s="511" t="s">
        <v>897</v>
      </c>
      <c r="M308" s="511" t="s">
        <v>60</v>
      </c>
      <c r="N308" s="511">
        <v>1</v>
      </c>
      <c r="O308" s="511" t="s">
        <v>60</v>
      </c>
      <c r="P308" s="511">
        <v>1</v>
      </c>
      <c r="Q308" s="511" t="s">
        <v>60</v>
      </c>
    </row>
    <row r="309" spans="2:17" s="295" customFormat="1" ht="45" x14ac:dyDescent="0.25">
      <c r="B309" s="1732"/>
      <c r="C309" s="1734"/>
      <c r="D309" s="1740"/>
      <c r="E309" s="2051"/>
      <c r="F309" s="1600"/>
      <c r="G309" s="2125"/>
      <c r="H309" s="1789"/>
      <c r="I309" s="1789"/>
      <c r="J309" s="1789"/>
      <c r="K309" s="589" t="s">
        <v>703</v>
      </c>
      <c r="L309" s="511" t="s">
        <v>897</v>
      </c>
      <c r="M309" s="511">
        <v>1854</v>
      </c>
      <c r="N309" s="511">
        <v>1500</v>
      </c>
      <c r="O309" s="511">
        <f>AVERAGE(M309:N309)</f>
        <v>1677</v>
      </c>
      <c r="P309" s="511">
        <v>1677</v>
      </c>
      <c r="Q309" s="511">
        <v>1677</v>
      </c>
    </row>
    <row r="310" spans="2:17" s="295" customFormat="1" ht="68.25" customHeight="1" x14ac:dyDescent="0.25">
      <c r="B310" s="469"/>
      <c r="C310" s="424">
        <v>5</v>
      </c>
      <c r="D310" s="422"/>
      <c r="E310" s="589" t="s">
        <v>307</v>
      </c>
      <c r="F310" s="443">
        <v>6403.1</v>
      </c>
      <c r="G310" s="311">
        <v>4836.8</v>
      </c>
      <c r="H310" s="443"/>
      <c r="I310" s="443"/>
      <c r="J310" s="443"/>
      <c r="K310" s="589" t="s">
        <v>704</v>
      </c>
      <c r="L310" s="511" t="s">
        <v>14</v>
      </c>
      <c r="M310" s="511">
        <v>21</v>
      </c>
      <c r="N310" s="511">
        <v>21</v>
      </c>
      <c r="O310" s="511">
        <v>21</v>
      </c>
      <c r="P310" s="511">
        <v>21</v>
      </c>
      <c r="Q310" s="511">
        <v>21</v>
      </c>
    </row>
    <row r="311" spans="2:17" s="472" customFormat="1" x14ac:dyDescent="0.25">
      <c r="B311" s="471"/>
      <c r="C311" s="637">
        <v>6</v>
      </c>
      <c r="D311" s="445"/>
      <c r="E311" s="565" t="s">
        <v>308</v>
      </c>
      <c r="F311" s="443"/>
      <c r="G311" s="200">
        <v>22763.8</v>
      </c>
      <c r="H311" s="443"/>
      <c r="I311" s="443"/>
      <c r="J311" s="443"/>
      <c r="K311" s="565" t="s">
        <v>705</v>
      </c>
      <c r="L311" s="512" t="s">
        <v>14</v>
      </c>
      <c r="M311" s="512">
        <v>100</v>
      </c>
      <c r="N311" s="512">
        <v>100</v>
      </c>
      <c r="O311" s="512">
        <v>100</v>
      </c>
      <c r="P311" s="512">
        <v>100</v>
      </c>
      <c r="Q311" s="512">
        <v>100</v>
      </c>
    </row>
    <row r="312" spans="2:17" s="472" customFormat="1" ht="83.25" customHeight="1" x14ac:dyDescent="0.25">
      <c r="B312" s="471"/>
      <c r="C312" s="637">
        <v>165</v>
      </c>
      <c r="D312" s="445"/>
      <c r="E312" s="565" t="s">
        <v>309</v>
      </c>
      <c r="F312" s="443"/>
      <c r="G312" s="443"/>
      <c r="H312" s="443">
        <f>69701.9+21500</f>
        <v>91201.9</v>
      </c>
      <c r="I312" s="443">
        <v>75673.899999999994</v>
      </c>
      <c r="J312" s="443">
        <v>75746.100000000006</v>
      </c>
      <c r="K312" s="565" t="s">
        <v>706</v>
      </c>
      <c r="L312" s="512" t="s">
        <v>897</v>
      </c>
      <c r="M312" s="512">
        <v>150</v>
      </c>
      <c r="N312" s="512">
        <v>165</v>
      </c>
      <c r="O312" s="512">
        <v>140</v>
      </c>
      <c r="P312" s="512">
        <v>150</v>
      </c>
      <c r="Q312" s="512">
        <v>120</v>
      </c>
    </row>
    <row r="313" spans="2:17" s="295" customFormat="1" ht="102.75" customHeight="1" x14ac:dyDescent="0.25">
      <c r="B313" s="471">
        <v>2</v>
      </c>
      <c r="C313" s="473"/>
      <c r="D313" s="445"/>
      <c r="E313" s="653" t="s">
        <v>1255</v>
      </c>
      <c r="F313" s="448"/>
      <c r="G313" s="448"/>
      <c r="H313" s="448">
        <f>H314</f>
        <v>79362.399999999994</v>
      </c>
      <c r="I313" s="448">
        <f>I314</f>
        <v>68430.7</v>
      </c>
      <c r="J313" s="448">
        <f>J314</f>
        <v>68499.100000000006</v>
      </c>
      <c r="K313" s="449"/>
      <c r="L313" s="512"/>
      <c r="M313" s="119"/>
      <c r="N313" s="119"/>
      <c r="O313" s="119"/>
      <c r="P313" s="119"/>
      <c r="Q313" s="119"/>
    </row>
    <row r="314" spans="2:17" s="295" customFormat="1" ht="75" x14ac:dyDescent="0.25">
      <c r="B314" s="471"/>
      <c r="C314" s="637">
        <v>1</v>
      </c>
      <c r="D314" s="445"/>
      <c r="E314" s="589" t="s">
        <v>310</v>
      </c>
      <c r="F314" s="538"/>
      <c r="G314" s="538"/>
      <c r="H314" s="538">
        <f>68362.4+11000</f>
        <v>79362.399999999994</v>
      </c>
      <c r="I314" s="538">
        <v>68430.7</v>
      </c>
      <c r="J314" s="538">
        <v>68499.100000000006</v>
      </c>
      <c r="K314" s="565" t="s">
        <v>707</v>
      </c>
      <c r="L314" s="512" t="s">
        <v>897</v>
      </c>
      <c r="M314" s="512">
        <v>5300</v>
      </c>
      <c r="N314" s="512">
        <v>5100</v>
      </c>
      <c r="O314" s="512">
        <v>5500</v>
      </c>
      <c r="P314" s="512">
        <v>5600</v>
      </c>
      <c r="Q314" s="512">
        <v>5800</v>
      </c>
    </row>
    <row r="315" spans="2:17" s="295" customFormat="1" ht="102" x14ac:dyDescent="0.25">
      <c r="B315" s="471">
        <v>3</v>
      </c>
      <c r="C315" s="473"/>
      <c r="D315" s="445"/>
      <c r="E315" s="157" t="s">
        <v>1176</v>
      </c>
      <c r="F315" s="448">
        <f>SUM(F316:F318)</f>
        <v>21734</v>
      </c>
      <c r="G315" s="448">
        <f>SUM(G316:G318)</f>
        <v>40158.9</v>
      </c>
      <c r="H315" s="448"/>
      <c r="I315" s="448"/>
      <c r="J315" s="448"/>
      <c r="K315" s="653" t="s">
        <v>708</v>
      </c>
      <c r="L315" s="512"/>
      <c r="M315" s="119"/>
      <c r="N315" s="119"/>
      <c r="O315" s="119"/>
      <c r="P315" s="119"/>
      <c r="Q315" s="119"/>
    </row>
    <row r="316" spans="2:17" s="295" customFormat="1" ht="60" x14ac:dyDescent="0.25">
      <c r="B316" s="471"/>
      <c r="C316" s="637">
        <v>1</v>
      </c>
      <c r="D316" s="445"/>
      <c r="E316" s="576" t="s">
        <v>311</v>
      </c>
      <c r="F316" s="443">
        <v>10537.1</v>
      </c>
      <c r="G316" s="311">
        <v>15899.1</v>
      </c>
      <c r="H316" s="443"/>
      <c r="I316" s="443"/>
      <c r="J316" s="443"/>
      <c r="K316" s="565" t="s">
        <v>709</v>
      </c>
      <c r="L316" s="512" t="s">
        <v>897</v>
      </c>
      <c r="M316" s="512"/>
      <c r="N316" s="512"/>
      <c r="O316" s="512"/>
      <c r="P316" s="512"/>
      <c r="Q316" s="512"/>
    </row>
    <row r="317" spans="2:17" s="295" customFormat="1" ht="60" x14ac:dyDescent="0.25">
      <c r="B317" s="471"/>
      <c r="C317" s="637">
        <v>2</v>
      </c>
      <c r="D317" s="445"/>
      <c r="E317" s="576" t="s">
        <v>312</v>
      </c>
      <c r="F317" s="443">
        <v>9101.1</v>
      </c>
      <c r="G317" s="596">
        <v>14873.4</v>
      </c>
      <c r="H317" s="443"/>
      <c r="I317" s="443"/>
      <c r="J317" s="443"/>
      <c r="K317" s="565" t="s">
        <v>709</v>
      </c>
      <c r="L317" s="512" t="s">
        <v>897</v>
      </c>
      <c r="M317" s="512"/>
      <c r="N317" s="512"/>
      <c r="O317" s="512"/>
      <c r="P317" s="512"/>
      <c r="Q317" s="512"/>
    </row>
    <row r="318" spans="2:17" s="295" customFormat="1" ht="63" customHeight="1" x14ac:dyDescent="0.25">
      <c r="B318" s="471"/>
      <c r="C318" s="637">
        <v>3</v>
      </c>
      <c r="D318" s="445"/>
      <c r="E318" s="576" t="s">
        <v>313</v>
      </c>
      <c r="F318" s="2135">
        <v>2095.8000000000002</v>
      </c>
      <c r="G318" s="2142">
        <v>9386.4</v>
      </c>
      <c r="H318" s="2135"/>
      <c r="I318" s="1788"/>
      <c r="J318" s="2135"/>
      <c r="K318" s="565" t="s">
        <v>710</v>
      </c>
      <c r="L318" s="512" t="s">
        <v>897</v>
      </c>
      <c r="M318" s="512">
        <v>8395</v>
      </c>
      <c r="N318" s="512">
        <v>10670</v>
      </c>
      <c r="O318" s="512">
        <v>10670</v>
      </c>
      <c r="P318" s="512">
        <v>10670</v>
      </c>
      <c r="Q318" s="512">
        <v>10670</v>
      </c>
    </row>
    <row r="319" spans="2:17" s="295" customFormat="1" ht="45" x14ac:dyDescent="0.25">
      <c r="B319" s="471"/>
      <c r="C319" s="637">
        <v>4</v>
      </c>
      <c r="D319" s="445"/>
      <c r="E319" s="565" t="s">
        <v>314</v>
      </c>
      <c r="F319" s="1789"/>
      <c r="G319" s="2125"/>
      <c r="H319" s="1789"/>
      <c r="I319" s="1789"/>
      <c r="J319" s="1789"/>
      <c r="K319" s="565" t="s">
        <v>711</v>
      </c>
      <c r="L319" s="512" t="s">
        <v>897</v>
      </c>
      <c r="M319" s="512">
        <v>8643</v>
      </c>
      <c r="N319" s="512">
        <v>12643</v>
      </c>
      <c r="O319" s="512">
        <v>12643</v>
      </c>
      <c r="P319" s="512">
        <v>12643</v>
      </c>
      <c r="Q319" s="512">
        <v>12643</v>
      </c>
    </row>
    <row r="320" spans="2:17" s="295" customFormat="1" ht="72.75" x14ac:dyDescent="0.25">
      <c r="B320" s="471"/>
      <c r="C320" s="473"/>
      <c r="D320" s="473"/>
      <c r="E320" s="653" t="s">
        <v>1256</v>
      </c>
      <c r="F320" s="448">
        <f>SUM(F321:F323)</f>
        <v>77636.5</v>
      </c>
      <c r="G320" s="448">
        <f>SUM(G321:G323)</f>
        <v>55290.6</v>
      </c>
      <c r="H320" s="448"/>
      <c r="I320" s="448"/>
      <c r="J320" s="448"/>
      <c r="K320" s="653" t="s">
        <v>712</v>
      </c>
      <c r="L320" s="512"/>
      <c r="M320" s="512"/>
      <c r="N320" s="119"/>
      <c r="O320" s="119"/>
      <c r="P320" s="119"/>
      <c r="Q320" s="119"/>
    </row>
    <row r="321" spans="2:17" s="295" customFormat="1" ht="31.5" customHeight="1" x14ac:dyDescent="0.25">
      <c r="B321" s="2172"/>
      <c r="C321" s="2143">
        <v>1</v>
      </c>
      <c r="D321" s="2234"/>
      <c r="E321" s="2220" t="s">
        <v>983</v>
      </c>
      <c r="F321" s="1788">
        <v>77636.5</v>
      </c>
      <c r="G321" s="2142">
        <v>7190.7</v>
      </c>
      <c r="H321" s="2135"/>
      <c r="I321" s="1788"/>
      <c r="J321" s="2135"/>
      <c r="K321" s="565" t="s">
        <v>713</v>
      </c>
      <c r="L321" s="512" t="s">
        <v>897</v>
      </c>
      <c r="M321" s="512">
        <v>6300</v>
      </c>
      <c r="N321" s="512">
        <v>6300</v>
      </c>
      <c r="O321" s="512">
        <v>6300</v>
      </c>
      <c r="P321" s="512">
        <v>6300</v>
      </c>
      <c r="Q321" s="512">
        <v>6300</v>
      </c>
    </row>
    <row r="322" spans="2:17" s="295" customFormat="1" ht="40.5" customHeight="1" x14ac:dyDescent="0.25">
      <c r="B322" s="2174"/>
      <c r="C322" s="2145"/>
      <c r="D322" s="2145"/>
      <c r="E322" s="2220"/>
      <c r="F322" s="1789"/>
      <c r="G322" s="2125"/>
      <c r="H322" s="1789"/>
      <c r="I322" s="1789"/>
      <c r="J322" s="1789"/>
      <c r="K322" s="565" t="s">
        <v>714</v>
      </c>
      <c r="L322" s="512" t="s">
        <v>897</v>
      </c>
      <c r="M322" s="512">
        <v>6000</v>
      </c>
      <c r="N322" s="512">
        <v>6000</v>
      </c>
      <c r="O322" s="512">
        <v>6000</v>
      </c>
      <c r="P322" s="512">
        <v>6000</v>
      </c>
      <c r="Q322" s="512">
        <v>6000</v>
      </c>
    </row>
    <row r="323" spans="2:17" s="472" customFormat="1" x14ac:dyDescent="0.25">
      <c r="B323" s="471"/>
      <c r="C323" s="637">
        <v>2</v>
      </c>
      <c r="D323" s="473"/>
      <c r="E323" s="576" t="s">
        <v>315</v>
      </c>
      <c r="F323" s="538"/>
      <c r="G323" s="596">
        <v>48099.9</v>
      </c>
      <c r="H323" s="443"/>
      <c r="I323" s="443"/>
      <c r="J323" s="443"/>
      <c r="K323" s="565" t="s">
        <v>715</v>
      </c>
      <c r="L323" s="512" t="s">
        <v>897</v>
      </c>
      <c r="M323" s="512">
        <v>441000</v>
      </c>
      <c r="N323" s="512">
        <v>441100</v>
      </c>
      <c r="O323" s="512">
        <v>441200</v>
      </c>
      <c r="P323" s="512">
        <v>441200</v>
      </c>
      <c r="Q323" s="512">
        <v>441200</v>
      </c>
    </row>
    <row r="324" spans="2:17" s="295" customFormat="1" ht="155.25" customHeight="1" x14ac:dyDescent="0.25">
      <c r="B324" s="471">
        <v>4</v>
      </c>
      <c r="C324" s="473"/>
      <c r="D324" s="473"/>
      <c r="E324" s="653" t="s">
        <v>316</v>
      </c>
      <c r="F324" s="127"/>
      <c r="G324" s="127"/>
      <c r="H324" s="127">
        <f>H325</f>
        <v>29872.400000000001</v>
      </c>
      <c r="I324" s="127">
        <f>I325</f>
        <v>29872.400000000001</v>
      </c>
      <c r="J324" s="127">
        <f>J325</f>
        <v>29872.400000000001</v>
      </c>
      <c r="K324" s="449"/>
      <c r="L324" s="512"/>
      <c r="M324" s="512"/>
      <c r="N324" s="119"/>
      <c r="O324" s="119"/>
      <c r="P324" s="119"/>
      <c r="Q324" s="119"/>
    </row>
    <row r="325" spans="2:17" s="295" customFormat="1" ht="75" x14ac:dyDescent="0.25">
      <c r="B325" s="471"/>
      <c r="C325" s="473">
        <v>6</v>
      </c>
      <c r="D325" s="473"/>
      <c r="E325" s="565" t="s">
        <v>317</v>
      </c>
      <c r="F325" s="443"/>
      <c r="G325" s="443"/>
      <c r="H325" s="443">
        <v>29872.400000000001</v>
      </c>
      <c r="I325" s="443">
        <v>29872.400000000001</v>
      </c>
      <c r="J325" s="443">
        <v>29872.400000000001</v>
      </c>
      <c r="K325" s="565" t="s">
        <v>716</v>
      </c>
      <c r="L325" s="318" t="s">
        <v>897</v>
      </c>
      <c r="M325" s="318"/>
      <c r="N325" s="318">
        <v>1000</v>
      </c>
      <c r="O325" s="512">
        <v>1200</v>
      </c>
      <c r="P325" s="512">
        <v>1400</v>
      </c>
      <c r="Q325" s="512">
        <v>1800</v>
      </c>
    </row>
    <row r="326" spans="2:17" s="295" customFormat="1" ht="87.75" x14ac:dyDescent="0.25">
      <c r="B326" s="471">
        <v>5</v>
      </c>
      <c r="C326" s="473"/>
      <c r="D326" s="473"/>
      <c r="E326" s="653" t="s">
        <v>1257</v>
      </c>
      <c r="F326" s="448">
        <f>SUM(F327:F336)</f>
        <v>17383.900000000001</v>
      </c>
      <c r="G326" s="448">
        <f>G327+G336</f>
        <v>10325.200000000001</v>
      </c>
      <c r="H326" s="448"/>
      <c r="I326" s="448"/>
      <c r="J326" s="448"/>
      <c r="K326" s="653" t="s">
        <v>717</v>
      </c>
      <c r="L326" s="512"/>
      <c r="M326" s="512"/>
      <c r="N326" s="119"/>
      <c r="O326" s="119"/>
      <c r="P326" s="119"/>
      <c r="Q326" s="119"/>
    </row>
    <row r="327" spans="2:17" s="472" customFormat="1" ht="45.75" customHeight="1" x14ac:dyDescent="0.25">
      <c r="B327" s="471"/>
      <c r="C327" s="473">
        <v>1</v>
      </c>
      <c r="D327" s="473"/>
      <c r="E327" s="565" t="s">
        <v>318</v>
      </c>
      <c r="F327" s="2135">
        <v>5367</v>
      </c>
      <c r="G327" s="2142">
        <v>6409.6</v>
      </c>
      <c r="H327" s="2135"/>
      <c r="I327" s="2135"/>
      <c r="J327" s="2135"/>
      <c r="K327" s="565" t="s">
        <v>1258</v>
      </c>
      <c r="L327" s="512" t="s">
        <v>897</v>
      </c>
      <c r="M327" s="512">
        <v>5300</v>
      </c>
      <c r="N327" s="512">
        <v>5400</v>
      </c>
      <c r="O327" s="512">
        <v>5400</v>
      </c>
      <c r="P327" s="512">
        <v>5400</v>
      </c>
      <c r="Q327" s="512">
        <v>5400</v>
      </c>
    </row>
    <row r="328" spans="2:17" s="472" customFormat="1" ht="30" customHeight="1" x14ac:dyDescent="0.25">
      <c r="B328" s="2172"/>
      <c r="C328" s="2143">
        <v>2</v>
      </c>
      <c r="D328" s="2234"/>
      <c r="E328" s="1777" t="s">
        <v>319</v>
      </c>
      <c r="F328" s="1791"/>
      <c r="G328" s="2124"/>
      <c r="H328" s="1791"/>
      <c r="I328" s="1791"/>
      <c r="J328" s="1791"/>
      <c r="K328" s="576" t="s">
        <v>1259</v>
      </c>
      <c r="L328" s="512" t="s">
        <v>14</v>
      </c>
      <c r="M328" s="512" t="s">
        <v>60</v>
      </c>
      <c r="N328" s="512">
        <v>80</v>
      </c>
      <c r="O328" s="512">
        <v>100</v>
      </c>
      <c r="P328" s="512">
        <v>100</v>
      </c>
      <c r="Q328" s="512">
        <v>100</v>
      </c>
    </row>
    <row r="329" spans="2:17" s="472" customFormat="1" ht="75" x14ac:dyDescent="0.25">
      <c r="B329" s="2174"/>
      <c r="C329" s="2145"/>
      <c r="D329" s="2145"/>
      <c r="E329" s="1777"/>
      <c r="F329" s="1791"/>
      <c r="G329" s="2124"/>
      <c r="H329" s="1791"/>
      <c r="I329" s="1791"/>
      <c r="J329" s="1791"/>
      <c r="K329" s="576" t="s">
        <v>1260</v>
      </c>
      <c r="L329" s="512" t="s">
        <v>14</v>
      </c>
      <c r="M329" s="512" t="s">
        <v>60</v>
      </c>
      <c r="N329" s="512">
        <v>50</v>
      </c>
      <c r="O329" s="512">
        <v>100</v>
      </c>
      <c r="P329" s="512">
        <v>100</v>
      </c>
      <c r="Q329" s="512">
        <v>100</v>
      </c>
    </row>
    <row r="330" spans="2:17" s="472" customFormat="1" ht="60" x14ac:dyDescent="0.25">
      <c r="B330" s="2172"/>
      <c r="C330" s="2143">
        <v>3</v>
      </c>
      <c r="D330" s="2234"/>
      <c r="E330" s="1777" t="s">
        <v>320</v>
      </c>
      <c r="F330" s="1791"/>
      <c r="G330" s="2124"/>
      <c r="H330" s="1791"/>
      <c r="I330" s="1791"/>
      <c r="J330" s="1791"/>
      <c r="K330" s="565" t="s">
        <v>718</v>
      </c>
      <c r="L330" s="512" t="s">
        <v>897</v>
      </c>
      <c r="M330" s="512" t="s">
        <v>60</v>
      </c>
      <c r="N330" s="512">
        <v>1</v>
      </c>
      <c r="O330" s="512">
        <v>1</v>
      </c>
      <c r="P330" s="512">
        <v>1</v>
      </c>
      <c r="Q330" s="512">
        <v>1</v>
      </c>
    </row>
    <row r="331" spans="2:17" s="472" customFormat="1" ht="45" x14ac:dyDescent="0.25">
      <c r="B331" s="2173"/>
      <c r="C331" s="2144"/>
      <c r="D331" s="2144"/>
      <c r="E331" s="1777"/>
      <c r="F331" s="1791"/>
      <c r="G331" s="2124"/>
      <c r="H331" s="1791"/>
      <c r="I331" s="1791"/>
      <c r="J331" s="1791"/>
      <c r="K331" s="565" t="s">
        <v>719</v>
      </c>
      <c r="L331" s="512" t="s">
        <v>14</v>
      </c>
      <c r="M331" s="512" t="s">
        <v>60</v>
      </c>
      <c r="N331" s="512">
        <v>100</v>
      </c>
      <c r="O331" s="512">
        <v>100</v>
      </c>
      <c r="P331" s="512">
        <v>100</v>
      </c>
      <c r="Q331" s="512">
        <v>100</v>
      </c>
    </row>
    <row r="332" spans="2:17" s="472" customFormat="1" ht="75" x14ac:dyDescent="0.25">
      <c r="B332" s="2173"/>
      <c r="C332" s="2144"/>
      <c r="D332" s="2144"/>
      <c r="E332" s="1777"/>
      <c r="F332" s="1791"/>
      <c r="G332" s="2124"/>
      <c r="H332" s="1791"/>
      <c r="I332" s="1791"/>
      <c r="J332" s="1791"/>
      <c r="K332" s="565" t="s">
        <v>1261</v>
      </c>
      <c r="L332" s="512" t="s">
        <v>897</v>
      </c>
      <c r="M332" s="512" t="s">
        <v>60</v>
      </c>
      <c r="N332" s="512">
        <v>15</v>
      </c>
      <c r="O332" s="512">
        <v>15</v>
      </c>
      <c r="P332" s="512">
        <v>15</v>
      </c>
      <c r="Q332" s="512">
        <v>15</v>
      </c>
    </row>
    <row r="333" spans="2:17" s="472" customFormat="1" ht="75" x14ac:dyDescent="0.25">
      <c r="B333" s="2173"/>
      <c r="C333" s="2144"/>
      <c r="D333" s="2144"/>
      <c r="E333" s="1777"/>
      <c r="F333" s="1791"/>
      <c r="G333" s="2124"/>
      <c r="H333" s="1791"/>
      <c r="I333" s="1791"/>
      <c r="J333" s="1791"/>
      <c r="K333" s="565" t="s">
        <v>1262</v>
      </c>
      <c r="L333" s="512" t="s">
        <v>897</v>
      </c>
      <c r="M333" s="512" t="s">
        <v>60</v>
      </c>
      <c r="N333" s="512">
        <v>8</v>
      </c>
      <c r="O333" s="512">
        <v>8</v>
      </c>
      <c r="P333" s="512">
        <v>8</v>
      </c>
      <c r="Q333" s="512">
        <v>8</v>
      </c>
    </row>
    <row r="334" spans="2:17" s="472" customFormat="1" ht="45" x14ac:dyDescent="0.25">
      <c r="B334" s="2174"/>
      <c r="C334" s="2145"/>
      <c r="D334" s="2145"/>
      <c r="E334" s="1777"/>
      <c r="F334" s="1791"/>
      <c r="G334" s="2124"/>
      <c r="H334" s="1791"/>
      <c r="I334" s="1791"/>
      <c r="J334" s="1791"/>
      <c r="K334" s="565" t="s">
        <v>720</v>
      </c>
      <c r="L334" s="512" t="s">
        <v>14</v>
      </c>
      <c r="M334" s="512" t="s">
        <v>60</v>
      </c>
      <c r="N334" s="512">
        <v>100</v>
      </c>
      <c r="O334" s="512">
        <v>100</v>
      </c>
      <c r="P334" s="512">
        <v>100</v>
      </c>
      <c r="Q334" s="512">
        <v>100</v>
      </c>
    </row>
    <row r="335" spans="2:17" s="472" customFormat="1" ht="45" x14ac:dyDescent="0.25">
      <c r="B335" s="471"/>
      <c r="C335" s="473">
        <v>4</v>
      </c>
      <c r="D335" s="473"/>
      <c r="E335" s="565" t="s">
        <v>1265</v>
      </c>
      <c r="F335" s="1789"/>
      <c r="G335" s="2124"/>
      <c r="H335" s="1789"/>
      <c r="I335" s="1789"/>
      <c r="J335" s="1789"/>
      <c r="K335" s="565" t="s">
        <v>1263</v>
      </c>
      <c r="L335" s="512" t="s">
        <v>14</v>
      </c>
      <c r="M335" s="512" t="s">
        <v>60</v>
      </c>
      <c r="N335" s="512">
        <v>100</v>
      </c>
      <c r="O335" s="512">
        <v>100</v>
      </c>
      <c r="P335" s="512">
        <v>100</v>
      </c>
      <c r="Q335" s="512">
        <v>100</v>
      </c>
    </row>
    <row r="336" spans="2:17" s="295" customFormat="1" ht="30" x14ac:dyDescent="0.25">
      <c r="B336" s="469"/>
      <c r="C336" s="474">
        <v>5</v>
      </c>
      <c r="D336" s="474"/>
      <c r="E336" s="589" t="s">
        <v>1264</v>
      </c>
      <c r="F336" s="443">
        <v>12016.9</v>
      </c>
      <c r="G336" s="596">
        <v>3915.6</v>
      </c>
      <c r="H336" s="443"/>
      <c r="I336" s="443"/>
      <c r="J336" s="443"/>
      <c r="K336" s="589" t="s">
        <v>721</v>
      </c>
      <c r="L336" s="511" t="s">
        <v>897</v>
      </c>
      <c r="M336" s="511">
        <v>61550</v>
      </c>
      <c r="N336" s="511">
        <v>61600</v>
      </c>
      <c r="O336" s="511">
        <v>61650</v>
      </c>
      <c r="P336" s="511">
        <v>61650</v>
      </c>
      <c r="Q336" s="511">
        <v>61650</v>
      </c>
    </row>
    <row r="337" spans="1:17" s="295" customFormat="1" ht="58.5" x14ac:dyDescent="0.25">
      <c r="B337" s="471">
        <v>2</v>
      </c>
      <c r="C337" s="473"/>
      <c r="D337" s="473"/>
      <c r="E337" s="653" t="s">
        <v>1266</v>
      </c>
      <c r="F337" s="448">
        <f t="shared" ref="F337:J337" si="46">SUM(F338)</f>
        <v>29319.5</v>
      </c>
      <c r="G337" s="448">
        <f t="shared" si="46"/>
        <v>2561.6</v>
      </c>
      <c r="H337" s="448">
        <f t="shared" si="46"/>
        <v>87514.2</v>
      </c>
      <c r="I337" s="448">
        <f t="shared" si="46"/>
        <v>85196.7</v>
      </c>
      <c r="J337" s="448">
        <f t="shared" si="46"/>
        <v>85554.4</v>
      </c>
      <c r="K337" s="653" t="s">
        <v>1267</v>
      </c>
      <c r="L337" s="319"/>
      <c r="M337" s="319"/>
      <c r="N337" s="319"/>
      <c r="O337" s="119"/>
      <c r="P337" s="119"/>
      <c r="Q337" s="119"/>
    </row>
    <row r="338" spans="1:17" s="472" customFormat="1" ht="30" x14ac:dyDescent="0.25">
      <c r="B338" s="471"/>
      <c r="C338" s="475">
        <v>1</v>
      </c>
      <c r="D338" s="475"/>
      <c r="E338" s="565" t="s">
        <v>321</v>
      </c>
      <c r="F338" s="443">
        <v>29319.5</v>
      </c>
      <c r="G338" s="312">
        <v>2561.6</v>
      </c>
      <c r="H338" s="443">
        <v>87514.2</v>
      </c>
      <c r="I338" s="443">
        <v>85196.7</v>
      </c>
      <c r="J338" s="443">
        <v>85554.4</v>
      </c>
      <c r="K338" s="565" t="s">
        <v>722</v>
      </c>
      <c r="L338" s="512" t="s">
        <v>897</v>
      </c>
      <c r="M338" s="512">
        <v>6800</v>
      </c>
      <c r="N338" s="512">
        <v>6850</v>
      </c>
      <c r="O338" s="512">
        <v>6900</v>
      </c>
      <c r="P338" s="512">
        <v>6900</v>
      </c>
      <c r="Q338" s="512">
        <v>6900</v>
      </c>
    </row>
    <row r="339" spans="1:17" s="472" customFormat="1" ht="64.5" customHeight="1" x14ac:dyDescent="0.25">
      <c r="B339" s="471"/>
      <c r="C339" s="475">
        <v>1</v>
      </c>
      <c r="D339" s="475"/>
      <c r="E339" s="565" t="s">
        <v>1268</v>
      </c>
      <c r="F339" s="448">
        <f>SUM(F340)</f>
        <v>0</v>
      </c>
      <c r="G339" s="448">
        <f>SUM(G340)</f>
        <v>27279.9</v>
      </c>
      <c r="H339" s="448">
        <f>SUM(H340)</f>
        <v>0</v>
      </c>
      <c r="I339" s="448"/>
      <c r="J339" s="448">
        <f>SUM(J340)</f>
        <v>0</v>
      </c>
      <c r="K339" s="653" t="s">
        <v>723</v>
      </c>
      <c r="L339" s="512"/>
      <c r="M339" s="512"/>
      <c r="N339" s="512"/>
      <c r="O339" s="512"/>
      <c r="P339" s="512"/>
      <c r="Q339" s="512"/>
    </row>
    <row r="340" spans="1:17" s="472" customFormat="1" ht="30" x14ac:dyDescent="0.25">
      <c r="B340" s="471"/>
      <c r="C340" s="475">
        <v>1</v>
      </c>
      <c r="D340" s="475"/>
      <c r="E340" s="565" t="s">
        <v>322</v>
      </c>
      <c r="F340" s="443"/>
      <c r="G340" s="200">
        <v>27279.9</v>
      </c>
      <c r="H340" s="443"/>
      <c r="I340" s="443"/>
      <c r="J340" s="443"/>
      <c r="K340" s="565" t="s">
        <v>724</v>
      </c>
      <c r="L340" s="512" t="s">
        <v>14</v>
      </c>
      <c r="M340" s="512">
        <v>100</v>
      </c>
      <c r="N340" s="512">
        <v>100</v>
      </c>
      <c r="O340" s="512">
        <v>100</v>
      </c>
      <c r="P340" s="512">
        <v>100</v>
      </c>
      <c r="Q340" s="512">
        <v>100</v>
      </c>
    </row>
    <row r="341" spans="1:17" x14ac:dyDescent="0.25">
      <c r="A341" s="2245" t="s">
        <v>164</v>
      </c>
      <c r="B341" s="2245"/>
      <c r="C341" s="2245"/>
      <c r="D341" s="2245"/>
      <c r="E341" s="2245"/>
      <c r="F341" s="207">
        <f>SUM(F301,F315,F320,F326,F337,F339)</f>
        <v>187566.8</v>
      </c>
      <c r="G341" s="207">
        <f>SUM(G301,G315,G320,G326,G337,G339)</f>
        <v>190964.30000000002</v>
      </c>
      <c r="H341" s="207">
        <f>H301+H313+H337+H324</f>
        <v>287950.90000000002</v>
      </c>
      <c r="I341" s="207">
        <f>I301+I313+I337+I324</f>
        <v>259173.69999999998</v>
      </c>
      <c r="J341" s="207">
        <f>J301+J313+J337+J324</f>
        <v>259672</v>
      </c>
      <c r="K341" s="7"/>
      <c r="L341" s="2063"/>
      <c r="M341" s="2063"/>
      <c r="N341" s="2063"/>
      <c r="O341" s="2063"/>
      <c r="P341" s="2063"/>
      <c r="Q341" s="2063"/>
    </row>
    <row r="342" spans="1:17" x14ac:dyDescent="0.25">
      <c r="A342" s="2146" t="s">
        <v>323</v>
      </c>
      <c r="B342" s="2147"/>
      <c r="C342" s="2147"/>
      <c r="D342" s="2147"/>
      <c r="E342" s="2147"/>
      <c r="F342" s="2147"/>
      <c r="G342" s="2147"/>
      <c r="H342" s="2147"/>
      <c r="I342" s="2147"/>
      <c r="J342" s="2147"/>
      <c r="K342" s="2147"/>
      <c r="L342" s="2147"/>
      <c r="M342" s="2147"/>
      <c r="N342" s="2147"/>
      <c r="O342" s="2147"/>
      <c r="P342" s="2147"/>
      <c r="Q342" s="2148"/>
    </row>
    <row r="343" spans="1:17" ht="30" x14ac:dyDescent="0.25">
      <c r="B343" s="610">
        <v>1</v>
      </c>
      <c r="C343" s="724"/>
      <c r="D343" s="724"/>
      <c r="E343" s="576" t="s">
        <v>1269</v>
      </c>
      <c r="F343" s="206">
        <f>F344+F345+F346</f>
        <v>237554.9</v>
      </c>
      <c r="G343" s="206">
        <f t="shared" ref="G343:J343" si="47">G344+G345+G346</f>
        <v>360225</v>
      </c>
      <c r="H343" s="206">
        <f t="shared" si="47"/>
        <v>452018.2</v>
      </c>
      <c r="I343" s="206">
        <f t="shared" si="47"/>
        <v>452018.19999999995</v>
      </c>
      <c r="J343" s="206">
        <f t="shared" si="47"/>
        <v>452018.19999999995</v>
      </c>
      <c r="K343" s="157" t="s">
        <v>1269</v>
      </c>
      <c r="L343" s="1215"/>
      <c r="M343" s="617"/>
      <c r="N343" s="617"/>
      <c r="O343" s="617"/>
      <c r="P343" s="164"/>
      <c r="Q343" s="617"/>
    </row>
    <row r="344" spans="1:17" ht="30" x14ac:dyDescent="0.25">
      <c r="A344" s="10"/>
      <c r="B344" s="359"/>
      <c r="C344" s="393" t="s">
        <v>135</v>
      </c>
      <c r="D344" s="724"/>
      <c r="E344" s="576" t="s">
        <v>725</v>
      </c>
      <c r="F344" s="87">
        <v>79185</v>
      </c>
      <c r="G344" s="87">
        <v>120075</v>
      </c>
      <c r="H344" s="69">
        <f>100000.2+50672.8</f>
        <v>150673</v>
      </c>
      <c r="I344" s="69">
        <v>150673</v>
      </c>
      <c r="J344" s="69">
        <v>150673</v>
      </c>
      <c r="K344" s="576" t="s">
        <v>725</v>
      </c>
      <c r="L344" s="875" t="s">
        <v>14</v>
      </c>
      <c r="M344" s="20">
        <v>100</v>
      </c>
      <c r="N344" s="20">
        <v>100</v>
      </c>
      <c r="O344" s="20">
        <v>100</v>
      </c>
      <c r="P344" s="20">
        <v>100</v>
      </c>
      <c r="Q344" s="20">
        <v>100</v>
      </c>
    </row>
    <row r="345" spans="1:17" ht="75" x14ac:dyDescent="0.25">
      <c r="A345" s="10"/>
      <c r="B345" s="359"/>
      <c r="C345" s="94">
        <v>61</v>
      </c>
      <c r="D345" s="724"/>
      <c r="E345" s="597" t="s">
        <v>1270</v>
      </c>
      <c r="F345" s="87">
        <v>79185</v>
      </c>
      <c r="G345" s="69">
        <v>120075</v>
      </c>
      <c r="H345" s="69">
        <f>99999.9+50672.8</f>
        <v>150672.70000000001</v>
      </c>
      <c r="I345" s="69">
        <v>150672.69999999998</v>
      </c>
      <c r="J345" s="69">
        <v>150672.69999999998</v>
      </c>
      <c r="K345" s="576" t="s">
        <v>726</v>
      </c>
      <c r="L345" s="875" t="s">
        <v>14</v>
      </c>
      <c r="M345" s="20">
        <v>100</v>
      </c>
      <c r="N345" s="20">
        <v>100</v>
      </c>
      <c r="O345" s="20">
        <v>100</v>
      </c>
      <c r="P345" s="20">
        <v>100</v>
      </c>
      <c r="Q345" s="20">
        <v>100</v>
      </c>
    </row>
    <row r="346" spans="1:17" ht="90" x14ac:dyDescent="0.25">
      <c r="A346" s="10"/>
      <c r="B346" s="359"/>
      <c r="C346" s="94">
        <v>62</v>
      </c>
      <c r="D346" s="724"/>
      <c r="E346" s="576" t="s">
        <v>324</v>
      </c>
      <c r="F346" s="87">
        <v>79184.899999999994</v>
      </c>
      <c r="G346" s="87">
        <v>120075</v>
      </c>
      <c r="H346" s="69">
        <f>50672.6+99999.9</f>
        <v>150672.5</v>
      </c>
      <c r="I346" s="69">
        <v>150672.5</v>
      </c>
      <c r="J346" s="69">
        <v>150672.5</v>
      </c>
      <c r="K346" s="576" t="s">
        <v>727</v>
      </c>
      <c r="L346" s="875" t="s">
        <v>14</v>
      </c>
      <c r="M346" s="20">
        <v>100</v>
      </c>
      <c r="N346" s="20">
        <v>100</v>
      </c>
      <c r="O346" s="20">
        <v>100</v>
      </c>
      <c r="P346" s="20">
        <v>100</v>
      </c>
      <c r="Q346" s="20">
        <v>100</v>
      </c>
    </row>
    <row r="347" spans="1:17" ht="71.25" x14ac:dyDescent="0.25">
      <c r="A347" s="10"/>
      <c r="B347" s="551">
        <v>2</v>
      </c>
      <c r="C347" s="24"/>
      <c r="D347" s="724"/>
      <c r="E347" s="157" t="s">
        <v>325</v>
      </c>
      <c r="F347" s="204">
        <f>F348</f>
        <v>11527.4</v>
      </c>
      <c r="G347" s="204">
        <f t="shared" ref="G347:J347" si="48">G348</f>
        <v>28441.599999999999</v>
      </c>
      <c r="H347" s="204">
        <f t="shared" si="48"/>
        <v>57680.2</v>
      </c>
      <c r="I347" s="204">
        <f t="shared" si="48"/>
        <v>57680.2</v>
      </c>
      <c r="J347" s="204">
        <f t="shared" si="48"/>
        <v>57680.2</v>
      </c>
      <c r="K347" s="157" t="s">
        <v>325</v>
      </c>
      <c r="L347" s="1542"/>
      <c r="M347" s="20"/>
      <c r="N347" s="20"/>
      <c r="O347" s="20"/>
      <c r="P347" s="20"/>
      <c r="Q347" s="20"/>
    </row>
    <row r="348" spans="1:17" ht="105" x14ac:dyDescent="0.25">
      <c r="A348" s="10"/>
      <c r="B348" s="109"/>
      <c r="C348" s="94">
        <v>1</v>
      </c>
      <c r="D348" s="724"/>
      <c r="E348" s="576" t="s">
        <v>326</v>
      </c>
      <c r="F348" s="87">
        <v>11527.4</v>
      </c>
      <c r="G348" s="87">
        <v>28441.599999999999</v>
      </c>
      <c r="H348" s="69">
        <v>57680.2</v>
      </c>
      <c r="I348" s="69">
        <v>57680.2</v>
      </c>
      <c r="J348" s="69">
        <v>57680.2</v>
      </c>
      <c r="K348" s="576" t="s">
        <v>728</v>
      </c>
      <c r="L348" s="1542" t="s">
        <v>14</v>
      </c>
      <c r="M348" s="20">
        <v>100</v>
      </c>
      <c r="N348" s="20">
        <v>100</v>
      </c>
      <c r="O348" s="20">
        <v>100</v>
      </c>
      <c r="P348" s="20">
        <v>100</v>
      </c>
      <c r="Q348" s="20">
        <v>100</v>
      </c>
    </row>
    <row r="349" spans="1:17" ht="42.75" x14ac:dyDescent="0.25">
      <c r="A349" s="10"/>
      <c r="B349" s="609">
        <v>3</v>
      </c>
      <c r="C349" s="482"/>
      <c r="D349" s="724"/>
      <c r="E349" s="157" t="s">
        <v>327</v>
      </c>
      <c r="F349" s="204">
        <f>F350+F351</f>
        <v>1354692.1</v>
      </c>
      <c r="G349" s="204">
        <f t="shared" ref="G349:J349" si="49">G350+G351</f>
        <v>1354444.5</v>
      </c>
      <c r="H349" s="204">
        <f t="shared" si="49"/>
        <v>1316909.1000000001</v>
      </c>
      <c r="I349" s="204">
        <f t="shared" si="49"/>
        <v>1322405.8000000003</v>
      </c>
      <c r="J349" s="204">
        <f t="shared" si="49"/>
        <v>1327589.2</v>
      </c>
      <c r="K349" s="157" t="s">
        <v>327</v>
      </c>
      <c r="L349" s="1542"/>
      <c r="M349" s="20"/>
      <c r="N349" s="20"/>
      <c r="O349" s="20"/>
      <c r="P349" s="20"/>
      <c r="Q349" s="20"/>
    </row>
    <row r="350" spans="1:17" ht="120" x14ac:dyDescent="0.25">
      <c r="A350" s="10"/>
      <c r="B350" s="360"/>
      <c r="C350" s="482">
        <v>1</v>
      </c>
      <c r="D350" s="724"/>
      <c r="E350" s="576" t="s">
        <v>328</v>
      </c>
      <c r="F350" s="87">
        <v>677346.1</v>
      </c>
      <c r="G350" s="87">
        <v>677222.3</v>
      </c>
      <c r="H350" s="69">
        <f>580343.4+78111.3</f>
        <v>658454.70000000007</v>
      </c>
      <c r="I350" s="69">
        <v>661203.10000000009</v>
      </c>
      <c r="J350" s="69">
        <v>663794.69999999995</v>
      </c>
      <c r="K350" s="576" t="s">
        <v>328</v>
      </c>
      <c r="L350" s="1542" t="s">
        <v>14</v>
      </c>
      <c r="M350" s="20">
        <v>100</v>
      </c>
      <c r="N350" s="20">
        <v>100</v>
      </c>
      <c r="O350" s="20">
        <v>100</v>
      </c>
      <c r="P350" s="20">
        <v>100</v>
      </c>
      <c r="Q350" s="20">
        <v>100</v>
      </c>
    </row>
    <row r="351" spans="1:17" ht="60" x14ac:dyDescent="0.25">
      <c r="A351" s="10"/>
      <c r="B351" s="360"/>
      <c r="C351" s="482">
        <v>2</v>
      </c>
      <c r="D351" s="724"/>
      <c r="E351" s="576" t="s">
        <v>329</v>
      </c>
      <c r="F351" s="87">
        <v>677346</v>
      </c>
      <c r="G351" s="87">
        <v>677222.2</v>
      </c>
      <c r="H351" s="69">
        <v>658454.4</v>
      </c>
      <c r="I351" s="69">
        <v>661202.70000000007</v>
      </c>
      <c r="J351" s="69">
        <v>663794.5</v>
      </c>
      <c r="K351" s="576" t="s">
        <v>329</v>
      </c>
      <c r="L351" s="875" t="s">
        <v>14</v>
      </c>
      <c r="M351" s="20">
        <v>100</v>
      </c>
      <c r="N351" s="20">
        <v>100</v>
      </c>
      <c r="O351" s="20">
        <v>100</v>
      </c>
      <c r="P351" s="20">
        <v>100</v>
      </c>
      <c r="Q351" s="20">
        <v>100</v>
      </c>
    </row>
    <row r="352" spans="1:17" ht="71.25" x14ac:dyDescent="0.25">
      <c r="A352" s="10"/>
      <c r="B352" s="609">
        <v>4</v>
      </c>
      <c r="C352" s="478"/>
      <c r="D352" s="110"/>
      <c r="E352" s="157" t="s">
        <v>330</v>
      </c>
      <c r="F352" s="204">
        <f>F353</f>
        <v>24341.599999999999</v>
      </c>
      <c r="G352" s="204">
        <f t="shared" ref="G352:J352" si="50">G353</f>
        <v>20460.099999999999</v>
      </c>
      <c r="H352" s="204">
        <f t="shared" si="50"/>
        <v>28637.599999999999</v>
      </c>
      <c r="I352" s="204">
        <f t="shared" si="50"/>
        <v>28637.599999999999</v>
      </c>
      <c r="J352" s="204">
        <f t="shared" si="50"/>
        <v>28637.599999999999</v>
      </c>
      <c r="K352" s="157" t="s">
        <v>330</v>
      </c>
      <c r="L352" s="875"/>
      <c r="M352" s="20"/>
      <c r="N352" s="20"/>
      <c r="O352" s="20"/>
      <c r="P352" s="20"/>
      <c r="Q352" s="20"/>
    </row>
    <row r="353" spans="1:17" ht="45.75" thickBot="1" x14ac:dyDescent="0.3">
      <c r="A353" s="10"/>
      <c r="B353" s="767"/>
      <c r="C353" s="767" t="s">
        <v>2</v>
      </c>
      <c r="D353" s="655"/>
      <c r="E353" s="576" t="s">
        <v>331</v>
      </c>
      <c r="F353" s="87">
        <v>24341.599999999999</v>
      </c>
      <c r="G353" s="87">
        <v>20460.099999999999</v>
      </c>
      <c r="H353" s="87">
        <f>3193.6+25444</f>
        <v>28637.599999999999</v>
      </c>
      <c r="I353" s="87">
        <v>28637.599999999999</v>
      </c>
      <c r="J353" s="87">
        <v>28637.599999999999</v>
      </c>
      <c r="K353" s="576" t="s">
        <v>729</v>
      </c>
      <c r="L353" s="1542" t="s">
        <v>14</v>
      </c>
      <c r="M353" s="112">
        <v>100</v>
      </c>
      <c r="N353" s="112">
        <v>100</v>
      </c>
      <c r="O353" s="112">
        <v>100</v>
      </c>
      <c r="P353" s="112">
        <v>100</v>
      </c>
      <c r="Q353" s="112">
        <v>100</v>
      </c>
    </row>
    <row r="354" spans="1:17" ht="15.75" hidden="1" thickBot="1" x14ac:dyDescent="0.3">
      <c r="A354" s="10"/>
      <c r="B354" s="767"/>
      <c r="C354" s="767"/>
      <c r="D354" s="111"/>
      <c r="E354" s="476"/>
      <c r="F354" s="201"/>
      <c r="G354" s="201"/>
      <c r="H354" s="345"/>
      <c r="I354" s="345"/>
      <c r="J354" s="345"/>
      <c r="K354" s="361"/>
      <c r="L354" s="415"/>
      <c r="M354" s="342"/>
      <c r="N354" s="362"/>
      <c r="O354" s="362"/>
      <c r="P354" s="362"/>
      <c r="Q354" s="362"/>
    </row>
    <row r="355" spans="1:17" ht="15.75" thickBot="1" x14ac:dyDescent="0.3">
      <c r="A355" s="113" t="s">
        <v>39</v>
      </c>
      <c r="B355" s="2060" t="s">
        <v>164</v>
      </c>
      <c r="C355" s="2061"/>
      <c r="D355" s="2061"/>
      <c r="E355" s="2062"/>
      <c r="F355" s="30">
        <f>F352+F349+F347+F343</f>
        <v>1628116</v>
      </c>
      <c r="G355" s="30">
        <f>G352+G349+G347+G343</f>
        <v>1763571.2000000002</v>
      </c>
      <c r="H355" s="30">
        <f>H352+H349+H347+H343</f>
        <v>1855245.1</v>
      </c>
      <c r="I355" s="30">
        <f>I352+I349+I347+I343</f>
        <v>1860741.8000000003</v>
      </c>
      <c r="J355" s="30">
        <f>J352+J349+J347+J343</f>
        <v>1865925.2</v>
      </c>
      <c r="K355" s="7"/>
      <c r="L355" s="2369"/>
      <c r="M355" s="2369"/>
      <c r="N355" s="2369"/>
      <c r="O355" s="2369"/>
      <c r="P355" s="2369"/>
      <c r="Q355" s="2369"/>
    </row>
    <row r="356" spans="1:17" ht="15" customHeight="1" x14ac:dyDescent="0.25">
      <c r="A356" s="1573" t="s">
        <v>332</v>
      </c>
      <c r="B356" s="1573"/>
      <c r="C356" s="1573"/>
      <c r="D356" s="1573"/>
      <c r="E356" s="1573"/>
      <c r="F356" s="1573"/>
      <c r="G356" s="1573"/>
      <c r="H356" s="1573"/>
      <c r="I356" s="1573"/>
      <c r="J356" s="1573"/>
      <c r="K356" s="1573"/>
      <c r="L356" s="1573"/>
      <c r="M356" s="1573"/>
      <c r="N356" s="1573"/>
      <c r="O356" s="1573"/>
      <c r="P356" s="1573"/>
      <c r="Q356" s="1573"/>
    </row>
    <row r="357" spans="1:17" s="11" customFormat="1" ht="15" customHeight="1" x14ac:dyDescent="0.25">
      <c r="B357" s="61">
        <v>2</v>
      </c>
      <c r="C357" s="577"/>
      <c r="D357" s="577"/>
      <c r="E357" s="653" t="s">
        <v>333</v>
      </c>
      <c r="F357" s="313">
        <f>SUM(F358:F363)</f>
        <v>928155.2</v>
      </c>
      <c r="G357" s="313">
        <f t="shared" ref="G357:J357" si="51">SUM(G358:G363)</f>
        <v>1038222.2000000001</v>
      </c>
      <c r="H357" s="313">
        <f t="shared" si="51"/>
        <v>1086458.8</v>
      </c>
      <c r="I357" s="313">
        <f t="shared" si="51"/>
        <v>1073888.3999999999</v>
      </c>
      <c r="J357" s="313">
        <f t="shared" si="51"/>
        <v>1074309.7999999998</v>
      </c>
      <c r="K357" s="62"/>
      <c r="L357" s="63"/>
      <c r="M357" s="63"/>
      <c r="N357" s="63"/>
      <c r="O357" s="63"/>
      <c r="P357" s="63"/>
      <c r="Q357" s="63"/>
    </row>
    <row r="358" spans="1:17" s="64" customFormat="1" ht="15" customHeight="1" x14ac:dyDescent="0.25">
      <c r="A358" s="530"/>
      <c r="B358" s="61"/>
      <c r="C358" s="26" t="s">
        <v>2</v>
      </c>
      <c r="D358" s="22"/>
      <c r="E358" s="565" t="s">
        <v>334</v>
      </c>
      <c r="F358" s="200">
        <v>430782.2</v>
      </c>
      <c r="G358" s="200">
        <v>440000</v>
      </c>
      <c r="H358" s="200">
        <v>450000</v>
      </c>
      <c r="I358" s="200">
        <v>450000</v>
      </c>
      <c r="J358" s="200">
        <v>450000</v>
      </c>
      <c r="K358" s="65"/>
      <c r="L358" s="483"/>
      <c r="M358" s="483"/>
      <c r="N358" s="483"/>
      <c r="O358" s="483"/>
      <c r="P358" s="483"/>
      <c r="Q358" s="483"/>
    </row>
    <row r="359" spans="1:17" s="11" customFormat="1" ht="15" customHeight="1" x14ac:dyDescent="0.25">
      <c r="A359" s="530"/>
      <c r="B359" s="61"/>
      <c r="C359" s="26" t="s">
        <v>3</v>
      </c>
      <c r="D359" s="22"/>
      <c r="E359" s="819" t="s">
        <v>335</v>
      </c>
      <c r="F359" s="200">
        <v>273781.2</v>
      </c>
      <c r="G359" s="200">
        <v>283767.40000000002</v>
      </c>
      <c r="H359" s="200">
        <v>244540.9</v>
      </c>
      <c r="I359" s="200">
        <v>239773.8</v>
      </c>
      <c r="J359" s="200">
        <v>239773.8</v>
      </c>
      <c r="K359" s="65"/>
      <c r="L359" s="483"/>
      <c r="M359" s="483"/>
      <c r="N359" s="483"/>
      <c r="O359" s="483"/>
      <c r="P359" s="483"/>
      <c r="Q359" s="483"/>
    </row>
    <row r="360" spans="1:17" s="11" customFormat="1" ht="15" customHeight="1" x14ac:dyDescent="0.25">
      <c r="A360" s="530"/>
      <c r="B360" s="61"/>
      <c r="C360" s="26" t="s">
        <v>4</v>
      </c>
      <c r="D360" s="22"/>
      <c r="E360" s="819" t="s">
        <v>336</v>
      </c>
      <c r="F360" s="200">
        <v>163591.79999999999</v>
      </c>
      <c r="G360" s="200">
        <v>98454.8</v>
      </c>
      <c r="H360" s="200">
        <v>175917.9</v>
      </c>
      <c r="I360" s="200">
        <v>167926.2</v>
      </c>
      <c r="J360" s="200">
        <v>167926.2</v>
      </c>
      <c r="K360" s="65"/>
      <c r="L360" s="483"/>
      <c r="M360" s="483"/>
      <c r="N360" s="483"/>
      <c r="O360" s="483"/>
      <c r="P360" s="483"/>
      <c r="Q360" s="483"/>
    </row>
    <row r="361" spans="1:17" s="11" customFormat="1" ht="15" customHeight="1" x14ac:dyDescent="0.25">
      <c r="A361" s="530"/>
      <c r="B361" s="61"/>
      <c r="C361" s="26" t="s">
        <v>5</v>
      </c>
      <c r="D361" s="22"/>
      <c r="E361" s="819" t="s">
        <v>337</v>
      </c>
      <c r="F361" s="200">
        <v>30000</v>
      </c>
      <c r="G361" s="200">
        <v>30000</v>
      </c>
      <c r="H361" s="200">
        <v>30000</v>
      </c>
      <c r="I361" s="200">
        <v>30026.2</v>
      </c>
      <c r="J361" s="200">
        <v>30084.7</v>
      </c>
      <c r="K361" s="65"/>
      <c r="L361" s="483"/>
      <c r="M361" s="483"/>
      <c r="N361" s="483"/>
      <c r="O361" s="483"/>
      <c r="P361" s="483"/>
      <c r="Q361" s="483"/>
    </row>
    <row r="362" spans="1:17" s="11" customFormat="1" ht="15" customHeight="1" x14ac:dyDescent="0.25">
      <c r="A362" s="530"/>
      <c r="B362" s="577"/>
      <c r="C362" s="26" t="s">
        <v>49</v>
      </c>
      <c r="D362" s="22"/>
      <c r="E362" s="819" t="s">
        <v>338</v>
      </c>
      <c r="F362" s="200">
        <v>30000</v>
      </c>
      <c r="G362" s="200">
        <v>30000</v>
      </c>
      <c r="H362" s="200">
        <v>30000</v>
      </c>
      <c r="I362" s="200">
        <v>30026.2</v>
      </c>
      <c r="J362" s="200">
        <v>30084.7</v>
      </c>
      <c r="K362" s="65"/>
      <c r="L362" s="483"/>
      <c r="M362" s="483"/>
      <c r="N362" s="483"/>
      <c r="O362" s="483"/>
      <c r="P362" s="483"/>
      <c r="Q362" s="483"/>
    </row>
    <row r="363" spans="1:17" s="11" customFormat="1" ht="15" customHeight="1" x14ac:dyDescent="0.25">
      <c r="A363" s="577"/>
      <c r="B363" s="577"/>
      <c r="C363" s="26" t="s">
        <v>50</v>
      </c>
      <c r="D363" s="22"/>
      <c r="E363" s="819" t="s">
        <v>339</v>
      </c>
      <c r="F363" s="314"/>
      <c r="G363" s="314">
        <v>156000</v>
      </c>
      <c r="H363" s="314">
        <v>156000</v>
      </c>
      <c r="I363" s="314">
        <v>156136</v>
      </c>
      <c r="J363" s="314">
        <v>156440.4</v>
      </c>
      <c r="K363" s="65"/>
      <c r="L363" s="483"/>
      <c r="M363" s="483"/>
      <c r="N363" s="483"/>
      <c r="O363" s="483"/>
      <c r="P363" s="483"/>
      <c r="Q363" s="483"/>
    </row>
    <row r="364" spans="1:17" s="11" customFormat="1" ht="15" customHeight="1" x14ac:dyDescent="0.25">
      <c r="A364" s="630" t="s">
        <v>64</v>
      </c>
      <c r="B364" s="2060" t="s">
        <v>164</v>
      </c>
      <c r="C364" s="2061"/>
      <c r="D364" s="2061"/>
      <c r="E364" s="2062"/>
      <c r="F364" s="8">
        <f>F357</f>
        <v>928155.2</v>
      </c>
      <c r="G364" s="8">
        <f t="shared" ref="G364:J364" si="52">G357</f>
        <v>1038222.2000000001</v>
      </c>
      <c r="H364" s="8">
        <f t="shared" si="52"/>
        <v>1086458.8</v>
      </c>
      <c r="I364" s="8">
        <f t="shared" si="52"/>
        <v>1073888.3999999999</v>
      </c>
      <c r="J364" s="8">
        <f t="shared" si="52"/>
        <v>1074309.7999999998</v>
      </c>
      <c r="K364" s="631"/>
      <c r="L364" s="1543"/>
      <c r="M364" s="631"/>
      <c r="N364" s="631"/>
      <c r="O364" s="631"/>
      <c r="P364" s="631"/>
      <c r="Q364" s="632"/>
    </row>
    <row r="365" spans="1:17" s="11" customFormat="1" ht="15" customHeight="1" x14ac:dyDescent="0.25">
      <c r="A365" s="1573" t="s">
        <v>340</v>
      </c>
      <c r="B365" s="1573"/>
      <c r="C365" s="1573"/>
      <c r="D365" s="1573"/>
      <c r="E365" s="1573"/>
      <c r="F365" s="1573"/>
      <c r="G365" s="1573"/>
      <c r="H365" s="1573"/>
      <c r="I365" s="1573"/>
      <c r="J365" s="1573"/>
      <c r="K365" s="1573"/>
      <c r="L365" s="1573"/>
      <c r="M365" s="1573"/>
      <c r="N365" s="1573"/>
      <c r="O365" s="1573"/>
      <c r="P365" s="1573"/>
      <c r="Q365" s="1573"/>
    </row>
    <row r="366" spans="1:17" s="295" customFormat="1" ht="75" x14ac:dyDescent="0.25">
      <c r="A366" s="273"/>
      <c r="B366" s="332">
        <v>1</v>
      </c>
      <c r="C366" s="305"/>
      <c r="D366" s="261"/>
      <c r="E366" s="582" t="s">
        <v>341</v>
      </c>
      <c r="F366" s="430">
        <f>SUM(F367:F374)</f>
        <v>128349.09999999999</v>
      </c>
      <c r="G366" s="430">
        <f>SUM(G367:G374)</f>
        <v>144696.71</v>
      </c>
      <c r="H366" s="430">
        <f>SUM(H367:H374)</f>
        <v>154355.90000000002</v>
      </c>
      <c r="I366" s="430">
        <f>SUM(I367:I374)</f>
        <v>157080.6</v>
      </c>
      <c r="J366" s="430">
        <f>SUM(J367:J374)</f>
        <v>153078.1</v>
      </c>
      <c r="K366" s="628" t="s">
        <v>730</v>
      </c>
      <c r="L366" s="256"/>
      <c r="M366" s="649"/>
      <c r="N366" s="649"/>
      <c r="O366" s="649"/>
      <c r="P366" s="649"/>
      <c r="Q366" s="649"/>
    </row>
    <row r="367" spans="1:17" s="295" customFormat="1" x14ac:dyDescent="0.25">
      <c r="A367" s="273"/>
      <c r="B367" s="306"/>
      <c r="C367" s="652">
        <v>1</v>
      </c>
      <c r="D367" s="261"/>
      <c r="E367" s="589" t="s">
        <v>342</v>
      </c>
      <c r="F367" s="559">
        <v>3259.2</v>
      </c>
      <c r="G367" s="557">
        <v>3536.9</v>
      </c>
      <c r="H367" s="557">
        <v>8578.7999999999993</v>
      </c>
      <c r="I367" s="557">
        <v>8578.7999999999993</v>
      </c>
      <c r="J367" s="557">
        <v>8578.7999999999993</v>
      </c>
      <c r="K367" s="257" t="s">
        <v>731</v>
      </c>
      <c r="L367" s="298"/>
      <c r="M367" s="298"/>
      <c r="N367" s="298"/>
      <c r="O367" s="298"/>
      <c r="P367" s="307"/>
      <c r="Q367" s="307"/>
    </row>
    <row r="368" spans="1:17" s="295" customFormat="1" ht="30" x14ac:dyDescent="0.25">
      <c r="A368" s="273"/>
      <c r="B368" s="255"/>
      <c r="C368" s="652">
        <v>2</v>
      </c>
      <c r="D368" s="649"/>
      <c r="E368" s="628" t="s">
        <v>343</v>
      </c>
      <c r="F368" s="557">
        <v>3911.1</v>
      </c>
      <c r="G368" s="557">
        <v>4244.2</v>
      </c>
      <c r="H368" s="557">
        <v>3655</v>
      </c>
      <c r="I368" s="557">
        <v>3655</v>
      </c>
      <c r="J368" s="557">
        <v>3655</v>
      </c>
      <c r="K368" s="257" t="s">
        <v>732</v>
      </c>
      <c r="L368" s="601" t="s">
        <v>14</v>
      </c>
      <c r="M368" s="645">
        <v>99</v>
      </c>
      <c r="N368" s="645">
        <v>99</v>
      </c>
      <c r="O368" s="645">
        <v>99</v>
      </c>
      <c r="P368" s="645">
        <v>99</v>
      </c>
      <c r="Q368" s="645">
        <v>99</v>
      </c>
    </row>
    <row r="369" spans="1:17" s="295" customFormat="1" ht="30" x14ac:dyDescent="0.25">
      <c r="A369" s="273"/>
      <c r="B369" s="255"/>
      <c r="C369" s="652">
        <v>3</v>
      </c>
      <c r="D369" s="649"/>
      <c r="E369" s="628" t="s">
        <v>142</v>
      </c>
      <c r="F369" s="557">
        <v>3911.1</v>
      </c>
      <c r="G369" s="557">
        <v>4244.2</v>
      </c>
      <c r="H369" s="557">
        <v>3608.4</v>
      </c>
      <c r="I369" s="557">
        <v>3608.4</v>
      </c>
      <c r="J369" s="557">
        <v>3608.4</v>
      </c>
      <c r="K369" s="257" t="s">
        <v>733</v>
      </c>
      <c r="L369" s="601" t="s">
        <v>14</v>
      </c>
      <c r="M369" s="645">
        <v>90</v>
      </c>
      <c r="N369" s="645">
        <v>91</v>
      </c>
      <c r="O369" s="645">
        <v>90</v>
      </c>
      <c r="P369" s="645">
        <v>90</v>
      </c>
      <c r="Q369" s="645">
        <v>90</v>
      </c>
    </row>
    <row r="370" spans="1:17" s="295" customFormat="1" ht="30" x14ac:dyDescent="0.25">
      <c r="A370" s="273"/>
      <c r="B370" s="255"/>
      <c r="C370" s="652">
        <v>4</v>
      </c>
      <c r="D370" s="649"/>
      <c r="E370" s="628" t="s">
        <v>143</v>
      </c>
      <c r="F370" s="557">
        <v>5866.6</v>
      </c>
      <c r="G370" s="557">
        <v>6366.33</v>
      </c>
      <c r="H370" s="557">
        <v>5207</v>
      </c>
      <c r="I370" s="557">
        <v>5207</v>
      </c>
      <c r="J370" s="557">
        <v>5207</v>
      </c>
      <c r="K370" s="257" t="s">
        <v>734</v>
      </c>
      <c r="L370" s="601" t="s">
        <v>14</v>
      </c>
      <c r="M370" s="645">
        <v>95</v>
      </c>
      <c r="N370" s="645">
        <v>95</v>
      </c>
      <c r="O370" s="645">
        <v>95</v>
      </c>
      <c r="P370" s="645">
        <v>95</v>
      </c>
      <c r="Q370" s="645">
        <v>95</v>
      </c>
    </row>
    <row r="371" spans="1:17" s="295" customFormat="1" ht="30" x14ac:dyDescent="0.25">
      <c r="A371" s="273"/>
      <c r="B371" s="255"/>
      <c r="C371" s="652">
        <v>5</v>
      </c>
      <c r="D371" s="649"/>
      <c r="E371" s="628" t="s">
        <v>344</v>
      </c>
      <c r="F371" s="557">
        <v>1303.7</v>
      </c>
      <c r="G371" s="557">
        <v>1414.74</v>
      </c>
      <c r="H371" s="557">
        <v>1130</v>
      </c>
      <c r="I371" s="557">
        <v>1130</v>
      </c>
      <c r="J371" s="557">
        <v>1130</v>
      </c>
      <c r="K371" s="257" t="s">
        <v>735</v>
      </c>
      <c r="L371" s="601"/>
      <c r="M371" s="645">
        <v>1450</v>
      </c>
      <c r="N371" s="645">
        <v>1450</v>
      </c>
      <c r="O371" s="645">
        <v>1450</v>
      </c>
      <c r="P371" s="645">
        <v>1500</v>
      </c>
      <c r="Q371" s="645">
        <v>1500</v>
      </c>
    </row>
    <row r="372" spans="1:17" s="295" customFormat="1" ht="30" x14ac:dyDescent="0.25">
      <c r="A372" s="273"/>
      <c r="B372" s="2232"/>
      <c r="C372" s="648">
        <v>6</v>
      </c>
      <c r="D372" s="309"/>
      <c r="E372" s="2220" t="s">
        <v>345</v>
      </c>
      <c r="F372" s="2136">
        <v>97465.4</v>
      </c>
      <c r="G372" s="2136">
        <v>105258.34</v>
      </c>
      <c r="H372" s="1599">
        <f>66952.8+45917.8-325.9</f>
        <v>112544.70000000001</v>
      </c>
      <c r="I372" s="2136">
        <f>66952.8-1241.1-1974.9+41679.3-0.2+9895.5</f>
        <v>115311.40000000001</v>
      </c>
      <c r="J372" s="2136">
        <f>66952.8+5566.4+53253.7-14540.2-38.5</f>
        <v>111194.2</v>
      </c>
      <c r="K372" s="257" t="s">
        <v>736</v>
      </c>
      <c r="L372" s="1544" t="s">
        <v>14</v>
      </c>
      <c r="M372" s="308">
        <v>16.842105263157894</v>
      </c>
      <c r="N372" s="308">
        <v>16.842105263157894</v>
      </c>
      <c r="O372" s="308">
        <f>71/285*100</f>
        <v>24.912280701754387</v>
      </c>
      <c r="P372" s="308">
        <f t="shared" ref="P372:Q372" si="53">71/285*100</f>
        <v>24.912280701754387</v>
      </c>
      <c r="Q372" s="308">
        <f t="shared" si="53"/>
        <v>24.912280701754387</v>
      </c>
    </row>
    <row r="373" spans="1:17" s="295" customFormat="1" x14ac:dyDescent="0.25">
      <c r="A373" s="273"/>
      <c r="B373" s="1867"/>
      <c r="C373" s="634"/>
      <c r="D373" s="310"/>
      <c r="E373" s="2220"/>
      <c r="F373" s="1600"/>
      <c r="G373" s="1600"/>
      <c r="H373" s="1600"/>
      <c r="I373" s="1600"/>
      <c r="J373" s="1600"/>
      <c r="K373" s="257"/>
      <c r="L373" s="1545"/>
      <c r="M373" s="299">
        <v>20.714285714285715</v>
      </c>
      <c r="N373" s="299">
        <v>20.714285714285715</v>
      </c>
      <c r="O373" s="299">
        <f>145/700*100</f>
        <v>20.714285714285715</v>
      </c>
      <c r="P373" s="299">
        <f t="shared" ref="P373:Q373" si="54">145/700*100</f>
        <v>20.714285714285715</v>
      </c>
      <c r="Q373" s="299">
        <f t="shared" si="54"/>
        <v>20.714285714285715</v>
      </c>
    </row>
    <row r="374" spans="1:17" s="295" customFormat="1" ht="75" x14ac:dyDescent="0.25">
      <c r="A374" s="273"/>
      <c r="B374" s="255"/>
      <c r="C374" s="652">
        <v>15</v>
      </c>
      <c r="D374" s="649"/>
      <c r="E374" s="565" t="s">
        <v>346</v>
      </c>
      <c r="F374" s="303">
        <v>12632</v>
      </c>
      <c r="G374" s="729">
        <v>19632</v>
      </c>
      <c r="H374" s="729">
        <f>2632+17000</f>
        <v>19632</v>
      </c>
      <c r="I374" s="729">
        <f>2590+17000</f>
        <v>19590</v>
      </c>
      <c r="J374" s="729">
        <f>2704.7+17000</f>
        <v>19704.7</v>
      </c>
      <c r="K374" s="628" t="s">
        <v>737</v>
      </c>
      <c r="L374" s="601" t="s">
        <v>898</v>
      </c>
      <c r="M374" s="427">
        <v>4725</v>
      </c>
      <c r="N374" s="427">
        <v>4950</v>
      </c>
      <c r="O374" s="427">
        <v>5000</v>
      </c>
      <c r="P374" s="427">
        <v>5050</v>
      </c>
      <c r="Q374" s="427">
        <v>5100</v>
      </c>
    </row>
    <row r="375" spans="1:17" s="295" customFormat="1" ht="45" customHeight="1" x14ac:dyDescent="0.25">
      <c r="A375" s="273"/>
      <c r="B375" s="1998">
        <v>2</v>
      </c>
      <c r="C375" s="2367"/>
      <c r="D375" s="2255"/>
      <c r="E375" s="2264" t="s">
        <v>347</v>
      </c>
      <c r="F375" s="2149">
        <f>F377+F381+F382+F383</f>
        <v>58014.1</v>
      </c>
      <c r="G375" s="2149">
        <f>G377+G381+G382+G383</f>
        <v>63663.360000000001</v>
      </c>
      <c r="H375" s="2149">
        <f>H377+H381+H382+H383</f>
        <v>55518</v>
      </c>
      <c r="I375" s="2149">
        <f>I377+I381+I382+I383</f>
        <v>55518</v>
      </c>
      <c r="J375" s="2149">
        <f>J377+J381+J382+J383</f>
        <v>55518</v>
      </c>
      <c r="K375" s="1808" t="s">
        <v>738</v>
      </c>
      <c r="L375" s="511"/>
      <c r="M375" s="511" t="s">
        <v>899</v>
      </c>
      <c r="N375" s="511" t="s">
        <v>899</v>
      </c>
      <c r="O375" s="511" t="s">
        <v>900</v>
      </c>
      <c r="P375" s="511" t="s">
        <v>899</v>
      </c>
      <c r="Q375" s="511" t="s">
        <v>900</v>
      </c>
    </row>
    <row r="376" spans="1:17" s="295" customFormat="1" ht="75" customHeight="1" x14ac:dyDescent="0.25">
      <c r="A376" s="273"/>
      <c r="B376" s="2249"/>
      <c r="C376" s="2367"/>
      <c r="D376" s="2255"/>
      <c r="E376" s="2264"/>
      <c r="F376" s="2150"/>
      <c r="G376" s="2150"/>
      <c r="H376" s="2150"/>
      <c r="I376" s="2150"/>
      <c r="J376" s="2150"/>
      <c r="K376" s="1808"/>
      <c r="L376" s="511"/>
      <c r="M376" s="583"/>
      <c r="N376" s="583"/>
      <c r="O376" s="583"/>
      <c r="P376" s="583"/>
      <c r="Q376" s="583"/>
    </row>
    <row r="377" spans="1:17" s="295" customFormat="1" ht="45" x14ac:dyDescent="0.25">
      <c r="A377" s="273"/>
      <c r="B377" s="363"/>
      <c r="C377" s="364">
        <v>1</v>
      </c>
      <c r="D377" s="259"/>
      <c r="E377" s="565" t="s">
        <v>348</v>
      </c>
      <c r="F377" s="1649">
        <v>34547.699999999997</v>
      </c>
      <c r="G377" s="1599">
        <v>38198.019999999997</v>
      </c>
      <c r="H377" s="1599">
        <v>33037.300000000003</v>
      </c>
      <c r="I377" s="1599">
        <v>33037.300000000003</v>
      </c>
      <c r="J377" s="1599">
        <v>33037.300000000003</v>
      </c>
      <c r="K377" s="589" t="s">
        <v>739</v>
      </c>
      <c r="L377" s="41" t="s">
        <v>14</v>
      </c>
      <c r="M377" s="540" t="s">
        <v>66</v>
      </c>
      <c r="N377" s="540" t="s">
        <v>66</v>
      </c>
      <c r="O377" s="260">
        <v>1</v>
      </c>
      <c r="P377" s="260">
        <v>1</v>
      </c>
      <c r="Q377" s="260">
        <v>1</v>
      </c>
    </row>
    <row r="378" spans="1:17" s="295" customFormat="1" x14ac:dyDescent="0.25">
      <c r="A378" s="273"/>
      <c r="B378" s="363"/>
      <c r="C378" s="633">
        <v>2</v>
      </c>
      <c r="D378" s="258"/>
      <c r="E378" s="565" t="s">
        <v>1271</v>
      </c>
      <c r="F378" s="2033"/>
      <c r="G378" s="1610"/>
      <c r="H378" s="1610"/>
      <c r="I378" s="1610"/>
      <c r="J378" s="1610"/>
      <c r="K378" s="628" t="s">
        <v>740</v>
      </c>
      <c r="L378" s="416" t="s">
        <v>14</v>
      </c>
      <c r="M378" s="416">
        <v>54</v>
      </c>
      <c r="N378" s="416">
        <v>54</v>
      </c>
      <c r="O378" s="416">
        <v>54</v>
      </c>
      <c r="P378" s="416">
        <v>54</v>
      </c>
      <c r="Q378" s="416">
        <v>54</v>
      </c>
    </row>
    <row r="379" spans="1:17" s="295" customFormat="1" ht="60" x14ac:dyDescent="0.25">
      <c r="A379" s="273"/>
      <c r="B379" s="1998"/>
      <c r="C379" s="1881">
        <v>3</v>
      </c>
      <c r="D379" s="2250"/>
      <c r="E379" s="2220" t="s">
        <v>1272</v>
      </c>
      <c r="F379" s="2033"/>
      <c r="G379" s="1610"/>
      <c r="H379" s="1610"/>
      <c r="I379" s="1610"/>
      <c r="J379" s="1610"/>
      <c r="K379" s="589" t="s">
        <v>741</v>
      </c>
      <c r="L379" s="41"/>
      <c r="M379" s="511" t="s">
        <v>899</v>
      </c>
      <c r="N379" s="511" t="s">
        <v>899</v>
      </c>
      <c r="O379" s="511" t="s">
        <v>900</v>
      </c>
      <c r="P379" s="511" t="s">
        <v>899</v>
      </c>
      <c r="Q379" s="511" t="s">
        <v>900</v>
      </c>
    </row>
    <row r="380" spans="1:17" s="295" customFormat="1" ht="75" x14ac:dyDescent="0.25">
      <c r="A380" s="273"/>
      <c r="B380" s="2249"/>
      <c r="C380" s="1882"/>
      <c r="D380" s="2251"/>
      <c r="E380" s="2220"/>
      <c r="F380" s="1650"/>
      <c r="G380" s="1600"/>
      <c r="H380" s="1600"/>
      <c r="I380" s="1600"/>
      <c r="J380" s="1600"/>
      <c r="K380" s="589" t="s">
        <v>742</v>
      </c>
      <c r="L380" s="41" t="s">
        <v>67</v>
      </c>
      <c r="M380" s="511">
        <v>20</v>
      </c>
      <c r="N380" s="511">
        <v>20</v>
      </c>
      <c r="O380" s="511">
        <v>20</v>
      </c>
      <c r="P380" s="511">
        <v>20</v>
      </c>
      <c r="Q380" s="511">
        <v>20</v>
      </c>
    </row>
    <row r="381" spans="1:17" s="295" customFormat="1" ht="30" x14ac:dyDescent="0.25">
      <c r="A381" s="273"/>
      <c r="B381" s="363"/>
      <c r="C381" s="652">
        <v>4</v>
      </c>
      <c r="D381" s="261"/>
      <c r="E381" s="565" t="s">
        <v>349</v>
      </c>
      <c r="F381" s="559">
        <v>10429.5</v>
      </c>
      <c r="G381" s="421">
        <v>11317.93</v>
      </c>
      <c r="H381" s="421">
        <v>9999.2000000000007</v>
      </c>
      <c r="I381" s="421">
        <v>9999.2000000000007</v>
      </c>
      <c r="J381" s="421">
        <v>9999.2000000000007</v>
      </c>
      <c r="K381" s="257" t="s">
        <v>743</v>
      </c>
      <c r="L381" s="262" t="s">
        <v>68</v>
      </c>
      <c r="M381" s="421">
        <v>140882.20000000001</v>
      </c>
      <c r="N381" s="421">
        <v>142129.79999999999</v>
      </c>
      <c r="O381" s="263">
        <v>157043.29999999999</v>
      </c>
      <c r="P381" s="263">
        <v>161890.29999999999</v>
      </c>
      <c r="Q381" s="421">
        <v>190140.7</v>
      </c>
    </row>
    <row r="382" spans="1:17" s="295" customFormat="1" ht="30" x14ac:dyDescent="0.25">
      <c r="A382" s="273"/>
      <c r="B382" s="363"/>
      <c r="C382" s="633">
        <v>5</v>
      </c>
      <c r="D382" s="264"/>
      <c r="E382" s="565" t="s">
        <v>350</v>
      </c>
      <c r="F382" s="559">
        <v>2607.4</v>
      </c>
      <c r="G382" s="557">
        <v>2829.48</v>
      </c>
      <c r="H382" s="557">
        <v>2385.6999999999998</v>
      </c>
      <c r="I382" s="557">
        <v>2385.6999999999998</v>
      </c>
      <c r="J382" s="557">
        <v>2385.6999999999998</v>
      </c>
      <c r="K382" s="628" t="s">
        <v>744</v>
      </c>
      <c r="L382" s="511" t="s">
        <v>69</v>
      </c>
      <c r="M382" s="511">
        <v>60</v>
      </c>
      <c r="N382" s="511">
        <v>60</v>
      </c>
      <c r="O382" s="511">
        <v>60</v>
      </c>
      <c r="P382" s="511">
        <v>60</v>
      </c>
      <c r="Q382" s="511">
        <v>50</v>
      </c>
    </row>
    <row r="383" spans="1:17" s="295" customFormat="1" x14ac:dyDescent="0.25">
      <c r="A383" s="273"/>
      <c r="B383" s="1998"/>
      <c r="C383" s="2371">
        <v>6</v>
      </c>
      <c r="D383" s="2373"/>
      <c r="E383" s="2220" t="s">
        <v>1273</v>
      </c>
      <c r="F383" s="1599">
        <v>10429.5</v>
      </c>
      <c r="G383" s="1599">
        <v>11317.93</v>
      </c>
      <c r="H383" s="1599">
        <v>10095.799999999999</v>
      </c>
      <c r="I383" s="1599">
        <v>10095.799999999999</v>
      </c>
      <c r="J383" s="1599">
        <v>10095.799999999999</v>
      </c>
      <c r="K383" s="257" t="s">
        <v>745</v>
      </c>
      <c r="L383" s="262" t="s">
        <v>68</v>
      </c>
      <c r="M383" s="262">
        <v>10304.6</v>
      </c>
      <c r="N383" s="262">
        <v>9748.1</v>
      </c>
      <c r="O383" s="262">
        <v>10166.9</v>
      </c>
      <c r="P383" s="266">
        <v>8293</v>
      </c>
      <c r="Q383" s="262" t="s">
        <v>60</v>
      </c>
    </row>
    <row r="384" spans="1:17" s="295" customFormat="1" ht="30" x14ac:dyDescent="0.25">
      <c r="A384" s="273"/>
      <c r="B384" s="2249"/>
      <c r="C384" s="2372"/>
      <c r="D384" s="2374"/>
      <c r="E384" s="2220"/>
      <c r="F384" s="1600"/>
      <c r="G384" s="1600"/>
      <c r="H384" s="1600"/>
      <c r="I384" s="1600"/>
      <c r="J384" s="1600"/>
      <c r="K384" s="257" t="s">
        <v>746</v>
      </c>
      <c r="L384" s="262" t="s">
        <v>68</v>
      </c>
      <c r="M384" s="262">
        <v>27336.1</v>
      </c>
      <c r="N384" s="262">
        <v>34278.199999999997</v>
      </c>
      <c r="O384" s="266">
        <v>26965</v>
      </c>
      <c r="P384" s="262">
        <v>27931.1</v>
      </c>
      <c r="Q384" s="262" t="s">
        <v>60</v>
      </c>
    </row>
    <row r="385" spans="1:17" s="295" customFormat="1" ht="44.25" x14ac:dyDescent="0.25">
      <c r="A385" s="273"/>
      <c r="B385" s="328">
        <v>3</v>
      </c>
      <c r="C385" s="301"/>
      <c r="D385" s="647"/>
      <c r="E385" s="653" t="s">
        <v>1177</v>
      </c>
      <c r="F385" s="430">
        <v>100558.9</v>
      </c>
      <c r="G385" s="430">
        <v>109242.35</v>
      </c>
      <c r="H385" s="430">
        <f>SUM(H386:H390)</f>
        <v>121797.90000000001</v>
      </c>
      <c r="I385" s="430">
        <f>SUM(I386:I390)</f>
        <v>121797.90000000001</v>
      </c>
      <c r="J385" s="430">
        <f>SUM(J386:J390)</f>
        <v>121797.90000000001</v>
      </c>
      <c r="K385" s="628" t="s">
        <v>747</v>
      </c>
      <c r="L385" s="511" t="s">
        <v>14</v>
      </c>
      <c r="M385" s="511">
        <v>22.5</v>
      </c>
      <c r="N385" s="511">
        <v>22.5</v>
      </c>
      <c r="O385" s="511">
        <v>22.9</v>
      </c>
      <c r="P385" s="267">
        <v>23</v>
      </c>
      <c r="Q385" s="511">
        <v>23.1</v>
      </c>
    </row>
    <row r="386" spans="1:17" s="295" customFormat="1" ht="30" x14ac:dyDescent="0.25">
      <c r="A386" s="273"/>
      <c r="B386" s="1998"/>
      <c r="C386" s="1881">
        <v>1</v>
      </c>
      <c r="D386" s="2382"/>
      <c r="E386" s="2220" t="s">
        <v>351</v>
      </c>
      <c r="F386" s="1599">
        <v>7822.1</v>
      </c>
      <c r="G386" s="1629">
        <v>8488.4500000000007</v>
      </c>
      <c r="H386" s="1629">
        <v>7196.4</v>
      </c>
      <c r="I386" s="1629">
        <v>7196.4</v>
      </c>
      <c r="J386" s="1629">
        <v>7196.4</v>
      </c>
      <c r="K386" s="628" t="s">
        <v>748</v>
      </c>
      <c r="L386" s="511" t="s">
        <v>14</v>
      </c>
      <c r="M386" s="511">
        <v>22.5</v>
      </c>
      <c r="N386" s="511">
        <v>22.5</v>
      </c>
      <c r="O386" s="511">
        <v>22.9</v>
      </c>
      <c r="P386" s="267">
        <v>23</v>
      </c>
      <c r="Q386" s="511">
        <v>23.1</v>
      </c>
    </row>
    <row r="387" spans="1:17" s="295" customFormat="1" ht="60" x14ac:dyDescent="0.25">
      <c r="A387" s="273"/>
      <c r="B387" s="2249"/>
      <c r="C387" s="1882"/>
      <c r="D387" s="2251"/>
      <c r="E387" s="2220"/>
      <c r="F387" s="1610"/>
      <c r="G387" s="1629"/>
      <c r="H387" s="1629"/>
      <c r="I387" s="1629"/>
      <c r="J387" s="1629"/>
      <c r="K387" s="628" t="s">
        <v>749</v>
      </c>
      <c r="L387" s="511" t="s">
        <v>14</v>
      </c>
      <c r="M387" s="511">
        <v>0.5</v>
      </c>
      <c r="N387" s="511">
        <v>0.5</v>
      </c>
      <c r="O387" s="511">
        <v>0.5</v>
      </c>
      <c r="P387" s="511">
        <v>0.5</v>
      </c>
      <c r="Q387" s="511">
        <v>0.5</v>
      </c>
    </row>
    <row r="388" spans="1:17" s="295" customFormat="1" ht="45" x14ac:dyDescent="0.25">
      <c r="A388" s="273"/>
      <c r="B388" s="363"/>
      <c r="C388" s="652">
        <v>2</v>
      </c>
      <c r="D388" s="258"/>
      <c r="E388" s="565" t="s">
        <v>352</v>
      </c>
      <c r="F388" s="1600"/>
      <c r="G388" s="1629"/>
      <c r="H388" s="1629"/>
      <c r="I388" s="1629"/>
      <c r="J388" s="1629"/>
      <c r="K388" s="628" t="s">
        <v>750</v>
      </c>
      <c r="L388" s="511" t="s">
        <v>901</v>
      </c>
      <c r="M388" s="511">
        <v>3</v>
      </c>
      <c r="N388" s="511">
        <v>4</v>
      </c>
      <c r="O388" s="511">
        <v>4</v>
      </c>
      <c r="P388" s="511">
        <v>4</v>
      </c>
      <c r="Q388" s="511">
        <v>4</v>
      </c>
    </row>
    <row r="389" spans="1:17" s="295" customFormat="1" ht="30" x14ac:dyDescent="0.25">
      <c r="A389" s="273"/>
      <c r="B389" s="363"/>
      <c r="C389" s="652">
        <v>3</v>
      </c>
      <c r="D389" s="258"/>
      <c r="E389" s="565" t="s">
        <v>350</v>
      </c>
      <c r="F389" s="557">
        <v>2607.4</v>
      </c>
      <c r="G389" s="557">
        <v>2829.48</v>
      </c>
      <c r="H389" s="557">
        <v>2320.4</v>
      </c>
      <c r="I389" s="557">
        <v>2320.4</v>
      </c>
      <c r="J389" s="557">
        <v>2320.4</v>
      </c>
      <c r="K389" s="628" t="s">
        <v>751</v>
      </c>
      <c r="L389" s="511" t="s">
        <v>68</v>
      </c>
      <c r="M389" s="557">
        <v>500</v>
      </c>
      <c r="N389" s="557">
        <v>700</v>
      </c>
      <c r="O389" s="557">
        <v>700</v>
      </c>
      <c r="P389" s="557">
        <v>800</v>
      </c>
      <c r="Q389" s="557">
        <v>900</v>
      </c>
    </row>
    <row r="390" spans="1:17" s="295" customFormat="1" ht="60" x14ac:dyDescent="0.25">
      <c r="A390" s="273"/>
      <c r="B390" s="363"/>
      <c r="C390" s="652">
        <v>4</v>
      </c>
      <c r="D390" s="258"/>
      <c r="E390" s="565" t="s">
        <v>353</v>
      </c>
      <c r="F390" s="557">
        <v>90129.4</v>
      </c>
      <c r="G390" s="557">
        <v>97924.42</v>
      </c>
      <c r="H390" s="557">
        <v>112281.1</v>
      </c>
      <c r="I390" s="557">
        <v>112281.1</v>
      </c>
      <c r="J390" s="557">
        <v>112281.1</v>
      </c>
      <c r="K390" s="628" t="s">
        <v>752</v>
      </c>
      <c r="L390" s="511" t="s">
        <v>902</v>
      </c>
      <c r="M390" s="511">
        <v>71</v>
      </c>
      <c r="N390" s="511">
        <v>71</v>
      </c>
      <c r="O390" s="511">
        <v>71</v>
      </c>
      <c r="P390" s="511">
        <v>71</v>
      </c>
      <c r="Q390" s="511">
        <v>71</v>
      </c>
    </row>
    <row r="391" spans="1:17" s="295" customFormat="1" ht="59.25" x14ac:dyDescent="0.25">
      <c r="A391" s="273"/>
      <c r="B391" s="328">
        <v>4</v>
      </c>
      <c r="C391" s="301"/>
      <c r="D391" s="647"/>
      <c r="E391" s="653" t="s">
        <v>354</v>
      </c>
      <c r="F391" s="627">
        <f>F392</f>
        <v>5866.6</v>
      </c>
      <c r="G391" s="627">
        <f>G392</f>
        <v>6366.3</v>
      </c>
      <c r="H391" s="627">
        <f>H392</f>
        <v>5017.6000000000004</v>
      </c>
      <c r="I391" s="627">
        <f>I392</f>
        <v>5017.6000000000004</v>
      </c>
      <c r="J391" s="627">
        <f>J392</f>
        <v>5017.6000000000004</v>
      </c>
      <c r="K391" s="157" t="s">
        <v>753</v>
      </c>
      <c r="L391" s="645" t="s">
        <v>14</v>
      </c>
      <c r="M391" s="645" t="s">
        <v>70</v>
      </c>
      <c r="N391" s="645" t="s">
        <v>70</v>
      </c>
      <c r="O391" s="645" t="s">
        <v>70</v>
      </c>
      <c r="P391" s="645" t="s">
        <v>70</v>
      </c>
      <c r="Q391" s="645" t="s">
        <v>70</v>
      </c>
    </row>
    <row r="392" spans="1:17" s="295" customFormat="1" ht="30" x14ac:dyDescent="0.25">
      <c r="A392" s="273"/>
      <c r="B392" s="1998"/>
      <c r="C392" s="2000">
        <v>1</v>
      </c>
      <c r="D392" s="2247"/>
      <c r="E392" s="1777" t="s">
        <v>355</v>
      </c>
      <c r="F392" s="2136">
        <v>5866.6</v>
      </c>
      <c r="G392" s="2136">
        <v>6366.3</v>
      </c>
      <c r="H392" s="2136">
        <v>5017.6000000000004</v>
      </c>
      <c r="I392" s="2136">
        <v>5017.6000000000004</v>
      </c>
      <c r="J392" s="2136">
        <v>5017.6000000000004</v>
      </c>
      <c r="K392" s="628" t="s">
        <v>754</v>
      </c>
      <c r="L392" s="511" t="s">
        <v>71</v>
      </c>
      <c r="M392" s="511">
        <v>0</v>
      </c>
      <c r="N392" s="511">
        <v>0</v>
      </c>
      <c r="O392" s="511">
        <v>0</v>
      </c>
      <c r="P392" s="511">
        <v>0</v>
      </c>
      <c r="Q392" s="511">
        <v>0</v>
      </c>
    </row>
    <row r="393" spans="1:17" s="295" customFormat="1" ht="30" x14ac:dyDescent="0.25">
      <c r="A393" s="273"/>
      <c r="B393" s="2249"/>
      <c r="C393" s="2000"/>
      <c r="D393" s="2247"/>
      <c r="E393" s="1777"/>
      <c r="F393" s="1610"/>
      <c r="G393" s="1610"/>
      <c r="H393" s="1610"/>
      <c r="I393" s="1610"/>
      <c r="J393" s="1610"/>
      <c r="K393" s="628" t="s">
        <v>755</v>
      </c>
      <c r="L393" s="511" t="s">
        <v>14</v>
      </c>
      <c r="M393" s="511" t="s">
        <v>72</v>
      </c>
      <c r="N393" s="511" t="s">
        <v>72</v>
      </c>
      <c r="O393" s="511" t="s">
        <v>72</v>
      </c>
      <c r="P393" s="511" t="s">
        <v>72</v>
      </c>
      <c r="Q393" s="511" t="s">
        <v>72</v>
      </c>
    </row>
    <row r="394" spans="1:17" s="295" customFormat="1" ht="45" customHeight="1" x14ac:dyDescent="0.25">
      <c r="A394" s="273"/>
      <c r="B394" s="1998"/>
      <c r="C394" s="2248">
        <v>2</v>
      </c>
      <c r="D394" s="2323"/>
      <c r="E394" s="2279" t="s">
        <v>356</v>
      </c>
      <c r="F394" s="1610"/>
      <c r="G394" s="1610"/>
      <c r="H394" s="1610"/>
      <c r="I394" s="1610"/>
      <c r="J394" s="1610"/>
      <c r="K394" s="628" t="s">
        <v>756</v>
      </c>
      <c r="L394" s="511" t="s">
        <v>14</v>
      </c>
      <c r="M394" s="511">
        <v>100</v>
      </c>
      <c r="N394" s="511">
        <v>100</v>
      </c>
      <c r="O394" s="511">
        <v>100</v>
      </c>
      <c r="P394" s="511">
        <v>100</v>
      </c>
      <c r="Q394" s="511">
        <v>100</v>
      </c>
    </row>
    <row r="395" spans="1:17" s="295" customFormat="1" ht="60" x14ac:dyDescent="0.25">
      <c r="A395" s="273"/>
      <c r="B395" s="1999"/>
      <c r="C395" s="2248"/>
      <c r="D395" s="2323"/>
      <c r="E395" s="2279"/>
      <c r="F395" s="1610"/>
      <c r="G395" s="1610"/>
      <c r="H395" s="1610"/>
      <c r="I395" s="1610"/>
      <c r="J395" s="1610"/>
      <c r="K395" s="628" t="s">
        <v>757</v>
      </c>
      <c r="L395" s="511" t="s">
        <v>903</v>
      </c>
      <c r="M395" s="511" t="s">
        <v>904</v>
      </c>
      <c r="N395" s="511" t="s">
        <v>905</v>
      </c>
      <c r="O395" s="511" t="s">
        <v>905</v>
      </c>
      <c r="P395" s="511" t="s">
        <v>905</v>
      </c>
      <c r="Q395" s="511" t="s">
        <v>905</v>
      </c>
    </row>
    <row r="396" spans="1:17" s="295" customFormat="1" ht="45" x14ac:dyDescent="0.25">
      <c r="A396" s="273"/>
      <c r="B396" s="2249"/>
      <c r="C396" s="2248"/>
      <c r="D396" s="2323"/>
      <c r="E396" s="2279"/>
      <c r="F396" s="1600"/>
      <c r="G396" s="1600"/>
      <c r="H396" s="1600"/>
      <c r="I396" s="1600"/>
      <c r="J396" s="1600"/>
      <c r="K396" s="628" t="s">
        <v>758</v>
      </c>
      <c r="L396" s="511" t="s">
        <v>71</v>
      </c>
      <c r="M396" s="511">
        <v>0</v>
      </c>
      <c r="N396" s="511">
        <v>0</v>
      </c>
      <c r="O396" s="511">
        <v>0</v>
      </c>
      <c r="P396" s="511">
        <v>0</v>
      </c>
      <c r="Q396" s="511">
        <v>0</v>
      </c>
    </row>
    <row r="397" spans="1:17" s="295" customFormat="1" ht="104.25" customHeight="1" x14ac:dyDescent="0.25">
      <c r="A397" s="273"/>
      <c r="B397" s="363">
        <v>5</v>
      </c>
      <c r="C397" s="639"/>
      <c r="D397" s="649"/>
      <c r="E397" s="503" t="s">
        <v>1274</v>
      </c>
      <c r="F397" s="430">
        <v>131647.20000000001</v>
      </c>
      <c r="G397" s="430">
        <v>141729.13</v>
      </c>
      <c r="H397" s="430">
        <f>H398</f>
        <v>130373.9</v>
      </c>
      <c r="I397" s="430">
        <f t="shared" ref="I397:J397" si="55">I398</f>
        <v>130373.9</v>
      </c>
      <c r="J397" s="430">
        <f t="shared" si="55"/>
        <v>130373.9</v>
      </c>
      <c r="K397" s="628" t="s">
        <v>1275</v>
      </c>
      <c r="L397" s="511" t="s">
        <v>14</v>
      </c>
      <c r="M397" s="511">
        <v>100</v>
      </c>
      <c r="N397" s="511">
        <v>100</v>
      </c>
      <c r="O397" s="511">
        <v>100</v>
      </c>
      <c r="P397" s="511">
        <v>100</v>
      </c>
      <c r="Q397" s="511">
        <v>100</v>
      </c>
    </row>
    <row r="398" spans="1:17" s="295" customFormat="1" ht="75" x14ac:dyDescent="0.25">
      <c r="A398" s="273"/>
      <c r="B398" s="1998"/>
      <c r="C398" s="1881">
        <v>1</v>
      </c>
      <c r="D398" s="2250"/>
      <c r="E398" s="1777" t="s">
        <v>357</v>
      </c>
      <c r="F398" s="559"/>
      <c r="G398" s="1599">
        <v>141729.13</v>
      </c>
      <c r="H398" s="1599">
        <f>22886.4+107487.5</f>
        <v>130373.9</v>
      </c>
      <c r="I398" s="1599">
        <f>22886.4+107487.5</f>
        <v>130373.9</v>
      </c>
      <c r="J398" s="1599">
        <f>22886.4+107487.5</f>
        <v>130373.9</v>
      </c>
      <c r="K398" s="576" t="s">
        <v>759</v>
      </c>
      <c r="L398" s="511" t="s">
        <v>14</v>
      </c>
      <c r="M398" s="511">
        <v>100</v>
      </c>
      <c r="N398" s="511">
        <v>100</v>
      </c>
      <c r="O398" s="511">
        <v>100</v>
      </c>
      <c r="P398" s="511">
        <v>100</v>
      </c>
      <c r="Q398" s="511">
        <v>100</v>
      </c>
    </row>
    <row r="399" spans="1:17" s="295" customFormat="1" ht="60" x14ac:dyDescent="0.25">
      <c r="A399" s="273"/>
      <c r="B399" s="2249"/>
      <c r="C399" s="2000"/>
      <c r="D399" s="2247"/>
      <c r="E399" s="1777"/>
      <c r="F399" s="560"/>
      <c r="G399" s="1610"/>
      <c r="H399" s="1610"/>
      <c r="I399" s="1610"/>
      <c r="J399" s="1610"/>
      <c r="K399" s="576" t="s">
        <v>760</v>
      </c>
      <c r="L399" s="511" t="s">
        <v>14</v>
      </c>
      <c r="M399" s="511">
        <v>100</v>
      </c>
      <c r="N399" s="511">
        <v>100</v>
      </c>
      <c r="O399" s="511">
        <v>100</v>
      </c>
      <c r="P399" s="511">
        <v>100</v>
      </c>
      <c r="Q399" s="511">
        <v>100</v>
      </c>
    </row>
    <row r="400" spans="1:17" s="295" customFormat="1" ht="75" x14ac:dyDescent="0.25">
      <c r="A400" s="273"/>
      <c r="B400" s="363"/>
      <c r="C400" s="633">
        <v>2</v>
      </c>
      <c r="D400" s="646"/>
      <c r="E400" s="628" t="s">
        <v>358</v>
      </c>
      <c r="F400" s="560"/>
      <c r="G400" s="1610"/>
      <c r="H400" s="1610"/>
      <c r="I400" s="1610"/>
      <c r="J400" s="1610"/>
      <c r="K400" s="628" t="s">
        <v>761</v>
      </c>
      <c r="L400" s="511" t="s">
        <v>14</v>
      </c>
      <c r="M400" s="644">
        <v>102</v>
      </c>
      <c r="N400" s="644">
        <v>103</v>
      </c>
      <c r="O400" s="644">
        <v>103</v>
      </c>
      <c r="P400" s="644">
        <v>103</v>
      </c>
      <c r="Q400" s="644">
        <v>103</v>
      </c>
    </row>
    <row r="401" spans="1:17" s="295" customFormat="1" ht="45" x14ac:dyDescent="0.25">
      <c r="A401" s="273"/>
      <c r="B401" s="1998"/>
      <c r="C401" s="1881">
        <v>3</v>
      </c>
      <c r="D401" s="2250"/>
      <c r="E401" s="1777" t="s">
        <v>359</v>
      </c>
      <c r="F401" s="560">
        <v>131647.20000000001</v>
      </c>
      <c r="G401" s="1610"/>
      <c r="H401" s="1610"/>
      <c r="I401" s="1610"/>
      <c r="J401" s="1610"/>
      <c r="K401" s="576" t="s">
        <v>762</v>
      </c>
      <c r="L401" s="511" t="s">
        <v>908</v>
      </c>
      <c r="M401" s="268" t="s">
        <v>906</v>
      </c>
      <c r="N401" s="268" t="s">
        <v>906</v>
      </c>
      <c r="O401" s="268" t="s">
        <v>907</v>
      </c>
      <c r="P401" s="268" t="s">
        <v>907</v>
      </c>
      <c r="Q401" s="268" t="s">
        <v>907</v>
      </c>
    </row>
    <row r="402" spans="1:17" s="295" customFormat="1" ht="45" x14ac:dyDescent="0.25">
      <c r="A402" s="273"/>
      <c r="B402" s="1999"/>
      <c r="C402" s="2000"/>
      <c r="D402" s="2247"/>
      <c r="E402" s="1777"/>
      <c r="F402" s="560"/>
      <c r="G402" s="1610"/>
      <c r="H402" s="1610"/>
      <c r="I402" s="1610"/>
      <c r="J402" s="1610"/>
      <c r="K402" s="576" t="s">
        <v>763</v>
      </c>
      <c r="L402" s="511" t="s">
        <v>908</v>
      </c>
      <c r="M402" s="513">
        <v>43586</v>
      </c>
      <c r="N402" s="513">
        <v>43586</v>
      </c>
      <c r="O402" s="513">
        <v>43586</v>
      </c>
      <c r="P402" s="513">
        <v>43586</v>
      </c>
      <c r="Q402" s="513">
        <v>43586</v>
      </c>
    </row>
    <row r="403" spans="1:17" s="295" customFormat="1" ht="60" x14ac:dyDescent="0.25">
      <c r="A403" s="273"/>
      <c r="B403" s="2249"/>
      <c r="C403" s="1882"/>
      <c r="D403" s="2251"/>
      <c r="E403" s="1777"/>
      <c r="F403" s="560"/>
      <c r="G403" s="1610"/>
      <c r="H403" s="1610"/>
      <c r="I403" s="1610"/>
      <c r="J403" s="1610"/>
      <c r="K403" s="576" t="s">
        <v>764</v>
      </c>
      <c r="L403" s="511" t="s">
        <v>908</v>
      </c>
      <c r="M403" s="513">
        <v>43966</v>
      </c>
      <c r="N403" s="513">
        <v>43600</v>
      </c>
      <c r="O403" s="268" t="s">
        <v>73</v>
      </c>
      <c r="P403" s="268" t="s">
        <v>73</v>
      </c>
      <c r="Q403" s="268" t="s">
        <v>73</v>
      </c>
    </row>
    <row r="404" spans="1:17" s="295" customFormat="1" ht="105" x14ac:dyDescent="0.25">
      <c r="A404" s="273"/>
      <c r="B404" s="363"/>
      <c r="C404" s="633">
        <v>4</v>
      </c>
      <c r="D404" s="646"/>
      <c r="E404" s="576" t="s">
        <v>360</v>
      </c>
      <c r="F404" s="539"/>
      <c r="G404" s="1600"/>
      <c r="H404" s="1600"/>
      <c r="I404" s="1600"/>
      <c r="J404" s="1600"/>
      <c r="K404" s="565" t="s">
        <v>765</v>
      </c>
      <c r="L404" s="511" t="s">
        <v>14</v>
      </c>
      <c r="M404" s="268">
        <v>100</v>
      </c>
      <c r="N404" s="268">
        <v>100</v>
      </c>
      <c r="O404" s="268">
        <v>100</v>
      </c>
      <c r="P404" s="268">
        <v>100</v>
      </c>
      <c r="Q404" s="268">
        <v>100</v>
      </c>
    </row>
    <row r="405" spans="1:17" s="295" customFormat="1" ht="117.75" customHeight="1" x14ac:dyDescent="0.25">
      <c r="A405" s="273"/>
      <c r="B405" s="328">
        <v>6</v>
      </c>
      <c r="C405" s="639"/>
      <c r="D405" s="649"/>
      <c r="E405" s="157" t="s">
        <v>361</v>
      </c>
      <c r="F405" s="430">
        <v>12590.1</v>
      </c>
      <c r="G405" s="430">
        <v>23831.5</v>
      </c>
      <c r="H405" s="430">
        <f>H406</f>
        <v>12431.5</v>
      </c>
      <c r="I405" s="430">
        <f t="shared" ref="I405:J405" si="56">I406</f>
        <v>12233.2</v>
      </c>
      <c r="J405" s="430">
        <f t="shared" si="56"/>
        <v>12774.7</v>
      </c>
      <c r="K405" s="157" t="s">
        <v>1276</v>
      </c>
      <c r="L405" s="511" t="s">
        <v>14</v>
      </c>
      <c r="M405" s="511">
        <v>100</v>
      </c>
      <c r="N405" s="511">
        <v>100</v>
      </c>
      <c r="O405" s="512"/>
      <c r="P405" s="512"/>
      <c r="Q405" s="512"/>
    </row>
    <row r="406" spans="1:17" s="295" customFormat="1" x14ac:dyDescent="0.25">
      <c r="A406" s="273"/>
      <c r="B406" s="1998"/>
      <c r="C406" s="2246">
        <v>3</v>
      </c>
      <c r="D406" s="2312"/>
      <c r="E406" s="1777" t="s">
        <v>362</v>
      </c>
      <c r="F406" s="1599">
        <v>12590.1</v>
      </c>
      <c r="G406" s="1599">
        <v>23831.5</v>
      </c>
      <c r="H406" s="1599">
        <v>12431.5</v>
      </c>
      <c r="I406" s="1599">
        <v>12233.2</v>
      </c>
      <c r="J406" s="1599">
        <v>12774.7</v>
      </c>
      <c r="K406" s="839" t="s">
        <v>766</v>
      </c>
      <c r="L406" s="644" t="s">
        <v>16</v>
      </c>
      <c r="M406" s="644">
        <v>438</v>
      </c>
      <c r="N406" s="644">
        <v>440</v>
      </c>
      <c r="O406" s="548"/>
      <c r="P406" s="548"/>
      <c r="Q406" s="548"/>
    </row>
    <row r="407" spans="1:17" s="295" customFormat="1" ht="45" x14ac:dyDescent="0.25">
      <c r="A407" s="273"/>
      <c r="B407" s="1999"/>
      <c r="C407" s="2246"/>
      <c r="D407" s="2312"/>
      <c r="E407" s="1777"/>
      <c r="F407" s="1610"/>
      <c r="G407" s="1610"/>
      <c r="H407" s="1610"/>
      <c r="I407" s="1610"/>
      <c r="J407" s="1610"/>
      <c r="K407" s="576" t="s">
        <v>767</v>
      </c>
      <c r="L407" s="511" t="s">
        <v>14</v>
      </c>
      <c r="M407" s="511">
        <v>80</v>
      </c>
      <c r="N407" s="511">
        <v>80</v>
      </c>
      <c r="O407" s="512"/>
      <c r="P407" s="512"/>
      <c r="Q407" s="512"/>
    </row>
    <row r="408" spans="1:17" s="295" customFormat="1" x14ac:dyDescent="0.25">
      <c r="A408" s="273"/>
      <c r="B408" s="2249"/>
      <c r="C408" s="2246"/>
      <c r="D408" s="2312"/>
      <c r="E408" s="1777"/>
      <c r="F408" s="1610"/>
      <c r="G408" s="1610"/>
      <c r="H408" s="1610"/>
      <c r="I408" s="1610"/>
      <c r="J408" s="1610"/>
      <c r="K408" s="576" t="s">
        <v>768</v>
      </c>
      <c r="L408" s="511" t="s">
        <v>977</v>
      </c>
      <c r="M408" s="267">
        <v>1460</v>
      </c>
      <c r="N408" s="267">
        <v>1480</v>
      </c>
      <c r="O408" s="512"/>
      <c r="P408" s="512"/>
      <c r="Q408" s="512"/>
    </row>
    <row r="409" spans="1:17" s="295" customFormat="1" ht="60" x14ac:dyDescent="0.25">
      <c r="A409" s="273"/>
      <c r="B409" s="328"/>
      <c r="C409" s="650">
        <v>2</v>
      </c>
      <c r="D409" s="651"/>
      <c r="E409" s="576" t="s">
        <v>363</v>
      </c>
      <c r="F409" s="1610"/>
      <c r="G409" s="1610"/>
      <c r="H409" s="1610"/>
      <c r="I409" s="1610"/>
      <c r="J409" s="1610"/>
      <c r="K409" s="576" t="s">
        <v>769</v>
      </c>
      <c r="L409" s="511" t="s">
        <v>977</v>
      </c>
      <c r="M409" s="511">
        <v>2300</v>
      </c>
      <c r="N409" s="511">
        <v>2340</v>
      </c>
      <c r="O409" s="512">
        <v>2380</v>
      </c>
      <c r="P409" s="512">
        <v>2420</v>
      </c>
      <c r="Q409" s="512">
        <v>2460</v>
      </c>
    </row>
    <row r="410" spans="1:17" s="295" customFormat="1" ht="48" customHeight="1" x14ac:dyDescent="0.25">
      <c r="A410" s="273"/>
      <c r="B410" s="328"/>
      <c r="C410" s="275">
        <v>3</v>
      </c>
      <c r="D410" s="269"/>
      <c r="E410" s="576" t="s">
        <v>1277</v>
      </c>
      <c r="F410" s="1600"/>
      <c r="G410" s="1600"/>
      <c r="H410" s="1600"/>
      <c r="I410" s="1600"/>
      <c r="J410" s="1600"/>
      <c r="K410" s="576" t="s">
        <v>1278</v>
      </c>
      <c r="L410" s="511" t="s">
        <v>14</v>
      </c>
      <c r="M410" s="511">
        <v>100</v>
      </c>
      <c r="N410" s="511">
        <v>100</v>
      </c>
      <c r="O410" s="512"/>
      <c r="P410" s="512"/>
      <c r="Q410" s="512"/>
    </row>
    <row r="411" spans="1:17" s="295" customFormat="1" ht="58.5" x14ac:dyDescent="0.25">
      <c r="A411" s="273"/>
      <c r="B411" s="328">
        <v>7</v>
      </c>
      <c r="C411" s="639"/>
      <c r="D411" s="649"/>
      <c r="E411" s="157" t="s">
        <v>364</v>
      </c>
      <c r="F411" s="430">
        <v>23465</v>
      </c>
      <c r="G411" s="430">
        <v>22175.739999999998</v>
      </c>
      <c r="H411" s="430">
        <f>H412+H413+H414+H415</f>
        <v>20145.7</v>
      </c>
      <c r="I411" s="430">
        <f t="shared" ref="I411" si="57">I412+I413+I414+I415</f>
        <v>19875.399999999998</v>
      </c>
      <c r="J411" s="430">
        <f>J412+J413+J414+J415</f>
        <v>20413.599999999999</v>
      </c>
      <c r="K411" s="576" t="s">
        <v>770</v>
      </c>
      <c r="L411" s="511" t="s">
        <v>893</v>
      </c>
      <c r="M411" s="511" t="s">
        <v>74</v>
      </c>
      <c r="N411" s="511" t="s">
        <v>74</v>
      </c>
      <c r="O411" s="512" t="s">
        <v>133</v>
      </c>
      <c r="P411" s="512" t="s">
        <v>133</v>
      </c>
      <c r="Q411" s="512" t="s">
        <v>133</v>
      </c>
    </row>
    <row r="412" spans="1:17" s="295" customFormat="1" x14ac:dyDescent="0.25">
      <c r="A412" s="273"/>
      <c r="B412" s="363"/>
      <c r="C412" s="652">
        <v>1</v>
      </c>
      <c r="D412" s="264"/>
      <c r="E412" s="576" t="s">
        <v>365</v>
      </c>
      <c r="F412" s="557">
        <v>3911.1</v>
      </c>
      <c r="G412" s="557">
        <v>4244.22</v>
      </c>
      <c r="H412" s="557">
        <v>4544.3999999999996</v>
      </c>
      <c r="I412" s="557">
        <v>4544.3999999999996</v>
      </c>
      <c r="J412" s="557">
        <v>4544.3999999999996</v>
      </c>
      <c r="K412" s="576" t="s">
        <v>771</v>
      </c>
      <c r="L412" s="511" t="s">
        <v>910</v>
      </c>
      <c r="M412" s="511">
        <v>1508</v>
      </c>
      <c r="N412" s="511">
        <v>1460</v>
      </c>
      <c r="O412" s="511">
        <v>1491</v>
      </c>
      <c r="P412" s="511">
        <v>1492</v>
      </c>
      <c r="Q412" s="511">
        <v>1471</v>
      </c>
    </row>
    <row r="413" spans="1:17" s="295" customFormat="1" ht="45" x14ac:dyDescent="0.25">
      <c r="A413" s="273"/>
      <c r="B413" s="363"/>
      <c r="C413" s="365">
        <v>2</v>
      </c>
      <c r="D413" s="264"/>
      <c r="E413" s="576" t="s">
        <v>366</v>
      </c>
      <c r="F413" s="557">
        <v>2607.4</v>
      </c>
      <c r="G413" s="557">
        <v>707.37</v>
      </c>
      <c r="H413" s="557">
        <v>639.29999999999995</v>
      </c>
      <c r="I413" s="557">
        <v>639.29999999999995</v>
      </c>
      <c r="J413" s="557">
        <v>639.29999999999995</v>
      </c>
      <c r="K413" s="576" t="s">
        <v>770</v>
      </c>
      <c r="L413" s="511" t="s">
        <v>893</v>
      </c>
      <c r="M413" s="511" t="s">
        <v>913</v>
      </c>
      <c r="N413" s="511" t="s">
        <v>913</v>
      </c>
      <c r="O413" s="511" t="s">
        <v>914</v>
      </c>
      <c r="P413" s="511" t="s">
        <v>915</v>
      </c>
      <c r="Q413" s="511" t="s">
        <v>915</v>
      </c>
    </row>
    <row r="414" spans="1:17" s="295" customFormat="1" ht="60" x14ac:dyDescent="0.25">
      <c r="A414" s="273"/>
      <c r="B414" s="363"/>
      <c r="C414" s="365">
        <v>3</v>
      </c>
      <c r="D414" s="264"/>
      <c r="E414" s="576" t="s">
        <v>367</v>
      </c>
      <c r="F414" s="557">
        <v>13687.3</v>
      </c>
      <c r="G414" s="557">
        <v>13687.3</v>
      </c>
      <c r="H414" s="557">
        <v>12074.2</v>
      </c>
      <c r="I414" s="557">
        <v>11803.9</v>
      </c>
      <c r="J414" s="557">
        <v>12342.1</v>
      </c>
      <c r="K414" s="565" t="s">
        <v>772</v>
      </c>
      <c r="L414" s="511"/>
      <c r="M414" s="511">
        <v>4</v>
      </c>
      <c r="N414" s="511">
        <v>5</v>
      </c>
      <c r="O414" s="511">
        <v>5</v>
      </c>
      <c r="P414" s="511">
        <v>5</v>
      </c>
      <c r="Q414" s="511">
        <v>5</v>
      </c>
    </row>
    <row r="415" spans="1:17" s="295" customFormat="1" ht="60" x14ac:dyDescent="0.25">
      <c r="A415" s="273"/>
      <c r="B415" s="363"/>
      <c r="C415" s="652">
        <v>4</v>
      </c>
      <c r="D415" s="264"/>
      <c r="E415" s="576" t="s">
        <v>368</v>
      </c>
      <c r="F415" s="557">
        <v>3259.2</v>
      </c>
      <c r="G415" s="557">
        <v>3536.85</v>
      </c>
      <c r="H415" s="557">
        <v>2887.8</v>
      </c>
      <c r="I415" s="557">
        <v>2887.8</v>
      </c>
      <c r="J415" s="557">
        <v>2887.8</v>
      </c>
      <c r="K415" s="576" t="s">
        <v>773</v>
      </c>
      <c r="L415" s="511" t="s">
        <v>911</v>
      </c>
      <c r="M415" s="511">
        <v>17</v>
      </c>
      <c r="N415" s="511">
        <v>11</v>
      </c>
      <c r="O415" s="511">
        <v>16</v>
      </c>
      <c r="P415" s="511">
        <v>16</v>
      </c>
      <c r="Q415" s="511">
        <v>16</v>
      </c>
    </row>
    <row r="416" spans="1:17" s="295" customFormat="1" ht="88.5" x14ac:dyDescent="0.25">
      <c r="A416" s="273"/>
      <c r="B416" s="328">
        <v>8</v>
      </c>
      <c r="C416" s="639"/>
      <c r="D416" s="649"/>
      <c r="E416" s="157" t="s">
        <v>1279</v>
      </c>
      <c r="F416" s="430">
        <f>F417+F418+F420+F425</f>
        <v>14340.199999999999</v>
      </c>
      <c r="G416" s="430">
        <f>G417+G418+G420+G425</f>
        <v>15991.57</v>
      </c>
      <c r="H416" s="430">
        <f>H417+H418+H420+H425</f>
        <v>16335.699999999999</v>
      </c>
      <c r="I416" s="430">
        <f>I417+I418+I420+I425</f>
        <v>16330.3</v>
      </c>
      <c r="J416" s="430">
        <f>J417+J418+J420+J425</f>
        <v>16530.3</v>
      </c>
      <c r="K416" s="576" t="s">
        <v>774</v>
      </c>
      <c r="L416" s="540"/>
      <c r="M416" s="271" t="s">
        <v>916</v>
      </c>
      <c r="N416" s="271" t="s">
        <v>916</v>
      </c>
      <c r="O416" s="271" t="s">
        <v>916</v>
      </c>
      <c r="P416" s="271" t="s">
        <v>916</v>
      </c>
      <c r="Q416" s="271" t="s">
        <v>916</v>
      </c>
    </row>
    <row r="417" spans="1:17" s="295" customFormat="1" ht="45" x14ac:dyDescent="0.25">
      <c r="A417" s="273"/>
      <c r="B417" s="363"/>
      <c r="C417" s="652">
        <v>1</v>
      </c>
      <c r="D417" s="264"/>
      <c r="E417" s="576" t="s">
        <v>369</v>
      </c>
      <c r="F417" s="557">
        <v>1955.5</v>
      </c>
      <c r="G417" s="557">
        <v>2122.11</v>
      </c>
      <c r="H417" s="557">
        <v>2153.8000000000002</v>
      </c>
      <c r="I417" s="557">
        <v>2153.8000000000002</v>
      </c>
      <c r="J417" s="557">
        <v>2153.8000000000002</v>
      </c>
      <c r="K417" s="576" t="s">
        <v>775</v>
      </c>
      <c r="L417" s="511" t="s">
        <v>912</v>
      </c>
      <c r="M417" s="511">
        <v>4</v>
      </c>
      <c r="N417" s="511">
        <v>4</v>
      </c>
      <c r="O417" s="511">
        <v>1</v>
      </c>
      <c r="P417" s="511">
        <v>1</v>
      </c>
      <c r="Q417" s="511">
        <v>1</v>
      </c>
    </row>
    <row r="418" spans="1:17" s="295" customFormat="1" ht="30" customHeight="1" x14ac:dyDescent="0.25">
      <c r="A418" s="273"/>
      <c r="B418" s="1998"/>
      <c r="C418" s="2318">
        <v>2</v>
      </c>
      <c r="D418" s="2250"/>
      <c r="E418" s="1777" t="s">
        <v>370</v>
      </c>
      <c r="F418" s="1599">
        <v>2607.4</v>
      </c>
      <c r="G418" s="1599">
        <v>2829.48</v>
      </c>
      <c r="H418" s="1599">
        <v>2527.5</v>
      </c>
      <c r="I418" s="1599">
        <v>2527.5</v>
      </c>
      <c r="J418" s="1599">
        <v>2527.5</v>
      </c>
      <c r="K418" s="1777" t="s">
        <v>776</v>
      </c>
      <c r="L418" s="511" t="s">
        <v>912</v>
      </c>
      <c r="M418" s="511">
        <v>3</v>
      </c>
      <c r="N418" s="511">
        <v>3</v>
      </c>
      <c r="O418" s="511">
        <v>3</v>
      </c>
      <c r="P418" s="511">
        <v>3</v>
      </c>
      <c r="Q418" s="511">
        <v>3</v>
      </c>
    </row>
    <row r="419" spans="1:17" s="295" customFormat="1" x14ac:dyDescent="0.25">
      <c r="A419" s="273"/>
      <c r="B419" s="2249"/>
      <c r="C419" s="1882"/>
      <c r="D419" s="2251"/>
      <c r="E419" s="1777"/>
      <c r="F419" s="1600"/>
      <c r="G419" s="1600"/>
      <c r="H419" s="1600"/>
      <c r="I419" s="1600"/>
      <c r="J419" s="1600"/>
      <c r="K419" s="1777"/>
      <c r="L419" s="645" t="s">
        <v>14</v>
      </c>
      <c r="M419" s="272">
        <v>1</v>
      </c>
      <c r="N419" s="272">
        <v>1</v>
      </c>
      <c r="O419" s="272">
        <v>1</v>
      </c>
      <c r="P419" s="272">
        <v>1</v>
      </c>
      <c r="Q419" s="272">
        <v>1</v>
      </c>
    </row>
    <row r="420" spans="1:17" s="295" customFormat="1" ht="30" x14ac:dyDescent="0.25">
      <c r="A420" s="273"/>
      <c r="B420" s="363"/>
      <c r="C420" s="652">
        <v>3</v>
      </c>
      <c r="D420" s="264"/>
      <c r="E420" s="576" t="s">
        <v>371</v>
      </c>
      <c r="F420" s="1599">
        <v>3258.9</v>
      </c>
      <c r="G420" s="1629">
        <v>3258.9</v>
      </c>
      <c r="H420" s="1629">
        <v>4872</v>
      </c>
      <c r="I420" s="1629">
        <v>4872</v>
      </c>
      <c r="J420" s="1629">
        <v>5072</v>
      </c>
      <c r="K420" s="1777" t="s">
        <v>777</v>
      </c>
      <c r="L420" s="2365"/>
      <c r="M420" s="1597" t="s">
        <v>75</v>
      </c>
      <c r="N420" s="1597" t="s">
        <v>75</v>
      </c>
      <c r="O420" s="1597" t="s">
        <v>75</v>
      </c>
      <c r="P420" s="1597" t="s">
        <v>75</v>
      </c>
      <c r="Q420" s="1597" t="s">
        <v>75</v>
      </c>
    </row>
    <row r="421" spans="1:17" s="295" customFormat="1" ht="45" x14ac:dyDescent="0.25">
      <c r="A421" s="273"/>
      <c r="B421" s="363"/>
      <c r="C421" s="633">
        <v>4</v>
      </c>
      <c r="D421" s="264"/>
      <c r="E421" s="597" t="s">
        <v>372</v>
      </c>
      <c r="F421" s="1610"/>
      <c r="G421" s="1629"/>
      <c r="H421" s="1629"/>
      <c r="I421" s="1629"/>
      <c r="J421" s="1629"/>
      <c r="K421" s="1777"/>
      <c r="L421" s="2366"/>
      <c r="M421" s="1598"/>
      <c r="N421" s="1598"/>
      <c r="O421" s="1598"/>
      <c r="P421" s="1598"/>
      <c r="Q421" s="1598"/>
    </row>
    <row r="422" spans="1:17" s="295" customFormat="1" ht="60" x14ac:dyDescent="0.25">
      <c r="A422" s="273"/>
      <c r="B422" s="1998"/>
      <c r="C422" s="1881">
        <v>5</v>
      </c>
      <c r="D422" s="2323"/>
      <c r="E422" s="2279" t="s">
        <v>373</v>
      </c>
      <c r="F422" s="1610"/>
      <c r="G422" s="1629"/>
      <c r="H422" s="1629"/>
      <c r="I422" s="1629"/>
      <c r="J422" s="1629"/>
      <c r="K422" s="576" t="s">
        <v>778</v>
      </c>
      <c r="L422" s="511"/>
      <c r="M422" s="511">
        <v>100</v>
      </c>
      <c r="N422" s="511">
        <v>100</v>
      </c>
      <c r="O422" s="511">
        <v>100</v>
      </c>
      <c r="P422" s="511">
        <v>100</v>
      </c>
      <c r="Q422" s="511">
        <v>100</v>
      </c>
    </row>
    <row r="423" spans="1:17" s="295" customFormat="1" ht="90" x14ac:dyDescent="0.25">
      <c r="A423" s="273"/>
      <c r="B423" s="1999"/>
      <c r="C423" s="2000"/>
      <c r="D423" s="2323"/>
      <c r="E423" s="2279"/>
      <c r="F423" s="1610"/>
      <c r="G423" s="1629"/>
      <c r="H423" s="1629"/>
      <c r="I423" s="1629"/>
      <c r="J423" s="1629"/>
      <c r="K423" s="576" t="s">
        <v>779</v>
      </c>
      <c r="L423" s="511"/>
      <c r="M423" s="511" t="s">
        <v>76</v>
      </c>
      <c r="N423" s="511" t="s">
        <v>77</v>
      </c>
      <c r="O423" s="511" t="s">
        <v>78</v>
      </c>
      <c r="P423" s="511" t="s">
        <v>78</v>
      </c>
      <c r="Q423" s="511" t="s">
        <v>78</v>
      </c>
    </row>
    <row r="424" spans="1:17" s="295" customFormat="1" ht="30" x14ac:dyDescent="0.25">
      <c r="A424" s="273"/>
      <c r="B424" s="2249"/>
      <c r="C424" s="1882"/>
      <c r="D424" s="2323"/>
      <c r="E424" s="2279"/>
      <c r="F424" s="1600"/>
      <c r="G424" s="1629"/>
      <c r="H424" s="1629"/>
      <c r="I424" s="1629"/>
      <c r="J424" s="1629"/>
      <c r="K424" s="576" t="s">
        <v>780</v>
      </c>
      <c r="L424" s="511"/>
      <c r="M424" s="511">
        <v>100</v>
      </c>
      <c r="N424" s="511">
        <v>100</v>
      </c>
      <c r="O424" s="511">
        <v>100</v>
      </c>
      <c r="P424" s="511">
        <v>100</v>
      </c>
      <c r="Q424" s="511">
        <v>100</v>
      </c>
    </row>
    <row r="425" spans="1:17" s="295" customFormat="1" ht="90" x14ac:dyDescent="0.25">
      <c r="A425" s="273"/>
      <c r="B425" s="363"/>
      <c r="C425" s="650">
        <v>6</v>
      </c>
      <c r="D425" s="274"/>
      <c r="E425" s="576" t="s">
        <v>374</v>
      </c>
      <c r="F425" s="1599">
        <v>6518.4</v>
      </c>
      <c r="G425" s="1599">
        <v>7781.08</v>
      </c>
      <c r="H425" s="1599">
        <f>6777+5.4</f>
        <v>6782.4</v>
      </c>
      <c r="I425" s="1599">
        <v>6777</v>
      </c>
      <c r="J425" s="1599">
        <v>6777</v>
      </c>
      <c r="K425" s="565" t="s">
        <v>781</v>
      </c>
      <c r="L425" s="414" t="s">
        <v>898</v>
      </c>
      <c r="M425" s="511">
        <v>40</v>
      </c>
      <c r="N425" s="511">
        <v>40</v>
      </c>
      <c r="O425" s="511">
        <v>40</v>
      </c>
      <c r="P425" s="511">
        <v>40</v>
      </c>
      <c r="Q425" s="511">
        <v>40</v>
      </c>
    </row>
    <row r="426" spans="1:17" s="295" customFormat="1" ht="60" x14ac:dyDescent="0.25">
      <c r="A426" s="273"/>
      <c r="B426" s="363"/>
      <c r="C426" s="275">
        <v>7</v>
      </c>
      <c r="D426" s="276"/>
      <c r="E426" s="494" t="s">
        <v>375</v>
      </c>
      <c r="F426" s="1600"/>
      <c r="G426" s="2311"/>
      <c r="H426" s="2311"/>
      <c r="I426" s="2311"/>
      <c r="J426" s="2311"/>
      <c r="K426" s="576" t="s">
        <v>782</v>
      </c>
      <c r="L426" s="414" t="s">
        <v>911</v>
      </c>
      <c r="M426" s="511">
        <v>4</v>
      </c>
      <c r="N426" s="511">
        <v>4</v>
      </c>
      <c r="O426" s="511">
        <v>4</v>
      </c>
      <c r="P426" s="511">
        <v>5</v>
      </c>
      <c r="Q426" s="511">
        <v>5</v>
      </c>
    </row>
    <row r="427" spans="1:17" s="295" customFormat="1" ht="44.25" x14ac:dyDescent="0.25">
      <c r="A427" s="273"/>
      <c r="B427" s="328">
        <v>3</v>
      </c>
      <c r="C427" s="639"/>
      <c r="D427" s="649"/>
      <c r="E427" s="157" t="s">
        <v>376</v>
      </c>
      <c r="F427" s="430">
        <v>92666.4</v>
      </c>
      <c r="G427" s="430">
        <v>88842.9</v>
      </c>
      <c r="H427" s="430">
        <f>H428</f>
        <v>88842.9</v>
      </c>
      <c r="I427" s="430">
        <f>I428</f>
        <v>87425.600000000006</v>
      </c>
      <c r="J427" s="430">
        <f>J428</f>
        <v>91295.9</v>
      </c>
      <c r="K427" s="628" t="s">
        <v>13</v>
      </c>
      <c r="L427" s="511"/>
      <c r="M427" s="270"/>
      <c r="N427" s="270"/>
      <c r="O427" s="270"/>
      <c r="P427" s="270"/>
      <c r="Q427" s="270"/>
    </row>
    <row r="428" spans="1:17" s="295" customFormat="1" ht="45" x14ac:dyDescent="0.25">
      <c r="A428" s="273"/>
      <c r="B428" s="363"/>
      <c r="C428" s="300">
        <v>1</v>
      </c>
      <c r="D428" s="277"/>
      <c r="E428" s="820" t="s">
        <v>377</v>
      </c>
      <c r="F428" s="417">
        <v>92666.4</v>
      </c>
      <c r="G428" s="417">
        <v>88842.9</v>
      </c>
      <c r="H428" s="417">
        <v>88842.9</v>
      </c>
      <c r="I428" s="417">
        <v>87425.600000000006</v>
      </c>
      <c r="J428" s="417">
        <v>91295.9</v>
      </c>
      <c r="K428" s="489" t="s">
        <v>917</v>
      </c>
      <c r="L428" s="418" t="s">
        <v>68</v>
      </c>
      <c r="M428" s="278">
        <v>3190.8</v>
      </c>
      <c r="N428" s="278">
        <v>3063.8</v>
      </c>
      <c r="O428" s="279">
        <v>3746</v>
      </c>
      <c r="P428" s="278">
        <v>3576.8</v>
      </c>
      <c r="Q428" s="278">
        <v>3572.6</v>
      </c>
    </row>
    <row r="429" spans="1:17" s="295" customFormat="1" ht="28.5" x14ac:dyDescent="0.25">
      <c r="A429" s="296"/>
      <c r="B429" s="433">
        <v>992</v>
      </c>
      <c r="C429" s="655"/>
      <c r="D429" s="232"/>
      <c r="E429" s="653" t="s">
        <v>378</v>
      </c>
      <c r="F429" s="203"/>
      <c r="G429" s="203">
        <f>G430</f>
        <v>240161.4</v>
      </c>
      <c r="H429" s="203">
        <f>H430</f>
        <v>108331.6</v>
      </c>
      <c r="I429" s="453"/>
      <c r="J429" s="453"/>
      <c r="K429" s="280"/>
      <c r="L429" s="281"/>
      <c r="M429" s="282"/>
      <c r="N429" s="282"/>
      <c r="O429" s="282"/>
      <c r="P429" s="282"/>
      <c r="Q429" s="282"/>
    </row>
    <row r="430" spans="1:17" s="295" customFormat="1" ht="30" x14ac:dyDescent="0.25">
      <c r="A430" s="296"/>
      <c r="B430" s="432"/>
      <c r="C430" s="233" t="s">
        <v>2</v>
      </c>
      <c r="D430" s="234"/>
      <c r="E430" s="521" t="s">
        <v>379</v>
      </c>
      <c r="F430" s="421"/>
      <c r="G430" s="421">
        <v>240161.4</v>
      </c>
      <c r="H430" s="421">
        <f>108331+0.6</f>
        <v>108331.6</v>
      </c>
      <c r="I430" s="419"/>
      <c r="J430" s="419"/>
      <c r="K430" s="840"/>
      <c r="L430" s="281"/>
      <c r="M430" s="281"/>
      <c r="N430" s="282"/>
      <c r="O430" s="282"/>
      <c r="P430" s="282"/>
      <c r="Q430" s="282"/>
    </row>
    <row r="431" spans="1:17" s="11" customFormat="1" x14ac:dyDescent="0.25">
      <c r="A431" s="2181" t="s">
        <v>164</v>
      </c>
      <c r="B431" s="2182"/>
      <c r="C431" s="2182"/>
      <c r="D431" s="2182"/>
      <c r="E431" s="2183"/>
      <c r="F431" s="304">
        <f>F366+F375+F385+F391+F397+F405+F411+F416+F427</f>
        <v>567497.6</v>
      </c>
      <c r="G431" s="304">
        <f>G366+G375+G385+G391+G397+G405+G411+G416+G427+G429</f>
        <v>856700.96000000008</v>
      </c>
      <c r="H431" s="304">
        <f>H366+H375+H385+H391+H397+H405+H411+H416+H427+H429</f>
        <v>713150.70000000007</v>
      </c>
      <c r="I431" s="304">
        <f>I366+I375+I385+I391+I397+I405+I411+I416+I427</f>
        <v>605652.5</v>
      </c>
      <c r="J431" s="304">
        <f>J366+J375+J385+J391+J397+J405+J411+J416+J427</f>
        <v>606800</v>
      </c>
      <c r="K431" s="7"/>
      <c r="L431" s="208"/>
      <c r="M431" s="208"/>
      <c r="N431" s="208"/>
      <c r="O431" s="208"/>
      <c r="P431" s="208"/>
      <c r="Q431" s="208"/>
    </row>
    <row r="432" spans="1:17" s="11" customFormat="1" ht="15" customHeight="1" x14ac:dyDescent="0.25">
      <c r="A432" s="1589" t="s">
        <v>380</v>
      </c>
      <c r="B432" s="1590"/>
      <c r="C432" s="1590"/>
      <c r="D432" s="1590"/>
      <c r="E432" s="1590"/>
      <c r="F432" s="1590"/>
      <c r="G432" s="1590"/>
      <c r="H432" s="1590"/>
      <c r="I432" s="1590"/>
      <c r="J432" s="1590"/>
      <c r="K432" s="1590"/>
      <c r="L432" s="1590"/>
      <c r="M432" s="1590"/>
      <c r="N432" s="1590"/>
      <c r="O432" s="1590"/>
      <c r="P432" s="1590"/>
      <c r="Q432" s="1591"/>
    </row>
    <row r="433" spans="1:17" s="11" customFormat="1" ht="15" customHeight="1" x14ac:dyDescent="0.25">
      <c r="B433" s="2221" t="s">
        <v>102</v>
      </c>
      <c r="C433" s="2215"/>
      <c r="D433" s="2215"/>
      <c r="E433" s="2192" t="s">
        <v>381</v>
      </c>
      <c r="F433" s="2280">
        <f>F435+F436+F437+F438+F440+F441+F444+F445+F447+F448</f>
        <v>133104.9</v>
      </c>
      <c r="G433" s="2280">
        <f t="shared" ref="G433:J433" si="58">G435+G436+G437+G438+G440+G441+G444+G445+G447+G448</f>
        <v>152000</v>
      </c>
      <c r="H433" s="2280">
        <f t="shared" si="58"/>
        <v>158000</v>
      </c>
      <c r="I433" s="2280">
        <f t="shared" si="58"/>
        <v>169000</v>
      </c>
      <c r="J433" s="2280">
        <f t="shared" si="58"/>
        <v>179000</v>
      </c>
      <c r="K433" s="527" t="s">
        <v>783</v>
      </c>
      <c r="L433" s="181" t="s">
        <v>14</v>
      </c>
      <c r="M433" s="184">
        <v>0.64800000000000002</v>
      </c>
      <c r="N433" s="184">
        <v>0.66200000000000003</v>
      </c>
      <c r="O433" s="184">
        <v>0.68</v>
      </c>
      <c r="P433" s="184">
        <v>0.7</v>
      </c>
      <c r="Q433" s="184">
        <v>0.75</v>
      </c>
    </row>
    <row r="434" spans="1:17" s="11" customFormat="1" ht="78.75" customHeight="1" x14ac:dyDescent="0.25">
      <c r="A434" s="2321">
        <v>26</v>
      </c>
      <c r="B434" s="2223"/>
      <c r="C434" s="2217"/>
      <c r="D434" s="2217"/>
      <c r="E434" s="2192"/>
      <c r="F434" s="2281"/>
      <c r="G434" s="2281"/>
      <c r="H434" s="2281"/>
      <c r="I434" s="2281"/>
      <c r="J434" s="2281"/>
      <c r="K434" s="527" t="s">
        <v>784</v>
      </c>
      <c r="L434" s="181" t="s">
        <v>15</v>
      </c>
      <c r="M434" s="184">
        <v>0.30299999999999999</v>
      </c>
      <c r="N434" s="366" t="s">
        <v>918</v>
      </c>
      <c r="O434" s="366" t="s">
        <v>919</v>
      </c>
      <c r="P434" s="366" t="s">
        <v>920</v>
      </c>
      <c r="Q434" s="366" t="s">
        <v>921</v>
      </c>
    </row>
    <row r="435" spans="1:17" s="11" customFormat="1" ht="60" x14ac:dyDescent="0.25">
      <c r="A435" s="2322"/>
      <c r="B435" s="515"/>
      <c r="C435" s="515" t="s">
        <v>2</v>
      </c>
      <c r="D435" s="515"/>
      <c r="E435" s="526" t="s">
        <v>205</v>
      </c>
      <c r="F435" s="167">
        <v>3272.4</v>
      </c>
      <c r="G435" s="167">
        <v>3276.3</v>
      </c>
      <c r="H435" s="167">
        <v>3450</v>
      </c>
      <c r="I435" s="167">
        <v>3450</v>
      </c>
      <c r="J435" s="167">
        <v>3450</v>
      </c>
      <c r="K435" s="527" t="s">
        <v>785</v>
      </c>
      <c r="L435" s="67" t="s">
        <v>14</v>
      </c>
      <c r="M435" s="168">
        <v>0.8</v>
      </c>
      <c r="N435" s="168" t="s">
        <v>922</v>
      </c>
      <c r="O435" s="168" t="s">
        <v>923</v>
      </c>
      <c r="P435" s="168" t="s">
        <v>924</v>
      </c>
      <c r="Q435" s="168" t="s">
        <v>924</v>
      </c>
    </row>
    <row r="436" spans="1:17" s="11" customFormat="1" ht="45" x14ac:dyDescent="0.25">
      <c r="A436" s="622"/>
      <c r="B436" s="515"/>
      <c r="C436" s="515" t="s">
        <v>79</v>
      </c>
      <c r="D436" s="515"/>
      <c r="E436" s="526" t="s">
        <v>382</v>
      </c>
      <c r="F436" s="167">
        <v>5790.5</v>
      </c>
      <c r="G436" s="167">
        <v>5810.5</v>
      </c>
      <c r="H436" s="167">
        <v>6750</v>
      </c>
      <c r="I436" s="167">
        <v>6750</v>
      </c>
      <c r="J436" s="167">
        <v>6750</v>
      </c>
      <c r="K436" s="527" t="s">
        <v>786</v>
      </c>
      <c r="L436" s="67" t="s">
        <v>14</v>
      </c>
      <c r="M436" s="169">
        <v>0.95699999999999996</v>
      </c>
      <c r="N436" s="170" t="s">
        <v>924</v>
      </c>
      <c r="O436" s="170" t="s">
        <v>924</v>
      </c>
      <c r="P436" s="170" t="s">
        <v>925</v>
      </c>
      <c r="Q436" s="170" t="s">
        <v>924</v>
      </c>
    </row>
    <row r="437" spans="1:17" s="11" customFormat="1" ht="45" x14ac:dyDescent="0.25">
      <c r="A437" s="622"/>
      <c r="B437" s="515"/>
      <c r="C437" s="515" t="s">
        <v>80</v>
      </c>
      <c r="D437" s="515"/>
      <c r="E437" s="171" t="s">
        <v>383</v>
      </c>
      <c r="F437" s="167">
        <v>1556.6</v>
      </c>
      <c r="G437" s="167">
        <v>1576.6</v>
      </c>
      <c r="H437" s="167">
        <v>1700</v>
      </c>
      <c r="I437" s="167">
        <v>1700</v>
      </c>
      <c r="J437" s="167">
        <v>1700</v>
      </c>
      <c r="K437" s="527" t="s">
        <v>787</v>
      </c>
      <c r="L437" s="67" t="s">
        <v>14</v>
      </c>
      <c r="M437" s="172">
        <v>0.75</v>
      </c>
      <c r="N437" s="173">
        <v>0.8</v>
      </c>
      <c r="O437" s="173">
        <v>0.85</v>
      </c>
      <c r="P437" s="173">
        <v>0.9</v>
      </c>
      <c r="Q437" s="173">
        <v>1</v>
      </c>
    </row>
    <row r="438" spans="1:17" s="11" customFormat="1" ht="45" customHeight="1" x14ac:dyDescent="0.25">
      <c r="A438" s="622"/>
      <c r="B438" s="2119"/>
      <c r="C438" s="2119" t="s">
        <v>81</v>
      </c>
      <c r="D438" s="2119"/>
      <c r="E438" s="1609" t="s">
        <v>384</v>
      </c>
      <c r="F438" s="2120">
        <v>3125.8</v>
      </c>
      <c r="G438" s="2120">
        <v>3145.8</v>
      </c>
      <c r="H438" s="2120">
        <v>3250</v>
      </c>
      <c r="I438" s="2120">
        <v>3250</v>
      </c>
      <c r="J438" s="2120">
        <v>3250</v>
      </c>
      <c r="K438" s="527" t="s">
        <v>788</v>
      </c>
      <c r="L438" s="67" t="s">
        <v>978</v>
      </c>
      <c r="M438" s="20">
        <v>110</v>
      </c>
      <c r="N438" s="20" t="s">
        <v>926</v>
      </c>
      <c r="O438" s="20" t="s">
        <v>926</v>
      </c>
      <c r="P438" s="20" t="s">
        <v>926</v>
      </c>
      <c r="Q438" s="20" t="s">
        <v>927</v>
      </c>
    </row>
    <row r="439" spans="1:17" s="11" customFormat="1" ht="60" x14ac:dyDescent="0.25">
      <c r="A439" s="622"/>
      <c r="B439" s="2119"/>
      <c r="C439" s="2119"/>
      <c r="D439" s="2119"/>
      <c r="E439" s="1609"/>
      <c r="F439" s="2122"/>
      <c r="G439" s="2122"/>
      <c r="H439" s="2122"/>
      <c r="I439" s="2122"/>
      <c r="J439" s="2122"/>
      <c r="K439" s="527" t="s">
        <v>789</v>
      </c>
      <c r="L439" s="67" t="s">
        <v>978</v>
      </c>
      <c r="M439" s="20">
        <v>82</v>
      </c>
      <c r="N439" s="20" t="s">
        <v>928</v>
      </c>
      <c r="O439" s="20" t="s">
        <v>928</v>
      </c>
      <c r="P439" s="20" t="s">
        <v>929</v>
      </c>
      <c r="Q439" s="20" t="s">
        <v>928</v>
      </c>
    </row>
    <row r="440" spans="1:17" s="11" customFormat="1" ht="60" x14ac:dyDescent="0.25">
      <c r="A440" s="622"/>
      <c r="B440" s="515"/>
      <c r="C440" s="515" t="s">
        <v>82</v>
      </c>
      <c r="D440" s="515"/>
      <c r="E440" s="526" t="s">
        <v>385</v>
      </c>
      <c r="F440" s="167">
        <v>3903.6</v>
      </c>
      <c r="G440" s="167">
        <v>3923.6</v>
      </c>
      <c r="H440" s="167">
        <v>4000</v>
      </c>
      <c r="I440" s="167">
        <v>4000</v>
      </c>
      <c r="J440" s="167">
        <v>4000</v>
      </c>
      <c r="K440" s="527" t="s">
        <v>790</v>
      </c>
      <c r="L440" s="67" t="s">
        <v>14</v>
      </c>
      <c r="M440" s="172">
        <v>0.94099999999999995</v>
      </c>
      <c r="N440" s="173" t="s">
        <v>930</v>
      </c>
      <c r="O440" s="173" t="s">
        <v>931</v>
      </c>
      <c r="P440" s="173" t="s">
        <v>932</v>
      </c>
      <c r="Q440" s="173" t="s">
        <v>933</v>
      </c>
    </row>
    <row r="441" spans="1:17" s="11" customFormat="1" ht="30" customHeight="1" x14ac:dyDescent="0.25">
      <c r="A441" s="622"/>
      <c r="B441" s="2119"/>
      <c r="C441" s="2119" t="s">
        <v>83</v>
      </c>
      <c r="D441" s="2119"/>
      <c r="E441" s="1609" t="s">
        <v>386</v>
      </c>
      <c r="F441" s="2120">
        <v>3434.8</v>
      </c>
      <c r="G441" s="2120">
        <v>3454.8</v>
      </c>
      <c r="H441" s="2120">
        <v>3800</v>
      </c>
      <c r="I441" s="2120">
        <v>3800</v>
      </c>
      <c r="J441" s="2120">
        <v>3800</v>
      </c>
      <c r="K441" s="527" t="s">
        <v>791</v>
      </c>
      <c r="L441" s="174" t="s">
        <v>968</v>
      </c>
      <c r="M441" s="175">
        <v>2335</v>
      </c>
      <c r="N441" s="175">
        <v>2000</v>
      </c>
      <c r="O441" s="175">
        <v>2020</v>
      </c>
      <c r="P441" s="175">
        <v>2050</v>
      </c>
      <c r="Q441" s="175">
        <v>2070</v>
      </c>
    </row>
    <row r="442" spans="1:17" s="11" customFormat="1" ht="45" customHeight="1" x14ac:dyDescent="0.25">
      <c r="A442" s="622"/>
      <c r="B442" s="2119"/>
      <c r="C442" s="2119"/>
      <c r="D442" s="2119"/>
      <c r="E442" s="1609"/>
      <c r="F442" s="2121"/>
      <c r="G442" s="2121"/>
      <c r="H442" s="2121"/>
      <c r="I442" s="2121"/>
      <c r="J442" s="2121"/>
      <c r="K442" s="527" t="s">
        <v>792</v>
      </c>
      <c r="L442" s="174" t="s">
        <v>968</v>
      </c>
      <c r="M442" s="175">
        <v>20900</v>
      </c>
      <c r="N442" s="175">
        <v>6750</v>
      </c>
      <c r="O442" s="175">
        <v>8700</v>
      </c>
      <c r="P442" s="175">
        <v>9600</v>
      </c>
      <c r="Q442" s="175">
        <v>10000</v>
      </c>
    </row>
    <row r="443" spans="1:17" s="11" customFormat="1" ht="33" customHeight="1" x14ac:dyDescent="0.25">
      <c r="A443" s="2375"/>
      <c r="B443" s="2119"/>
      <c r="C443" s="2119"/>
      <c r="D443" s="2119"/>
      <c r="E443" s="1609"/>
      <c r="F443" s="2122"/>
      <c r="G443" s="2122"/>
      <c r="H443" s="2122"/>
      <c r="I443" s="2122"/>
      <c r="J443" s="2122"/>
      <c r="K443" s="527" t="s">
        <v>793</v>
      </c>
      <c r="L443" s="174" t="s">
        <v>968</v>
      </c>
      <c r="M443" s="176">
        <v>6600</v>
      </c>
      <c r="N443" s="176">
        <v>1250</v>
      </c>
      <c r="O443" s="176">
        <v>1300</v>
      </c>
      <c r="P443" s="176">
        <v>1400</v>
      </c>
      <c r="Q443" s="176">
        <v>1500</v>
      </c>
    </row>
    <row r="444" spans="1:17" s="11" customFormat="1" ht="46.5" customHeight="1" x14ac:dyDescent="0.25">
      <c r="A444" s="2377"/>
      <c r="B444" s="515"/>
      <c r="C444" s="515" t="s">
        <v>84</v>
      </c>
      <c r="D444" s="515"/>
      <c r="E444" s="177" t="s">
        <v>387</v>
      </c>
      <c r="F444" s="167">
        <v>2405.9</v>
      </c>
      <c r="G444" s="167">
        <v>2425.9</v>
      </c>
      <c r="H444" s="167">
        <v>2750</v>
      </c>
      <c r="I444" s="167">
        <v>2750</v>
      </c>
      <c r="J444" s="167">
        <v>2750</v>
      </c>
      <c r="K444" s="527" t="s">
        <v>794</v>
      </c>
      <c r="L444" s="67" t="s">
        <v>968</v>
      </c>
      <c r="M444" s="178">
        <v>9</v>
      </c>
      <c r="N444" s="178">
        <v>9</v>
      </c>
      <c r="O444" s="178">
        <v>11</v>
      </c>
      <c r="P444" s="178">
        <v>12</v>
      </c>
      <c r="Q444" s="178">
        <v>13</v>
      </c>
    </row>
    <row r="445" spans="1:17" s="11" customFormat="1" ht="43.5" customHeight="1" x14ac:dyDescent="0.25">
      <c r="A445" s="622"/>
      <c r="B445" s="2215"/>
      <c r="C445" s="2215" t="s">
        <v>85</v>
      </c>
      <c r="D445" s="2215"/>
      <c r="E445" s="1609" t="s">
        <v>388</v>
      </c>
      <c r="F445" s="2120">
        <v>12895.8</v>
      </c>
      <c r="G445" s="2120">
        <v>15000</v>
      </c>
      <c r="H445" s="2120">
        <v>16000</v>
      </c>
      <c r="I445" s="2120">
        <v>27000</v>
      </c>
      <c r="J445" s="2120">
        <v>37000</v>
      </c>
      <c r="K445" s="527" t="s">
        <v>795</v>
      </c>
      <c r="L445" s="67" t="s">
        <v>14</v>
      </c>
      <c r="M445" s="179">
        <v>0.9</v>
      </c>
      <c r="N445" s="179">
        <v>0.9</v>
      </c>
      <c r="O445" s="179">
        <v>0.98</v>
      </c>
      <c r="P445" s="179">
        <v>1</v>
      </c>
      <c r="Q445" s="179">
        <v>1</v>
      </c>
    </row>
    <row r="446" spans="1:17" s="11" customFormat="1" ht="30" x14ac:dyDescent="0.25">
      <c r="A446" s="2375"/>
      <c r="B446" s="2217"/>
      <c r="C446" s="2217"/>
      <c r="D446" s="2217"/>
      <c r="E446" s="1609"/>
      <c r="F446" s="2122"/>
      <c r="G446" s="2122"/>
      <c r="H446" s="2122"/>
      <c r="I446" s="2122"/>
      <c r="J446" s="2122"/>
      <c r="K446" s="527" t="s">
        <v>1280</v>
      </c>
      <c r="L446" s="67" t="s">
        <v>14</v>
      </c>
      <c r="M446" s="179">
        <v>0.04</v>
      </c>
      <c r="N446" s="179">
        <v>0.05</v>
      </c>
      <c r="O446" s="179">
        <v>0.06</v>
      </c>
      <c r="P446" s="179">
        <v>7.0000000000000007E-2</v>
      </c>
      <c r="Q446" s="179">
        <v>0.08</v>
      </c>
    </row>
    <row r="447" spans="1:17" s="11" customFormat="1" ht="45" x14ac:dyDescent="0.25">
      <c r="A447" s="2376"/>
      <c r="B447" s="515"/>
      <c r="C447" s="515" t="s">
        <v>50</v>
      </c>
      <c r="D447" s="515"/>
      <c r="E447" s="526" t="s">
        <v>389</v>
      </c>
      <c r="F447" s="167">
        <v>18450.900000000001</v>
      </c>
      <c r="G447" s="167">
        <v>25105.5</v>
      </c>
      <c r="H447" s="167">
        <v>25669</v>
      </c>
      <c r="I447" s="167">
        <v>25669</v>
      </c>
      <c r="J447" s="167">
        <v>25669</v>
      </c>
      <c r="K447" s="527" t="s">
        <v>796</v>
      </c>
      <c r="L447" s="67" t="s">
        <v>14</v>
      </c>
      <c r="M447" s="180">
        <f>13/65</f>
        <v>0.2</v>
      </c>
      <c r="N447" s="170" t="s">
        <v>934</v>
      </c>
      <c r="O447" s="170" t="str">
        <f>N447</f>
        <v xml:space="preserve">20% дан кем эмес </v>
      </c>
      <c r="P447" s="170" t="str">
        <f>O447</f>
        <v xml:space="preserve">20% дан кем эмес </v>
      </c>
      <c r="Q447" s="170" t="str">
        <f>P447</f>
        <v xml:space="preserve">20% дан кем эмес </v>
      </c>
    </row>
    <row r="448" spans="1:17" s="11" customFormat="1" ht="30" x14ac:dyDescent="0.25">
      <c r="A448" s="2377"/>
      <c r="B448" s="2215"/>
      <c r="C448" s="2215" t="s">
        <v>53</v>
      </c>
      <c r="D448" s="2215"/>
      <c r="E448" s="1609" t="s">
        <v>390</v>
      </c>
      <c r="F448" s="2120">
        <v>78268.600000000006</v>
      </c>
      <c r="G448" s="2120">
        <v>88281</v>
      </c>
      <c r="H448" s="2120">
        <v>90631</v>
      </c>
      <c r="I448" s="2120">
        <v>90631</v>
      </c>
      <c r="J448" s="2120">
        <v>90631</v>
      </c>
      <c r="K448" s="527" t="s">
        <v>797</v>
      </c>
      <c r="L448" s="181" t="s">
        <v>14</v>
      </c>
      <c r="M448" s="168">
        <v>0.30599999999999999</v>
      </c>
      <c r="N448" s="182" t="s">
        <v>935</v>
      </c>
      <c r="O448" s="182" t="s">
        <v>935</v>
      </c>
      <c r="P448" s="182" t="s">
        <v>936</v>
      </c>
      <c r="Q448" s="182" t="s">
        <v>937</v>
      </c>
    </row>
    <row r="449" spans="1:17" s="11" customFormat="1" ht="60" x14ac:dyDescent="0.25">
      <c r="A449" s="622"/>
      <c r="B449" s="2216"/>
      <c r="C449" s="2216"/>
      <c r="D449" s="2216"/>
      <c r="E449" s="1609"/>
      <c r="F449" s="2121"/>
      <c r="G449" s="2121"/>
      <c r="H449" s="2121"/>
      <c r="I449" s="2121"/>
      <c r="J449" s="2121"/>
      <c r="K449" s="527" t="s">
        <v>798</v>
      </c>
      <c r="L449" s="181" t="s">
        <v>14</v>
      </c>
      <c r="M449" s="168">
        <v>0.754</v>
      </c>
      <c r="N449" s="168">
        <v>0.76</v>
      </c>
      <c r="O449" s="169" t="s">
        <v>938</v>
      </c>
      <c r="P449" s="169" t="s">
        <v>939</v>
      </c>
      <c r="Q449" s="169" t="s">
        <v>940</v>
      </c>
    </row>
    <row r="450" spans="1:17" s="11" customFormat="1" ht="45" x14ac:dyDescent="0.25">
      <c r="A450" s="2375"/>
      <c r="B450" s="2217"/>
      <c r="C450" s="2217"/>
      <c r="D450" s="2217"/>
      <c r="E450" s="1609"/>
      <c r="F450" s="2122"/>
      <c r="G450" s="2122"/>
      <c r="H450" s="2122"/>
      <c r="I450" s="2122"/>
      <c r="J450" s="2122"/>
      <c r="K450" s="527" t="s">
        <v>799</v>
      </c>
      <c r="L450" s="181" t="s">
        <v>14</v>
      </c>
      <c r="M450" s="168">
        <v>0.753</v>
      </c>
      <c r="N450" s="169" t="s">
        <v>940</v>
      </c>
      <c r="O450" s="169" t="s">
        <v>940</v>
      </c>
      <c r="P450" s="169" t="s">
        <v>922</v>
      </c>
      <c r="Q450" s="169" t="s">
        <v>941</v>
      </c>
    </row>
    <row r="451" spans="1:17" s="11" customFormat="1" ht="15" hidden="1" customHeight="1" x14ac:dyDescent="0.25">
      <c r="A451" s="2377"/>
      <c r="B451" s="90"/>
      <c r="C451" s="515"/>
      <c r="D451" s="515"/>
      <c r="E451" s="659" t="s">
        <v>117</v>
      </c>
      <c r="F451" s="588">
        <f>SUM(F435:F450)</f>
        <v>133104.9</v>
      </c>
      <c r="G451" s="588">
        <f t="shared" ref="G451:J451" si="59">SUM(G435:G450)</f>
        <v>152000</v>
      </c>
      <c r="H451" s="588">
        <f t="shared" si="59"/>
        <v>158000</v>
      </c>
      <c r="I451" s="588">
        <f t="shared" si="59"/>
        <v>169000</v>
      </c>
      <c r="J451" s="588">
        <f t="shared" si="59"/>
        <v>179000</v>
      </c>
      <c r="K451" s="183"/>
      <c r="L451" s="67"/>
      <c r="M451" s="182"/>
      <c r="N451" s="182"/>
      <c r="O451" s="182"/>
      <c r="P451" s="182"/>
      <c r="Q451" s="182"/>
    </row>
    <row r="452" spans="1:17" s="11" customFormat="1" ht="60" x14ac:dyDescent="0.25">
      <c r="A452" s="2321">
        <v>26</v>
      </c>
      <c r="B452" s="2221" t="s">
        <v>91</v>
      </c>
      <c r="C452" s="2215"/>
      <c r="D452" s="2215"/>
      <c r="E452" s="1800" t="s">
        <v>1281</v>
      </c>
      <c r="F452" s="2313">
        <f>F456+F458+F462+F466+F467+F468+F469</f>
        <v>4761666.8</v>
      </c>
      <c r="G452" s="2313">
        <f t="shared" ref="G452:J452" si="60">G456+G458+G462+G466+G467+G468+G469</f>
        <v>5593840.7999999998</v>
      </c>
      <c r="H452" s="2313">
        <f t="shared" si="60"/>
        <v>6114027.0999999996</v>
      </c>
      <c r="I452" s="2313">
        <f t="shared" si="60"/>
        <v>6385316.7000000002</v>
      </c>
      <c r="J452" s="2313">
        <f t="shared" si="60"/>
        <v>6807050.5</v>
      </c>
      <c r="K452" s="527" t="s">
        <v>800</v>
      </c>
      <c r="L452" s="67" t="s">
        <v>14</v>
      </c>
      <c r="M452" s="168">
        <f>F470/F495</f>
        <v>0.32425323958939778</v>
      </c>
      <c r="N452" s="168">
        <f>G470/G495</f>
        <v>0.37215498659196</v>
      </c>
      <c r="O452" s="168">
        <f>H470/H495</f>
        <v>0.37011796201628283</v>
      </c>
      <c r="P452" s="168">
        <f>I470/I495</f>
        <v>0.38487802620805583</v>
      </c>
      <c r="Q452" s="168">
        <f>J470/J495</f>
        <v>0.39433660940799076</v>
      </c>
    </row>
    <row r="453" spans="1:17" s="11" customFormat="1" ht="30" x14ac:dyDescent="0.25">
      <c r="A453" s="2381"/>
      <c r="B453" s="2222"/>
      <c r="C453" s="2216"/>
      <c r="D453" s="2216"/>
      <c r="E453" s="1800"/>
      <c r="F453" s="2314"/>
      <c r="G453" s="2314"/>
      <c r="H453" s="2314"/>
      <c r="I453" s="2314"/>
      <c r="J453" s="2314"/>
      <c r="K453" s="527" t="s">
        <v>801</v>
      </c>
      <c r="L453" s="67" t="s">
        <v>968</v>
      </c>
      <c r="M453" s="185">
        <v>3.5</v>
      </c>
      <c r="N453" s="185">
        <v>3.8</v>
      </c>
      <c r="O453" s="185">
        <v>4</v>
      </c>
      <c r="P453" s="185">
        <v>4.2</v>
      </c>
      <c r="Q453" s="185">
        <v>4.5</v>
      </c>
    </row>
    <row r="454" spans="1:17" s="11" customFormat="1" ht="30" x14ac:dyDescent="0.25">
      <c r="A454" s="2381"/>
      <c r="B454" s="2222"/>
      <c r="C454" s="2216"/>
      <c r="D454" s="2216"/>
      <c r="E454" s="1800"/>
      <c r="F454" s="2314"/>
      <c r="G454" s="2314"/>
      <c r="H454" s="2314"/>
      <c r="I454" s="2314"/>
      <c r="J454" s="2314"/>
      <c r="K454" s="527" t="s">
        <v>802</v>
      </c>
      <c r="L454" s="67" t="s">
        <v>14</v>
      </c>
      <c r="M454" s="168">
        <v>0.1</v>
      </c>
      <c r="N454" s="168">
        <v>0.15</v>
      </c>
      <c r="O454" s="168">
        <v>0.5</v>
      </c>
      <c r="P454" s="168">
        <v>0.6</v>
      </c>
      <c r="Q454" s="168">
        <v>0.7</v>
      </c>
    </row>
    <row r="455" spans="1:17" s="11" customFormat="1" ht="45" x14ac:dyDescent="0.25">
      <c r="A455" s="2322"/>
      <c r="B455" s="2223"/>
      <c r="C455" s="2217"/>
      <c r="D455" s="2217"/>
      <c r="E455" s="1800"/>
      <c r="F455" s="2315"/>
      <c r="G455" s="2315"/>
      <c r="H455" s="2315"/>
      <c r="I455" s="2315"/>
      <c r="J455" s="2315"/>
      <c r="K455" s="527" t="s">
        <v>1282</v>
      </c>
      <c r="L455" s="67" t="s">
        <v>14</v>
      </c>
      <c r="M455" s="168" t="s">
        <v>60</v>
      </c>
      <c r="N455" s="168">
        <v>0.58899999999999997</v>
      </c>
      <c r="O455" s="168">
        <v>0.62</v>
      </c>
      <c r="P455" s="168">
        <v>0.65</v>
      </c>
      <c r="Q455" s="168">
        <v>0.7</v>
      </c>
    </row>
    <row r="456" spans="1:17" s="11" customFormat="1" ht="45" x14ac:dyDescent="0.25">
      <c r="A456" s="2375"/>
      <c r="B456" s="2215"/>
      <c r="C456" s="2215" t="s">
        <v>2</v>
      </c>
      <c r="D456" s="2215"/>
      <c r="E456" s="1609" t="s">
        <v>391</v>
      </c>
      <c r="F456" s="2252">
        <v>447904.9</v>
      </c>
      <c r="G456" s="2252">
        <v>449344.6</v>
      </c>
      <c r="H456" s="2252">
        <v>499344.6</v>
      </c>
      <c r="I456" s="2252">
        <v>549344.6</v>
      </c>
      <c r="J456" s="2252">
        <v>599344.6</v>
      </c>
      <c r="K456" s="527" t="s">
        <v>803</v>
      </c>
      <c r="L456" s="181" t="s">
        <v>14</v>
      </c>
      <c r="M456" s="184">
        <f>652/682</f>
        <v>0.95601173020527863</v>
      </c>
      <c r="N456" s="184" t="s">
        <v>942</v>
      </c>
      <c r="O456" s="184">
        <v>0.96</v>
      </c>
      <c r="P456" s="184">
        <v>1</v>
      </c>
      <c r="Q456" s="184">
        <v>1</v>
      </c>
    </row>
    <row r="457" spans="1:17" s="11" customFormat="1" ht="45" x14ac:dyDescent="0.25">
      <c r="A457" s="2377"/>
      <c r="B457" s="2217"/>
      <c r="C457" s="2217"/>
      <c r="D457" s="2217"/>
      <c r="E457" s="1609"/>
      <c r="F457" s="2254"/>
      <c r="G457" s="2254"/>
      <c r="H457" s="2254"/>
      <c r="I457" s="2254"/>
      <c r="J457" s="2254"/>
      <c r="K457" s="527" t="s">
        <v>804</v>
      </c>
      <c r="L457" s="181" t="s">
        <v>943</v>
      </c>
      <c r="M457" s="185">
        <v>102.5</v>
      </c>
      <c r="N457" s="185">
        <v>102.7</v>
      </c>
      <c r="O457" s="186">
        <v>103</v>
      </c>
      <c r="P457" s="186">
        <v>103.2</v>
      </c>
      <c r="Q457" s="185">
        <v>103.5</v>
      </c>
    </row>
    <row r="458" spans="1:17" s="11" customFormat="1" ht="75" x14ac:dyDescent="0.25">
      <c r="A458" s="2375"/>
      <c r="B458" s="2215"/>
      <c r="C458" s="2215" t="s">
        <v>3</v>
      </c>
      <c r="D458" s="2215"/>
      <c r="E458" s="1609" t="s">
        <v>392</v>
      </c>
      <c r="F458" s="2252">
        <v>3532267.3</v>
      </c>
      <c r="G458" s="2252">
        <v>4224401.8</v>
      </c>
      <c r="H458" s="2252">
        <v>4619401.8</v>
      </c>
      <c r="I458" s="2252">
        <v>4819401.8</v>
      </c>
      <c r="J458" s="2252">
        <v>5119401.8</v>
      </c>
      <c r="K458" s="527" t="s">
        <v>805</v>
      </c>
      <c r="L458" s="67" t="s">
        <v>14</v>
      </c>
      <c r="M458" s="168">
        <v>0.7</v>
      </c>
      <c r="N458" s="180">
        <v>0.75</v>
      </c>
      <c r="O458" s="180">
        <v>0.8</v>
      </c>
      <c r="P458" s="180">
        <v>0.85</v>
      </c>
      <c r="Q458" s="180" t="s">
        <v>944</v>
      </c>
    </row>
    <row r="459" spans="1:17" s="11" customFormat="1" ht="45" x14ac:dyDescent="0.25">
      <c r="A459" s="2376"/>
      <c r="B459" s="2216"/>
      <c r="C459" s="2216"/>
      <c r="D459" s="2216"/>
      <c r="E459" s="1609"/>
      <c r="F459" s="2253"/>
      <c r="G459" s="2253"/>
      <c r="H459" s="2253"/>
      <c r="I459" s="2253"/>
      <c r="J459" s="2253"/>
      <c r="K459" s="527" t="s">
        <v>806</v>
      </c>
      <c r="L459" s="181" t="s">
        <v>14</v>
      </c>
      <c r="M459" s="184">
        <v>0.75</v>
      </c>
      <c r="N459" s="179">
        <v>0.85</v>
      </c>
      <c r="O459" s="179">
        <v>0.9</v>
      </c>
      <c r="P459" s="179" t="s">
        <v>922</v>
      </c>
      <c r="Q459" s="179" t="s">
        <v>944</v>
      </c>
    </row>
    <row r="460" spans="1:17" s="11" customFormat="1" ht="45" x14ac:dyDescent="0.25">
      <c r="A460" s="2376"/>
      <c r="B460" s="2216"/>
      <c r="C460" s="2216"/>
      <c r="D460" s="2216"/>
      <c r="E460" s="1609"/>
      <c r="F460" s="2253"/>
      <c r="G460" s="2253"/>
      <c r="H460" s="2253"/>
      <c r="I460" s="2253"/>
      <c r="J460" s="2253"/>
      <c r="K460" s="527" t="s">
        <v>807</v>
      </c>
      <c r="L460" s="181" t="s">
        <v>943</v>
      </c>
      <c r="M460" s="187">
        <v>583.5</v>
      </c>
      <c r="N460" s="188">
        <v>593.20000000000005</v>
      </c>
      <c r="O460" s="187">
        <v>603.29999999999995</v>
      </c>
      <c r="P460" s="187">
        <v>613.5</v>
      </c>
      <c r="Q460" s="187">
        <v>625</v>
      </c>
    </row>
    <row r="461" spans="1:17" s="11" customFormat="1" ht="45" x14ac:dyDescent="0.25">
      <c r="A461" s="2377"/>
      <c r="B461" s="2216"/>
      <c r="C461" s="2216"/>
      <c r="D461" s="2216"/>
      <c r="E461" s="1609"/>
      <c r="F461" s="2253"/>
      <c r="G461" s="2253"/>
      <c r="H461" s="2253"/>
      <c r="I461" s="2253"/>
      <c r="J461" s="2254"/>
      <c r="K461" s="527" t="s">
        <v>1283</v>
      </c>
      <c r="L461" s="434" t="s">
        <v>14</v>
      </c>
      <c r="M461" s="189">
        <v>0.7</v>
      </c>
      <c r="N461" s="190">
        <v>0.75</v>
      </c>
      <c r="O461" s="190">
        <v>0.8</v>
      </c>
      <c r="P461" s="190">
        <v>0.9</v>
      </c>
      <c r="Q461" s="190" t="s">
        <v>947</v>
      </c>
    </row>
    <row r="462" spans="1:17" s="11" customFormat="1" ht="30" x14ac:dyDescent="0.25">
      <c r="A462" s="297"/>
      <c r="B462" s="2215"/>
      <c r="C462" s="2215" t="s">
        <v>4</v>
      </c>
      <c r="D462" s="2215"/>
      <c r="E462" s="1609" t="s">
        <v>393</v>
      </c>
      <c r="F462" s="2252">
        <v>388110.6</v>
      </c>
      <c r="G462" s="2252">
        <v>423348.9</v>
      </c>
      <c r="H462" s="2252">
        <v>433348.9</v>
      </c>
      <c r="I462" s="2252">
        <v>443348.9</v>
      </c>
      <c r="J462" s="2252">
        <v>453348.9</v>
      </c>
      <c r="K462" s="526" t="s">
        <v>1284</v>
      </c>
      <c r="L462" s="67" t="s">
        <v>978</v>
      </c>
      <c r="M462" s="191">
        <v>49258</v>
      </c>
      <c r="N462" s="191">
        <v>59300</v>
      </c>
      <c r="O462" s="191">
        <v>72500</v>
      </c>
      <c r="P462" s="191">
        <v>85700</v>
      </c>
      <c r="Q462" s="191">
        <v>98900</v>
      </c>
    </row>
    <row r="463" spans="1:17" s="11" customFormat="1" ht="45" x14ac:dyDescent="0.25">
      <c r="A463" s="622"/>
      <c r="B463" s="2216"/>
      <c r="C463" s="2216"/>
      <c r="D463" s="2216"/>
      <c r="E463" s="1609"/>
      <c r="F463" s="2253"/>
      <c r="G463" s="2253"/>
      <c r="H463" s="2253"/>
      <c r="I463" s="2253"/>
      <c r="J463" s="2253"/>
      <c r="K463" s="526" t="s">
        <v>808</v>
      </c>
      <c r="L463" s="532" t="s">
        <v>14</v>
      </c>
      <c r="M463" s="192">
        <v>1</v>
      </c>
      <c r="N463" s="193" t="s">
        <v>945</v>
      </c>
      <c r="O463" s="193" t="s">
        <v>945</v>
      </c>
      <c r="P463" s="193" t="s">
        <v>946</v>
      </c>
      <c r="Q463" s="193" t="s">
        <v>946</v>
      </c>
    </row>
    <row r="464" spans="1:17" s="11" customFormat="1" ht="45" x14ac:dyDescent="0.25">
      <c r="A464" s="622"/>
      <c r="B464" s="2216"/>
      <c r="C464" s="2216"/>
      <c r="D464" s="2216"/>
      <c r="E464" s="1609"/>
      <c r="F464" s="2253"/>
      <c r="G464" s="2253"/>
      <c r="H464" s="2253"/>
      <c r="I464" s="2253"/>
      <c r="J464" s="2253"/>
      <c r="K464" s="526" t="s">
        <v>809</v>
      </c>
      <c r="L464" s="532" t="s">
        <v>14</v>
      </c>
      <c r="M464" s="192">
        <v>0.6</v>
      </c>
      <c r="N464" s="193">
        <v>0.75</v>
      </c>
      <c r="O464" s="193">
        <v>0.8</v>
      </c>
      <c r="P464" s="193">
        <v>0.85</v>
      </c>
      <c r="Q464" s="193">
        <v>0.9</v>
      </c>
    </row>
    <row r="465" spans="1:17" s="11" customFormat="1" ht="60" x14ac:dyDescent="0.25">
      <c r="A465" s="622"/>
      <c r="B465" s="2217"/>
      <c r="C465" s="2217"/>
      <c r="D465" s="2217"/>
      <c r="E465" s="1609"/>
      <c r="F465" s="2254"/>
      <c r="G465" s="2254"/>
      <c r="H465" s="2254"/>
      <c r="I465" s="2254"/>
      <c r="J465" s="2254"/>
      <c r="K465" s="526" t="s">
        <v>810</v>
      </c>
      <c r="L465" s="532" t="s">
        <v>14</v>
      </c>
      <c r="M465" s="192">
        <v>0.32</v>
      </c>
      <c r="N465" s="193">
        <v>0.5</v>
      </c>
      <c r="O465" s="193">
        <v>0.6</v>
      </c>
      <c r="P465" s="193">
        <v>0.7</v>
      </c>
      <c r="Q465" s="193">
        <v>0.8</v>
      </c>
    </row>
    <row r="466" spans="1:17" s="11" customFormat="1" ht="75" x14ac:dyDescent="0.25">
      <c r="A466" s="622"/>
      <c r="B466" s="534"/>
      <c r="C466" s="534" t="s">
        <v>5</v>
      </c>
      <c r="D466" s="534"/>
      <c r="E466" s="526" t="s">
        <v>393</v>
      </c>
      <c r="F466" s="595">
        <v>24660</v>
      </c>
      <c r="G466" s="595">
        <v>33372</v>
      </c>
      <c r="H466" s="595">
        <v>70000</v>
      </c>
      <c r="I466" s="595">
        <v>70000</v>
      </c>
      <c r="J466" s="595">
        <v>70000</v>
      </c>
      <c r="K466" s="527" t="s">
        <v>811</v>
      </c>
      <c r="L466" s="435" t="s">
        <v>968</v>
      </c>
      <c r="M466" s="194">
        <v>1900</v>
      </c>
      <c r="N466" s="194">
        <v>2000</v>
      </c>
      <c r="O466" s="194">
        <v>2200</v>
      </c>
      <c r="P466" s="194">
        <v>2400</v>
      </c>
      <c r="Q466" s="194">
        <v>2600</v>
      </c>
    </row>
    <row r="467" spans="1:17" s="11" customFormat="1" ht="28.5" customHeight="1" x14ac:dyDescent="0.25">
      <c r="A467" s="622"/>
      <c r="B467" s="515"/>
      <c r="C467" s="515" t="s">
        <v>49</v>
      </c>
      <c r="D467" s="515"/>
      <c r="E467" s="526" t="s">
        <v>394</v>
      </c>
      <c r="F467" s="656">
        <v>42448</v>
      </c>
      <c r="G467" s="656">
        <v>55000</v>
      </c>
      <c r="H467" s="656">
        <v>55000</v>
      </c>
      <c r="I467" s="656">
        <v>55000</v>
      </c>
      <c r="J467" s="656">
        <v>55000</v>
      </c>
      <c r="K467" s="527" t="s">
        <v>812</v>
      </c>
      <c r="L467" s="67" t="s">
        <v>14</v>
      </c>
      <c r="M467" s="168">
        <v>0.94</v>
      </c>
      <c r="N467" s="180" t="s">
        <v>944</v>
      </c>
      <c r="O467" s="180" t="s">
        <v>948</v>
      </c>
      <c r="P467" s="180" t="s">
        <v>951</v>
      </c>
      <c r="Q467" s="180" t="s">
        <v>947</v>
      </c>
    </row>
    <row r="468" spans="1:17" s="11" customFormat="1" ht="45" x14ac:dyDescent="0.25">
      <c r="A468" s="2378">
        <v>26</v>
      </c>
      <c r="B468" s="515"/>
      <c r="C468" s="515" t="s">
        <v>50</v>
      </c>
      <c r="D468" s="515"/>
      <c r="E468" s="526" t="s">
        <v>395</v>
      </c>
      <c r="F468" s="656">
        <v>276758.90000000002</v>
      </c>
      <c r="G468" s="656">
        <v>276069.59999999998</v>
      </c>
      <c r="H468" s="656">
        <v>286931.8</v>
      </c>
      <c r="I468" s="656">
        <v>298221.40000000002</v>
      </c>
      <c r="J468" s="656">
        <v>309955.20000000001</v>
      </c>
      <c r="K468" s="527" t="s">
        <v>813</v>
      </c>
      <c r="L468" s="67" t="s">
        <v>14</v>
      </c>
      <c r="M468" s="168">
        <v>0.57399999999999995</v>
      </c>
      <c r="N468" s="180" t="s">
        <v>950</v>
      </c>
      <c r="O468" s="180" t="s">
        <v>949</v>
      </c>
      <c r="P468" s="180" t="s">
        <v>949</v>
      </c>
      <c r="Q468" s="180" t="s">
        <v>949</v>
      </c>
    </row>
    <row r="469" spans="1:17" s="11" customFormat="1" ht="60" x14ac:dyDescent="0.25">
      <c r="A469" s="2379"/>
      <c r="B469" s="515"/>
      <c r="C469" s="515" t="s">
        <v>51</v>
      </c>
      <c r="D469" s="515"/>
      <c r="E469" s="526" t="s">
        <v>396</v>
      </c>
      <c r="F469" s="656">
        <v>49517.1</v>
      </c>
      <c r="G469" s="656">
        <v>132303.9</v>
      </c>
      <c r="H469" s="656">
        <v>150000</v>
      </c>
      <c r="I469" s="656">
        <v>150000</v>
      </c>
      <c r="J469" s="656">
        <v>200000</v>
      </c>
      <c r="K469" s="527" t="s">
        <v>814</v>
      </c>
      <c r="L469" s="434" t="s">
        <v>14</v>
      </c>
      <c r="M469" s="189" t="s">
        <v>938</v>
      </c>
      <c r="N469" s="189">
        <v>1</v>
      </c>
      <c r="O469" s="189" t="s">
        <v>952</v>
      </c>
      <c r="P469" s="189" t="s">
        <v>953</v>
      </c>
      <c r="Q469" s="189" t="s">
        <v>946</v>
      </c>
    </row>
    <row r="470" spans="1:17" s="11" customFormat="1" hidden="1" x14ac:dyDescent="0.25">
      <c r="A470" s="2379"/>
      <c r="B470" s="90"/>
      <c r="C470" s="90"/>
      <c r="D470" s="90"/>
      <c r="E470" s="659" t="s">
        <v>118</v>
      </c>
      <c r="F470" s="588">
        <f>SUM(F456:F469)</f>
        <v>4761666.8</v>
      </c>
      <c r="G470" s="588">
        <f t="shared" ref="G470:J470" si="61">SUM(G456:G469)</f>
        <v>5593840.7999999998</v>
      </c>
      <c r="H470" s="588">
        <f t="shared" si="61"/>
        <v>6114027.0999999996</v>
      </c>
      <c r="I470" s="588">
        <f t="shared" si="61"/>
        <v>6385316.7000000002</v>
      </c>
      <c r="J470" s="588">
        <f t="shared" si="61"/>
        <v>6807050.5</v>
      </c>
      <c r="K470" s="659"/>
      <c r="L470" s="1546"/>
      <c r="M470" s="195"/>
      <c r="N470" s="195"/>
      <c r="O470" s="195"/>
      <c r="P470" s="195"/>
      <c r="Q470" s="196"/>
    </row>
    <row r="471" spans="1:17" s="11" customFormat="1" ht="30" x14ac:dyDescent="0.25">
      <c r="A471" s="2379"/>
      <c r="B471" s="2221" t="s">
        <v>98</v>
      </c>
      <c r="C471" s="2215"/>
      <c r="D471" s="2215"/>
      <c r="E471" s="2386" t="s">
        <v>397</v>
      </c>
      <c r="F471" s="2313">
        <f>F476+F480+F481+F482+F483+F484</f>
        <v>8797793.4000000004</v>
      </c>
      <c r="G471" s="2313">
        <f t="shared" ref="G471:J471" si="62">G476+G480+G481+G482+G483+G484</f>
        <v>8783807.0999999978</v>
      </c>
      <c r="H471" s="2313">
        <f t="shared" si="62"/>
        <v>9071697.4999999981</v>
      </c>
      <c r="I471" s="2313">
        <f t="shared" si="62"/>
        <v>9267516.799999997</v>
      </c>
      <c r="J471" s="2313">
        <f t="shared" si="62"/>
        <v>9489618.9999999981</v>
      </c>
      <c r="K471" s="527" t="s">
        <v>815</v>
      </c>
      <c r="L471" s="532" t="s">
        <v>14</v>
      </c>
      <c r="M471" s="192" t="s">
        <v>954</v>
      </c>
      <c r="N471" s="192" t="s">
        <v>955</v>
      </c>
      <c r="O471" s="192" t="s">
        <v>956</v>
      </c>
      <c r="P471" s="192" t="s">
        <v>957</v>
      </c>
      <c r="Q471" s="192" t="s">
        <v>958</v>
      </c>
    </row>
    <row r="472" spans="1:17" s="11" customFormat="1" ht="30" customHeight="1" x14ac:dyDescent="0.25">
      <c r="A472" s="2380"/>
      <c r="B472" s="2222"/>
      <c r="C472" s="2216"/>
      <c r="D472" s="2216"/>
      <c r="E472" s="2386"/>
      <c r="F472" s="2314"/>
      <c r="G472" s="2314"/>
      <c r="H472" s="2314"/>
      <c r="I472" s="2314"/>
      <c r="J472" s="2314"/>
      <c r="K472" s="526" t="s">
        <v>816</v>
      </c>
      <c r="L472" s="531" t="s">
        <v>14</v>
      </c>
      <c r="M472" s="315">
        <v>0.8</v>
      </c>
      <c r="N472" s="315" t="s">
        <v>938</v>
      </c>
      <c r="O472" s="315" t="s">
        <v>959</v>
      </c>
      <c r="P472" s="315" t="s">
        <v>960</v>
      </c>
      <c r="Q472" s="315" t="s">
        <v>959</v>
      </c>
    </row>
    <row r="473" spans="1:17" s="11" customFormat="1" ht="45" x14ac:dyDescent="0.25">
      <c r="A473" s="2375"/>
      <c r="B473" s="2222"/>
      <c r="C473" s="2216"/>
      <c r="D473" s="2216"/>
      <c r="E473" s="2386"/>
      <c r="F473" s="2314"/>
      <c r="G473" s="2314"/>
      <c r="H473" s="2314"/>
      <c r="I473" s="2314"/>
      <c r="J473" s="2314"/>
      <c r="K473" s="479" t="s">
        <v>1285</v>
      </c>
      <c r="L473" s="2308" t="s">
        <v>14</v>
      </c>
      <c r="M473" s="316"/>
      <c r="N473" s="316"/>
      <c r="O473" s="316"/>
      <c r="P473" s="316"/>
      <c r="Q473" s="316"/>
    </row>
    <row r="474" spans="1:17" s="11" customFormat="1" x14ac:dyDescent="0.25">
      <c r="A474" s="2376"/>
      <c r="B474" s="2222"/>
      <c r="C474" s="2216"/>
      <c r="D474" s="2216"/>
      <c r="E474" s="2386"/>
      <c r="F474" s="2314"/>
      <c r="G474" s="2314"/>
      <c r="H474" s="2314"/>
      <c r="I474" s="2314"/>
      <c r="J474" s="2314"/>
      <c r="K474" s="480" t="s">
        <v>817</v>
      </c>
      <c r="L474" s="2309"/>
      <c r="M474" s="315">
        <v>0.14799999999999999</v>
      </c>
      <c r="N474" s="315">
        <v>0.14899999999999999</v>
      </c>
      <c r="O474" s="315">
        <v>0.15</v>
      </c>
      <c r="P474" s="315">
        <v>0.151</v>
      </c>
      <c r="Q474" s="315">
        <v>0.152</v>
      </c>
    </row>
    <row r="475" spans="1:17" s="11" customFormat="1" x14ac:dyDescent="0.25">
      <c r="A475" s="2377"/>
      <c r="B475" s="2223"/>
      <c r="C475" s="2217"/>
      <c r="D475" s="2217"/>
      <c r="E475" s="2386"/>
      <c r="F475" s="2315"/>
      <c r="G475" s="2315"/>
      <c r="H475" s="2315"/>
      <c r="I475" s="2315"/>
      <c r="J475" s="2315"/>
      <c r="K475" s="481" t="s">
        <v>818</v>
      </c>
      <c r="L475" s="2310"/>
      <c r="M475" s="192">
        <v>5.5E-2</v>
      </c>
      <c r="N475" s="192">
        <v>5.5E-2</v>
      </c>
      <c r="O475" s="192">
        <v>5.6000000000000001E-2</v>
      </c>
      <c r="P475" s="192">
        <v>5.7000000000000002E-2</v>
      </c>
      <c r="Q475" s="192">
        <v>5.8000000000000003E-2</v>
      </c>
    </row>
    <row r="476" spans="1:17" s="11" customFormat="1" ht="30" customHeight="1" x14ac:dyDescent="0.25">
      <c r="A476" s="622"/>
      <c r="B476" s="2215"/>
      <c r="C476" s="2215" t="s">
        <v>2</v>
      </c>
      <c r="D476" s="2215"/>
      <c r="E476" s="1609" t="s">
        <v>398</v>
      </c>
      <c r="F476" s="2385">
        <v>7288261.5999999996</v>
      </c>
      <c r="G476" s="2385">
        <v>7222594.0999999996</v>
      </c>
      <c r="H476" s="2385">
        <v>7430484.5</v>
      </c>
      <c r="I476" s="2385">
        <v>7576303.7999999998</v>
      </c>
      <c r="J476" s="2385">
        <v>7698406</v>
      </c>
      <c r="K476" s="527" t="s">
        <v>819</v>
      </c>
      <c r="L476" s="181" t="s">
        <v>14</v>
      </c>
      <c r="M476" s="168">
        <v>0.52</v>
      </c>
      <c r="N476" s="168" t="s">
        <v>961</v>
      </c>
      <c r="O476" s="168" t="s">
        <v>949</v>
      </c>
      <c r="P476" s="168" t="s">
        <v>949</v>
      </c>
      <c r="Q476" s="168" t="s">
        <v>962</v>
      </c>
    </row>
    <row r="477" spans="1:17" s="11" customFormat="1" x14ac:dyDescent="0.25">
      <c r="A477" s="297"/>
      <c r="B477" s="2216"/>
      <c r="C477" s="2216"/>
      <c r="D477" s="2216"/>
      <c r="E477" s="1609"/>
      <c r="F477" s="2385"/>
      <c r="G477" s="2385"/>
      <c r="H477" s="2385"/>
      <c r="I477" s="2385"/>
      <c r="J477" s="2385"/>
      <c r="K477" s="527" t="s">
        <v>820</v>
      </c>
      <c r="L477" s="181" t="s">
        <v>14</v>
      </c>
      <c r="M477" s="184">
        <v>0.08</v>
      </c>
      <c r="N477" s="184">
        <v>7.0000000000000007E-2</v>
      </c>
      <c r="O477" s="184">
        <v>0.06</v>
      </c>
      <c r="P477" s="184">
        <v>0.05</v>
      </c>
      <c r="Q477" s="184">
        <v>0.03</v>
      </c>
    </row>
    <row r="478" spans="1:17" s="11" customFormat="1" ht="45" x14ac:dyDescent="0.25">
      <c r="A478" s="297"/>
      <c r="B478" s="2216"/>
      <c r="C478" s="2216"/>
      <c r="D478" s="2216"/>
      <c r="E478" s="1609"/>
      <c r="F478" s="2385"/>
      <c r="G478" s="2385"/>
      <c r="H478" s="2385"/>
      <c r="I478" s="2385"/>
      <c r="J478" s="2385"/>
      <c r="K478" s="527" t="s">
        <v>821</v>
      </c>
      <c r="L478" s="181" t="s">
        <v>14</v>
      </c>
      <c r="M478" s="168">
        <v>0.23599999999999999</v>
      </c>
      <c r="N478" s="168" t="s">
        <v>963</v>
      </c>
      <c r="O478" s="168" t="s">
        <v>964</v>
      </c>
      <c r="P478" s="168" t="s">
        <v>965</v>
      </c>
      <c r="Q478" s="168" t="s">
        <v>965</v>
      </c>
    </row>
    <row r="479" spans="1:17" s="11" customFormat="1" ht="30" x14ac:dyDescent="0.25">
      <c r="A479" s="297"/>
      <c r="B479" s="2217"/>
      <c r="C479" s="2217"/>
      <c r="D479" s="2217"/>
      <c r="E479" s="1609"/>
      <c r="F479" s="2385"/>
      <c r="G479" s="2385"/>
      <c r="H479" s="2385"/>
      <c r="I479" s="2385"/>
      <c r="J479" s="2385"/>
      <c r="K479" s="527" t="s">
        <v>822</v>
      </c>
      <c r="L479" s="181" t="s">
        <v>14</v>
      </c>
      <c r="M479" s="168">
        <v>1.08</v>
      </c>
      <c r="N479" s="168">
        <v>1.06</v>
      </c>
      <c r="O479" s="168">
        <v>1.02</v>
      </c>
      <c r="P479" s="168" t="s">
        <v>119</v>
      </c>
      <c r="Q479" s="168" t="s">
        <v>119</v>
      </c>
    </row>
    <row r="480" spans="1:17" s="11" customFormat="1" ht="60" x14ac:dyDescent="0.25">
      <c r="A480" s="622"/>
      <c r="B480" s="515"/>
      <c r="C480" s="515" t="s">
        <v>3</v>
      </c>
      <c r="D480" s="515"/>
      <c r="E480" s="526" t="s">
        <v>399</v>
      </c>
      <c r="F480" s="656">
        <v>756230.1</v>
      </c>
      <c r="G480" s="656">
        <v>721209.1</v>
      </c>
      <c r="H480" s="656">
        <v>771209.1</v>
      </c>
      <c r="I480" s="656">
        <v>791209.1</v>
      </c>
      <c r="J480" s="656">
        <v>811209.1</v>
      </c>
      <c r="K480" s="527" t="s">
        <v>822</v>
      </c>
      <c r="L480" s="435" t="s">
        <v>14</v>
      </c>
      <c r="M480" s="198">
        <v>0.94399999999999995</v>
      </c>
      <c r="N480" s="198" t="s">
        <v>966</v>
      </c>
      <c r="O480" s="198" t="s">
        <v>823</v>
      </c>
      <c r="P480" s="198" t="s">
        <v>966</v>
      </c>
      <c r="Q480" s="198" t="s">
        <v>823</v>
      </c>
    </row>
    <row r="481" spans="1:17" s="11" customFormat="1" ht="60" x14ac:dyDescent="0.25">
      <c r="A481" s="622"/>
      <c r="B481" s="533"/>
      <c r="C481" s="533" t="s">
        <v>4</v>
      </c>
      <c r="D481" s="533"/>
      <c r="E481" s="526" t="s">
        <v>400</v>
      </c>
      <c r="F481" s="656">
        <v>233641.3</v>
      </c>
      <c r="G481" s="656">
        <v>252210.5</v>
      </c>
      <c r="H481" s="656">
        <v>262210.5</v>
      </c>
      <c r="I481" s="656">
        <v>272210.5</v>
      </c>
      <c r="J481" s="656">
        <v>282210.5</v>
      </c>
      <c r="K481" s="527" t="s">
        <v>822</v>
      </c>
      <c r="L481" s="181" t="s">
        <v>14</v>
      </c>
      <c r="M481" s="184">
        <v>1.03</v>
      </c>
      <c r="N481" s="184" t="s">
        <v>823</v>
      </c>
      <c r="O481" s="184" t="s">
        <v>823</v>
      </c>
      <c r="P481" s="184" t="s">
        <v>823</v>
      </c>
      <c r="Q481" s="184" t="s">
        <v>823</v>
      </c>
    </row>
    <row r="482" spans="1:17" s="11" customFormat="1" ht="45" x14ac:dyDescent="0.25">
      <c r="A482" s="622"/>
      <c r="B482" s="533"/>
      <c r="C482" s="533" t="s">
        <v>5</v>
      </c>
      <c r="D482" s="533"/>
      <c r="E482" s="526" t="s">
        <v>401</v>
      </c>
      <c r="F482" s="656">
        <v>145048.6</v>
      </c>
      <c r="G482" s="656">
        <v>196006.7</v>
      </c>
      <c r="H482" s="656">
        <v>206006.7</v>
      </c>
      <c r="I482" s="656">
        <v>216006.7</v>
      </c>
      <c r="J482" s="656">
        <v>226006.7</v>
      </c>
      <c r="K482" s="527" t="s">
        <v>822</v>
      </c>
      <c r="L482" s="181" t="s">
        <v>14</v>
      </c>
      <c r="M482" s="184">
        <v>1.03</v>
      </c>
      <c r="N482" s="184">
        <v>1.02</v>
      </c>
      <c r="O482" s="184" t="s">
        <v>823</v>
      </c>
      <c r="P482" s="184" t="s">
        <v>823</v>
      </c>
      <c r="Q482" s="184" t="s">
        <v>823</v>
      </c>
    </row>
    <row r="483" spans="1:17" s="11" customFormat="1" ht="45" x14ac:dyDescent="0.25">
      <c r="A483" s="71">
        <v>26</v>
      </c>
      <c r="B483" s="533"/>
      <c r="C483" s="533" t="s">
        <v>49</v>
      </c>
      <c r="D483" s="533"/>
      <c r="E483" s="526" t="s">
        <v>402</v>
      </c>
      <c r="F483" s="656">
        <v>333034.8</v>
      </c>
      <c r="G483" s="656">
        <v>291786.7</v>
      </c>
      <c r="H483" s="656">
        <v>301786.7</v>
      </c>
      <c r="I483" s="656">
        <v>311786.7</v>
      </c>
      <c r="J483" s="656">
        <v>321786.7</v>
      </c>
      <c r="K483" s="527" t="s">
        <v>822</v>
      </c>
      <c r="L483" s="181" t="s">
        <v>14</v>
      </c>
      <c r="M483" s="184">
        <v>0.98</v>
      </c>
      <c r="N483" s="184" t="s">
        <v>823</v>
      </c>
      <c r="O483" s="184" t="s">
        <v>823</v>
      </c>
      <c r="P483" s="184" t="s">
        <v>823</v>
      </c>
      <c r="Q483" s="184" t="s">
        <v>823</v>
      </c>
    </row>
    <row r="484" spans="1:17" ht="75" x14ac:dyDescent="0.25">
      <c r="B484" s="515"/>
      <c r="C484" s="515" t="s">
        <v>53</v>
      </c>
      <c r="D484" s="515"/>
      <c r="E484" s="526" t="s">
        <v>403</v>
      </c>
      <c r="F484" s="656">
        <v>41577</v>
      </c>
      <c r="G484" s="656">
        <v>100000</v>
      </c>
      <c r="H484" s="656">
        <v>100000</v>
      </c>
      <c r="I484" s="656">
        <v>100000</v>
      </c>
      <c r="J484" s="656">
        <v>150000</v>
      </c>
      <c r="K484" s="527" t="s">
        <v>824</v>
      </c>
      <c r="L484" s="181" t="s">
        <v>14</v>
      </c>
      <c r="M484" s="168">
        <v>0.249</v>
      </c>
      <c r="N484" s="168">
        <v>0.65</v>
      </c>
      <c r="O484" s="168">
        <v>0.67800000000000005</v>
      </c>
      <c r="P484" s="168">
        <v>0.7</v>
      </c>
      <c r="Q484" s="168">
        <v>0.8</v>
      </c>
    </row>
    <row r="485" spans="1:17" ht="15" hidden="1" customHeight="1" x14ac:dyDescent="0.25">
      <c r="B485" s="90"/>
      <c r="C485" s="90"/>
      <c r="D485" s="90"/>
      <c r="E485" s="659" t="s">
        <v>120</v>
      </c>
      <c r="F485" s="588">
        <f>SUM(F476:F484)</f>
        <v>8797793.4000000004</v>
      </c>
      <c r="G485" s="588">
        <f>SUM(G476:G484)</f>
        <v>8783807.0999999978</v>
      </c>
      <c r="H485" s="588">
        <f>SUM(H476:H484)</f>
        <v>9071697.4999999981</v>
      </c>
      <c r="I485" s="588">
        <f>SUM(I476:I484)</f>
        <v>9267516.799999997</v>
      </c>
      <c r="J485" s="588">
        <f>SUM(J476:J484)</f>
        <v>9489618.9999999981</v>
      </c>
      <c r="K485" s="2307"/>
      <c r="L485" s="2307"/>
      <c r="M485" s="2307"/>
      <c r="N485" s="2307"/>
      <c r="O485" s="2307"/>
      <c r="P485" s="2307"/>
      <c r="Q485" s="2307"/>
    </row>
    <row r="486" spans="1:17" ht="132" x14ac:dyDescent="0.25">
      <c r="B486" s="657" t="s">
        <v>101</v>
      </c>
      <c r="C486" s="515"/>
      <c r="D486" s="515"/>
      <c r="E486" s="582" t="s">
        <v>404</v>
      </c>
      <c r="F486" s="368">
        <f>F487+F488+F489+F490</f>
        <v>992459.5</v>
      </c>
      <c r="G486" s="368">
        <f t="shared" ref="G486:J486" si="63">G487+G488+G489+G490</f>
        <v>501296.2</v>
      </c>
      <c r="H486" s="368">
        <f t="shared" si="63"/>
        <v>1175406.3999999999</v>
      </c>
      <c r="I486" s="368">
        <f t="shared" si="63"/>
        <v>768660.8</v>
      </c>
      <c r="J486" s="368">
        <f t="shared" si="63"/>
        <v>786360.8</v>
      </c>
      <c r="K486" s="527" t="s">
        <v>825</v>
      </c>
      <c r="L486" s="67" t="s">
        <v>14</v>
      </c>
      <c r="M486" s="168">
        <f>488/(538+488+117)</f>
        <v>0.42694663167104113</v>
      </c>
      <c r="N486" s="168">
        <f>(488+117)/(538+488+117)</f>
        <v>0.52930883639545057</v>
      </c>
      <c r="O486" s="168">
        <f>N486</f>
        <v>0.52930883639545057</v>
      </c>
      <c r="P486" s="168">
        <f>O486</f>
        <v>0.52930883639545057</v>
      </c>
      <c r="Q486" s="168">
        <f>P486</f>
        <v>0.52930883639545057</v>
      </c>
    </row>
    <row r="487" spans="1:17" ht="150" x14ac:dyDescent="0.25">
      <c r="B487" s="515"/>
      <c r="C487" s="515" t="s">
        <v>2</v>
      </c>
      <c r="D487" s="515"/>
      <c r="E487" s="526" t="s">
        <v>405</v>
      </c>
      <c r="F487" s="656">
        <v>309213.90000000002</v>
      </c>
      <c r="G487" s="656">
        <v>286000</v>
      </c>
      <c r="H487" s="656">
        <v>511660.79999999999</v>
      </c>
      <c r="I487" s="656">
        <v>511660.79999999999</v>
      </c>
      <c r="J487" s="656">
        <v>511660.79999999999</v>
      </c>
      <c r="K487" s="527" t="s">
        <v>826</v>
      </c>
      <c r="L487" s="67" t="s">
        <v>63</v>
      </c>
      <c r="M487" s="191">
        <v>908</v>
      </c>
      <c r="N487" s="191">
        <v>763</v>
      </c>
      <c r="O487" s="191">
        <v>756</v>
      </c>
      <c r="P487" s="191">
        <v>756</v>
      </c>
      <c r="Q487" s="191">
        <v>756</v>
      </c>
    </row>
    <row r="488" spans="1:17" ht="90" x14ac:dyDescent="0.25">
      <c r="B488" s="515"/>
      <c r="C488" s="573" t="s">
        <v>3</v>
      </c>
      <c r="D488" s="573"/>
      <c r="E488" s="526" t="s">
        <v>406</v>
      </c>
      <c r="F488" s="516">
        <v>180000</v>
      </c>
      <c r="G488" s="516">
        <v>190296.2</v>
      </c>
      <c r="H488" s="516">
        <v>208700</v>
      </c>
      <c r="I488" s="516">
        <v>222000</v>
      </c>
      <c r="J488" s="516">
        <v>234700</v>
      </c>
      <c r="K488" s="527" t="s">
        <v>827</v>
      </c>
      <c r="L488" s="181" t="s">
        <v>14</v>
      </c>
      <c r="M488" s="168">
        <f>F488/(F495-F451)</f>
        <v>1.2369502011476878E-2</v>
      </c>
      <c r="N488" s="168">
        <f>G488/(G495-G451)</f>
        <v>1.2789630683537553E-2</v>
      </c>
      <c r="O488" s="168">
        <f>H488/(H495-H451)</f>
        <v>1.2755841879146376E-2</v>
      </c>
      <c r="P488" s="168">
        <f>I488/(I495-I451)</f>
        <v>1.3518867159366857E-2</v>
      </c>
      <c r="Q488" s="168">
        <f>J488/(J495-J451)</f>
        <v>1.3738780291222691E-2</v>
      </c>
    </row>
    <row r="489" spans="1:17" ht="45" x14ac:dyDescent="0.25">
      <c r="B489" s="515"/>
      <c r="C489" s="573" t="s">
        <v>4</v>
      </c>
      <c r="D489" s="573"/>
      <c r="E489" s="526" t="s">
        <v>407</v>
      </c>
      <c r="F489" s="516">
        <v>25000</v>
      </c>
      <c r="G489" s="516">
        <v>25000</v>
      </c>
      <c r="H489" s="516">
        <v>30000</v>
      </c>
      <c r="I489" s="516">
        <v>35000</v>
      </c>
      <c r="J489" s="516">
        <v>40000</v>
      </c>
      <c r="K489" s="527" t="s">
        <v>828</v>
      </c>
      <c r="L489" s="181" t="s">
        <v>14</v>
      </c>
      <c r="M489" s="168">
        <f>F489/F495</f>
        <v>1.7024145809057753E-3</v>
      </c>
      <c r="N489" s="168">
        <f>G489/G495</f>
        <v>1.6632355116003661E-3</v>
      </c>
      <c r="O489" s="168">
        <f>H489/H495</f>
        <v>1.8160761604227246E-3</v>
      </c>
      <c r="P489" s="168">
        <f>I489/I495</f>
        <v>2.1096417844524381E-3</v>
      </c>
      <c r="Q489" s="168">
        <f>J489/J495</f>
        <v>2.3172245271751149E-3</v>
      </c>
    </row>
    <row r="490" spans="1:17" ht="45" x14ac:dyDescent="0.25">
      <c r="B490" s="2215"/>
      <c r="C490" s="2215" t="s">
        <v>5</v>
      </c>
      <c r="D490" s="2215"/>
      <c r="E490" s="1609" t="s">
        <v>408</v>
      </c>
      <c r="F490" s="2120">
        <v>478245.6</v>
      </c>
      <c r="G490" s="2120"/>
      <c r="H490" s="2120">
        <v>425045.6</v>
      </c>
      <c r="I490" s="2120"/>
      <c r="J490" s="2120"/>
      <c r="K490" s="526" t="s">
        <v>829</v>
      </c>
      <c r="L490" s="181" t="s">
        <v>14</v>
      </c>
      <c r="M490" s="168">
        <f>F490/F495</f>
        <v>3.2566891307761241E-2</v>
      </c>
      <c r="N490" s="168"/>
      <c r="O490" s="168">
        <f>H490/H495</f>
        <v>2.5730506041752439E-2</v>
      </c>
      <c r="P490" s="169"/>
      <c r="Q490" s="169"/>
    </row>
    <row r="491" spans="1:17" ht="45" x14ac:dyDescent="0.25">
      <c r="B491" s="2216"/>
      <c r="C491" s="2216"/>
      <c r="D491" s="2216"/>
      <c r="E491" s="1609"/>
      <c r="F491" s="2121"/>
      <c r="G491" s="2121"/>
      <c r="H491" s="2121"/>
      <c r="I491" s="2121"/>
      <c r="J491" s="2121"/>
      <c r="K491" s="526" t="s">
        <v>830</v>
      </c>
      <c r="L491" s="181" t="s">
        <v>978</v>
      </c>
      <c r="M491" s="191"/>
      <c r="N491" s="191">
        <v>6</v>
      </c>
      <c r="O491" s="191"/>
      <c r="P491" s="176"/>
      <c r="Q491" s="176"/>
    </row>
    <row r="492" spans="1:17" hidden="1" x14ac:dyDescent="0.25">
      <c r="B492" s="91"/>
      <c r="C492" s="91"/>
      <c r="D492" s="91"/>
      <c r="E492" s="659" t="s">
        <v>121</v>
      </c>
      <c r="F492" s="588">
        <f>SUM(F487:F490)</f>
        <v>992459.5</v>
      </c>
      <c r="G492" s="588">
        <f>SUM(G487:G490)</f>
        <v>501296.2</v>
      </c>
      <c r="H492" s="588">
        <f>SUM(H487:H490)</f>
        <v>1175406.3999999999</v>
      </c>
      <c r="I492" s="588">
        <f>SUM(I487:I490)</f>
        <v>768660.8</v>
      </c>
      <c r="J492" s="588">
        <f>SUM(J487:J490)</f>
        <v>786360.8</v>
      </c>
      <c r="K492" s="2227"/>
      <c r="L492" s="2227"/>
      <c r="M492" s="2227"/>
      <c r="N492" s="2227"/>
      <c r="O492" s="2227"/>
      <c r="P492" s="2227"/>
      <c r="Q492" s="2227"/>
    </row>
    <row r="493" spans="1:17" hidden="1" x14ac:dyDescent="0.25">
      <c r="B493" s="91"/>
      <c r="C493" s="91"/>
      <c r="D493" s="91"/>
      <c r="E493" s="659"/>
      <c r="F493" s="588"/>
      <c r="G493" s="588"/>
      <c r="H493" s="588"/>
      <c r="I493" s="588"/>
      <c r="J493" s="588"/>
      <c r="K493" s="659"/>
      <c r="L493" s="568"/>
      <c r="M493" s="568"/>
      <c r="N493" s="568"/>
      <c r="O493" s="568"/>
      <c r="P493" s="568"/>
      <c r="Q493" s="568"/>
    </row>
    <row r="494" spans="1:17" hidden="1" x14ac:dyDescent="0.25">
      <c r="B494" s="367"/>
      <c r="C494" s="367"/>
      <c r="D494" s="367"/>
      <c r="E494" s="369"/>
      <c r="F494" s="588"/>
      <c r="G494" s="588"/>
      <c r="H494" s="588"/>
      <c r="I494" s="588"/>
      <c r="J494" s="588"/>
      <c r="K494" s="659"/>
      <c r="L494" s="568"/>
      <c r="M494" s="568"/>
      <c r="N494" s="568"/>
      <c r="O494" s="568"/>
      <c r="P494" s="568"/>
      <c r="Q494" s="568"/>
    </row>
    <row r="495" spans="1:17" ht="15" customHeight="1" x14ac:dyDescent="0.25">
      <c r="A495" s="2186" t="s">
        <v>409</v>
      </c>
      <c r="B495" s="2186"/>
      <c r="C495" s="2186"/>
      <c r="D495" s="2186"/>
      <c r="E495" s="2186"/>
      <c r="F495" s="230">
        <f>F492+F485+F470+F451</f>
        <v>14685024.6</v>
      </c>
      <c r="G495" s="230">
        <f>G492+G485+G470+G451</f>
        <v>15030944.099999998</v>
      </c>
      <c r="H495" s="230">
        <f>H492+H485+H470+H451</f>
        <v>16519130.999999998</v>
      </c>
      <c r="I495" s="230">
        <f>I492+I485+I470+I451</f>
        <v>16590494.299999997</v>
      </c>
      <c r="J495" s="230">
        <f>J492+J485+J470+J451</f>
        <v>17262030.299999997</v>
      </c>
      <c r="K495" s="2228"/>
      <c r="L495" s="2228"/>
      <c r="M495" s="2228"/>
      <c r="N495" s="2228"/>
      <c r="O495" s="2228"/>
      <c r="P495" s="2228"/>
      <c r="Q495" s="2228"/>
    </row>
    <row r="496" spans="1:17" x14ac:dyDescent="0.25">
      <c r="A496" s="2243" t="s">
        <v>410</v>
      </c>
      <c r="B496" s="2243"/>
      <c r="C496" s="2243"/>
      <c r="D496" s="2243"/>
      <c r="E496" s="2243"/>
      <c r="F496" s="55">
        <v>10466697.199999999</v>
      </c>
      <c r="G496" s="55">
        <v>10852341.699999999</v>
      </c>
      <c r="H496" s="55">
        <v>11116341.699999999</v>
      </c>
      <c r="I496" s="55">
        <v>9979341.6999999993</v>
      </c>
      <c r="J496" s="55">
        <v>12251224</v>
      </c>
      <c r="K496" s="841"/>
      <c r="L496" s="231"/>
      <c r="M496" s="231"/>
      <c r="N496" s="231"/>
      <c r="O496" s="231"/>
      <c r="P496" s="231"/>
      <c r="Q496" s="231"/>
    </row>
    <row r="497" spans="1:17" s="11" customFormat="1" hidden="1" x14ac:dyDescent="0.25">
      <c r="A497" s="323"/>
      <c r="B497" s="323"/>
      <c r="C497" s="382"/>
      <c r="D497" s="382"/>
      <c r="E497" s="382"/>
      <c r="F497" s="464"/>
      <c r="G497" s="464"/>
      <c r="H497" s="465"/>
      <c r="I497" s="465"/>
      <c r="J497" s="465"/>
      <c r="K497" s="383"/>
      <c r="L497" s="1547"/>
      <c r="M497" s="382"/>
      <c r="N497" s="382"/>
      <c r="O497" s="382"/>
      <c r="P497" s="382"/>
      <c r="Q497" s="382"/>
    </row>
    <row r="498" spans="1:17" s="11" customFormat="1" hidden="1" x14ac:dyDescent="0.25">
      <c r="A498" s="323"/>
      <c r="B498" s="323"/>
      <c r="C498" s="382"/>
      <c r="D498" s="382"/>
      <c r="E498" s="382"/>
      <c r="F498" s="464"/>
      <c r="G498" s="464"/>
      <c r="H498" s="465"/>
      <c r="I498" s="465"/>
      <c r="J498" s="465"/>
      <c r="K498" s="383"/>
      <c r="L498" s="1547"/>
      <c r="M498" s="382"/>
      <c r="N498" s="382"/>
      <c r="O498" s="382"/>
      <c r="P498" s="382"/>
      <c r="Q498" s="382"/>
    </row>
    <row r="499" spans="1:17" s="11" customFormat="1" x14ac:dyDescent="0.25">
      <c r="A499" s="491"/>
      <c r="B499" s="1589" t="s">
        <v>411</v>
      </c>
      <c r="C499" s="1590"/>
      <c r="D499" s="1590"/>
      <c r="E499" s="1590"/>
      <c r="F499" s="1590"/>
      <c r="G499" s="1590"/>
      <c r="H499" s="1590"/>
      <c r="I499" s="1590"/>
      <c r="J499" s="1590"/>
      <c r="K499" s="1590"/>
      <c r="L499" s="1590"/>
      <c r="M499" s="1590"/>
      <c r="N499" s="1590"/>
      <c r="O499" s="1590"/>
      <c r="P499" s="1590"/>
      <c r="Q499" s="1590"/>
    </row>
    <row r="500" spans="1:17" s="11" customFormat="1" ht="75" x14ac:dyDescent="0.25">
      <c r="A500" s="636"/>
      <c r="B500" s="428" t="s">
        <v>91</v>
      </c>
      <c r="C500" s="413"/>
      <c r="D500" s="413"/>
      <c r="E500" s="653" t="s">
        <v>412</v>
      </c>
      <c r="F500" s="430">
        <f t="shared" ref="F500:G500" si="64">SUM(F501:F504)</f>
        <v>20021600</v>
      </c>
      <c r="G500" s="430">
        <f t="shared" si="64"/>
        <v>21038980.120000001</v>
      </c>
      <c r="H500" s="430">
        <f>SUM(H501:H504)</f>
        <v>22007980.100000001</v>
      </c>
      <c r="I500" s="430">
        <f>SUM(I501:I504)</f>
        <v>21911980.100000001</v>
      </c>
      <c r="J500" s="430">
        <f t="shared" ref="J500" si="65">SUM(J501:J504)</f>
        <v>24009776.760000002</v>
      </c>
      <c r="K500" s="565" t="s">
        <v>831</v>
      </c>
      <c r="L500" s="511" t="s">
        <v>979</v>
      </c>
      <c r="M500" s="511">
        <v>0</v>
      </c>
      <c r="N500" s="511">
        <v>0</v>
      </c>
      <c r="O500" s="511">
        <v>0</v>
      </c>
      <c r="P500" s="511">
        <v>0</v>
      </c>
      <c r="Q500" s="511">
        <v>0</v>
      </c>
    </row>
    <row r="501" spans="1:17" s="11" customFormat="1" ht="45" x14ac:dyDescent="0.25">
      <c r="A501" s="70"/>
      <c r="B501" s="607"/>
      <c r="C501" s="450" t="s">
        <v>2</v>
      </c>
      <c r="D501" s="450"/>
      <c r="E501" s="526" t="s">
        <v>413</v>
      </c>
      <c r="F501" s="443">
        <v>11783498.177999999</v>
      </c>
      <c r="G501" s="729">
        <v>12382200.573000001</v>
      </c>
      <c r="H501" s="443">
        <f>13155333.6+100000</f>
        <v>13255333.6</v>
      </c>
      <c r="I501" s="443">
        <v>13155333.6</v>
      </c>
      <c r="J501" s="443">
        <v>14535490.380000001</v>
      </c>
      <c r="K501" s="565" t="s">
        <v>832</v>
      </c>
      <c r="L501" s="512" t="s">
        <v>979</v>
      </c>
      <c r="M501" s="512">
        <v>0</v>
      </c>
      <c r="N501" s="512">
        <v>0</v>
      </c>
      <c r="O501" s="512">
        <v>0</v>
      </c>
      <c r="P501" s="512">
        <v>0</v>
      </c>
      <c r="Q501" s="512">
        <v>0</v>
      </c>
    </row>
    <row r="502" spans="1:17" s="11" customFormat="1" ht="30" customHeight="1" x14ac:dyDescent="0.25">
      <c r="A502" s="622"/>
      <c r="B502" s="607"/>
      <c r="C502" s="450" t="s">
        <v>3</v>
      </c>
      <c r="D502" s="450"/>
      <c r="E502" s="526" t="s">
        <v>414</v>
      </c>
      <c r="F502" s="443">
        <v>1858396.7</v>
      </c>
      <c r="G502" s="729">
        <v>1882616.1540000001</v>
      </c>
      <c r="H502" s="443">
        <v>1915837.9</v>
      </c>
      <c r="I502" s="443">
        <v>1915837.9</v>
      </c>
      <c r="J502" s="443">
        <v>1986821.1</v>
      </c>
      <c r="K502" s="565" t="s">
        <v>832</v>
      </c>
      <c r="L502" s="512" t="s">
        <v>979</v>
      </c>
      <c r="M502" s="512">
        <v>0</v>
      </c>
      <c r="N502" s="512">
        <v>0</v>
      </c>
      <c r="O502" s="512">
        <v>0</v>
      </c>
      <c r="P502" s="512">
        <v>0</v>
      </c>
      <c r="Q502" s="512">
        <v>0</v>
      </c>
    </row>
    <row r="503" spans="1:17" s="11" customFormat="1" ht="60" x14ac:dyDescent="0.25">
      <c r="A503" s="622"/>
      <c r="B503" s="607"/>
      <c r="C503" s="450" t="s">
        <v>4</v>
      </c>
      <c r="D503" s="450"/>
      <c r="E503" s="565" t="s">
        <v>415</v>
      </c>
      <c r="F503" s="443">
        <f>2481943.367+20125.257</f>
        <v>2502068.6240000003</v>
      </c>
      <c r="G503" s="729">
        <v>2760914.5</v>
      </c>
      <c r="H503" s="443">
        <f>3054264+24000-4000</f>
        <v>3074264</v>
      </c>
      <c r="I503" s="443">
        <f>3054264+24000</f>
        <v>3078264</v>
      </c>
      <c r="J503" s="443">
        <f>3517990.68+26000</f>
        <v>3543990.68</v>
      </c>
      <c r="K503" s="565" t="s">
        <v>832</v>
      </c>
      <c r="L503" s="512" t="s">
        <v>979</v>
      </c>
      <c r="M503" s="512">
        <v>0</v>
      </c>
      <c r="N503" s="512">
        <v>0</v>
      </c>
      <c r="O503" s="512">
        <v>0</v>
      </c>
      <c r="P503" s="512">
        <v>0</v>
      </c>
      <c r="Q503" s="512">
        <v>0</v>
      </c>
    </row>
    <row r="504" spans="1:17" s="11" customFormat="1" ht="45" x14ac:dyDescent="0.25">
      <c r="A504" s="622"/>
      <c r="B504" s="607"/>
      <c r="C504" s="450" t="s">
        <v>5</v>
      </c>
      <c r="D504" s="450"/>
      <c r="E504" s="526" t="s">
        <v>416</v>
      </c>
      <c r="F504" s="443">
        <f>1310428.5+200495.5+1514087.1+8126.5+33952.1+3767.9+593846.7+213078.598-146.4</f>
        <v>3877636.4980000001</v>
      </c>
      <c r="G504" s="729">
        <v>4013248.8930000002</v>
      </c>
      <c r="H504" s="443">
        <v>3762544.6</v>
      </c>
      <c r="I504" s="443">
        <v>3762544.6</v>
      </c>
      <c r="J504" s="443">
        <v>3943474.6</v>
      </c>
      <c r="K504" s="565" t="s">
        <v>832</v>
      </c>
      <c r="L504" s="512" t="s">
        <v>979</v>
      </c>
      <c r="M504" s="512">
        <v>0</v>
      </c>
      <c r="N504" s="512">
        <v>0</v>
      </c>
      <c r="O504" s="512">
        <v>0</v>
      </c>
      <c r="P504" s="512">
        <v>0</v>
      </c>
      <c r="Q504" s="512">
        <v>0</v>
      </c>
    </row>
    <row r="505" spans="1:17" s="11" customFormat="1" x14ac:dyDescent="0.25">
      <c r="A505" s="622"/>
      <c r="B505" s="61">
        <v>3</v>
      </c>
      <c r="C505" s="515"/>
      <c r="D505" s="72"/>
      <c r="E505" s="582" t="s">
        <v>417</v>
      </c>
      <c r="F505" s="68">
        <f>SUM(F506:F520)</f>
        <v>10859174.248000002</v>
      </c>
      <c r="G505" s="68">
        <f t="shared" ref="G505:J505" si="66">SUM(G506:G520)</f>
        <v>14161066.600000001</v>
      </c>
      <c r="H505" s="68">
        <f t="shared" si="66"/>
        <v>30612816.899999999</v>
      </c>
      <c r="I505" s="68">
        <f t="shared" si="66"/>
        <v>14453108.399999999</v>
      </c>
      <c r="J505" s="68">
        <f t="shared" si="66"/>
        <v>16005692.000000002</v>
      </c>
      <c r="K505" s="565"/>
      <c r="L505" s="26"/>
      <c r="M505" s="26"/>
      <c r="N505" s="26"/>
      <c r="O505" s="26"/>
      <c r="P505" s="26"/>
      <c r="Q505" s="26"/>
    </row>
    <row r="506" spans="1:17" s="11" customFormat="1" ht="30" x14ac:dyDescent="0.25">
      <c r="A506" s="70"/>
      <c r="B506" s="66"/>
      <c r="C506" s="515" t="s">
        <v>2</v>
      </c>
      <c r="D506" s="72"/>
      <c r="E506" s="589" t="s">
        <v>418</v>
      </c>
      <c r="F506" s="69">
        <v>29755.1</v>
      </c>
      <c r="G506" s="729">
        <v>165100</v>
      </c>
      <c r="H506" s="69"/>
      <c r="I506" s="69">
        <v>165244</v>
      </c>
      <c r="J506" s="69">
        <v>165566.1</v>
      </c>
      <c r="K506" s="565"/>
      <c r="L506" s="26"/>
      <c r="M506" s="26"/>
      <c r="N506" s="26"/>
      <c r="O506" s="26"/>
      <c r="P506" s="26"/>
      <c r="Q506" s="26"/>
    </row>
    <row r="507" spans="1:17" s="11" customFormat="1" x14ac:dyDescent="0.25">
      <c r="A507" s="622"/>
      <c r="B507" s="66"/>
      <c r="C507" s="515" t="s">
        <v>3</v>
      </c>
      <c r="D507" s="72"/>
      <c r="E507" s="589" t="s">
        <v>419</v>
      </c>
      <c r="F507" s="69">
        <v>14100</v>
      </c>
      <c r="G507" s="729">
        <v>14100</v>
      </c>
      <c r="H507" s="69">
        <v>14100</v>
      </c>
      <c r="I507" s="69">
        <v>14100</v>
      </c>
      <c r="J507" s="69">
        <v>14100</v>
      </c>
      <c r="K507" s="565"/>
      <c r="L507" s="26"/>
      <c r="M507" s="26"/>
      <c r="N507" s="26"/>
      <c r="O507" s="26"/>
      <c r="P507" s="26"/>
      <c r="Q507" s="26"/>
    </row>
    <row r="508" spans="1:17" s="11" customFormat="1" ht="50.25" customHeight="1" x14ac:dyDescent="0.25">
      <c r="A508" s="622"/>
      <c r="B508" s="66"/>
      <c r="C508" s="515" t="s">
        <v>4</v>
      </c>
      <c r="D508" s="72"/>
      <c r="E508" s="589" t="s">
        <v>420</v>
      </c>
      <c r="F508" s="69"/>
      <c r="G508" s="729">
        <v>200000</v>
      </c>
      <c r="H508" s="69"/>
      <c r="I508" s="69">
        <v>120104.6</v>
      </c>
      <c r="J508" s="69">
        <v>120104.6</v>
      </c>
      <c r="K508" s="565"/>
      <c r="L508" s="26"/>
      <c r="M508" s="26"/>
      <c r="N508" s="26"/>
      <c r="O508" s="26"/>
      <c r="P508" s="26"/>
      <c r="Q508" s="26"/>
    </row>
    <row r="509" spans="1:17" s="11" customFormat="1" x14ac:dyDescent="0.25">
      <c r="A509" s="622"/>
      <c r="B509" s="66"/>
      <c r="C509" s="515" t="s">
        <v>5</v>
      </c>
      <c r="D509" s="72"/>
      <c r="E509" s="589" t="s">
        <v>421</v>
      </c>
      <c r="F509" s="69"/>
      <c r="G509" s="729">
        <v>500000</v>
      </c>
      <c r="H509" s="69"/>
      <c r="I509" s="69">
        <v>500436</v>
      </c>
      <c r="J509" s="69">
        <v>500436</v>
      </c>
      <c r="K509" s="565"/>
      <c r="L509" s="26"/>
      <c r="M509" s="26"/>
      <c r="N509" s="26"/>
      <c r="O509" s="26"/>
      <c r="P509" s="26"/>
      <c r="Q509" s="26"/>
    </row>
    <row r="510" spans="1:17" s="11" customFormat="1" ht="30" x14ac:dyDescent="0.25">
      <c r="A510" s="622"/>
      <c r="B510" s="66"/>
      <c r="C510" s="515" t="s">
        <v>49</v>
      </c>
      <c r="D510" s="72"/>
      <c r="E510" s="589" t="s">
        <v>422</v>
      </c>
      <c r="F510" s="69"/>
      <c r="G510" s="729">
        <v>2000000</v>
      </c>
      <c r="H510" s="69"/>
      <c r="I510" s="69">
        <v>1000872.1</v>
      </c>
      <c r="J510" s="69">
        <v>1000872.1</v>
      </c>
      <c r="K510" s="565"/>
      <c r="L510" s="26"/>
      <c r="M510" s="26"/>
      <c r="N510" s="26"/>
      <c r="O510" s="26"/>
      <c r="P510" s="26"/>
      <c r="Q510" s="26"/>
    </row>
    <row r="511" spans="1:17" s="11" customFormat="1" x14ac:dyDescent="0.25">
      <c r="A511" s="622"/>
      <c r="B511" s="66"/>
      <c r="C511" s="515" t="s">
        <v>50</v>
      </c>
      <c r="D511" s="72"/>
      <c r="E511" s="589" t="s">
        <v>423</v>
      </c>
      <c r="F511" s="69"/>
      <c r="G511" s="729">
        <v>140111.20000000001</v>
      </c>
      <c r="H511" s="69"/>
      <c r="I511" s="69">
        <v>1196200</v>
      </c>
      <c r="J511" s="69">
        <v>2062100</v>
      </c>
      <c r="K511" s="565"/>
      <c r="L511" s="26"/>
      <c r="M511" s="26"/>
      <c r="N511" s="26"/>
      <c r="O511" s="26"/>
      <c r="P511" s="26"/>
      <c r="Q511" s="26"/>
    </row>
    <row r="512" spans="1:17" s="11" customFormat="1" x14ac:dyDescent="0.25">
      <c r="A512" s="622"/>
      <c r="B512" s="66"/>
      <c r="C512" s="515" t="s">
        <v>51</v>
      </c>
      <c r="D512" s="72"/>
      <c r="E512" s="589" t="s">
        <v>424</v>
      </c>
      <c r="F512" s="69">
        <v>566926.66500000004</v>
      </c>
      <c r="G512" s="729">
        <v>635000</v>
      </c>
      <c r="H512" s="69">
        <v>635000</v>
      </c>
      <c r="I512" s="69">
        <v>636100</v>
      </c>
      <c r="J512" s="69">
        <v>712600</v>
      </c>
      <c r="K512" s="565"/>
      <c r="L512" s="26"/>
      <c r="M512" s="26"/>
      <c r="N512" s="26"/>
      <c r="O512" s="26"/>
      <c r="P512" s="26"/>
      <c r="Q512" s="26"/>
    </row>
    <row r="513" spans="1:17" s="11" customFormat="1" x14ac:dyDescent="0.25">
      <c r="A513" s="622"/>
      <c r="B513" s="66"/>
      <c r="C513" s="515" t="s">
        <v>53</v>
      </c>
      <c r="D513" s="72"/>
      <c r="E513" s="527" t="s">
        <v>425</v>
      </c>
      <c r="F513" s="69">
        <f>3697309.575+154585.394+3230902.696+14.25</f>
        <v>7082811.915</v>
      </c>
      <c r="G513" s="729">
        <v>8048193.2000000002</v>
      </c>
      <c r="H513" s="69">
        <v>28818716.899999999</v>
      </c>
      <c r="I513" s="69">
        <f>4440483.5+4738137.2</f>
        <v>9178620.6999999993</v>
      </c>
      <c r="J513" s="69">
        <f>4508551.3+5276731.2</f>
        <v>9785282.5</v>
      </c>
      <c r="K513" s="565"/>
      <c r="L513" s="26"/>
      <c r="M513" s="26"/>
      <c r="N513" s="26"/>
      <c r="O513" s="26"/>
      <c r="P513" s="26"/>
      <c r="Q513" s="26"/>
    </row>
    <row r="514" spans="1:17" s="11" customFormat="1" x14ac:dyDescent="0.25">
      <c r="A514" s="622"/>
      <c r="B514" s="66"/>
      <c r="C514" s="515" t="s">
        <v>54</v>
      </c>
      <c r="D514" s="72"/>
      <c r="E514" s="527" t="s">
        <v>426</v>
      </c>
      <c r="F514" s="69">
        <v>553453.90800000005</v>
      </c>
      <c r="G514" s="729">
        <v>500000</v>
      </c>
      <c r="H514" s="69">
        <v>500000</v>
      </c>
      <c r="I514" s="69">
        <v>500436</v>
      </c>
      <c r="J514" s="69">
        <v>501411.6</v>
      </c>
      <c r="K514" s="565"/>
      <c r="L514" s="26"/>
      <c r="M514" s="26"/>
      <c r="N514" s="26"/>
      <c r="O514" s="26"/>
      <c r="P514" s="26"/>
      <c r="Q514" s="26"/>
    </row>
    <row r="515" spans="1:17" s="11" customFormat="1" x14ac:dyDescent="0.25">
      <c r="A515" s="622"/>
      <c r="B515" s="66"/>
      <c r="C515" s="515" t="s">
        <v>86</v>
      </c>
      <c r="D515" s="72"/>
      <c r="E515" s="527" t="s">
        <v>427</v>
      </c>
      <c r="F515" s="69">
        <v>197185.459</v>
      </c>
      <c r="G515" s="729">
        <v>190300.79999999999</v>
      </c>
      <c r="H515" s="69"/>
      <c r="I515" s="69">
        <v>190466.8</v>
      </c>
      <c r="J515" s="69">
        <v>190838</v>
      </c>
      <c r="K515" s="565"/>
      <c r="L515" s="26"/>
      <c r="M515" s="26"/>
      <c r="N515" s="26"/>
      <c r="O515" s="26"/>
      <c r="P515" s="26"/>
      <c r="Q515" s="26"/>
    </row>
    <row r="516" spans="1:17" s="11" customFormat="1" x14ac:dyDescent="0.25">
      <c r="A516" s="622"/>
      <c r="B516" s="66"/>
      <c r="C516" s="515" t="s">
        <v>87</v>
      </c>
      <c r="D516" s="72"/>
      <c r="E516" s="527" t="s">
        <v>428</v>
      </c>
      <c r="F516" s="69">
        <f>30308.314+4.048+74.439</f>
        <v>30386.800999999996</v>
      </c>
      <c r="G516" s="729">
        <v>77861.399999999994</v>
      </c>
      <c r="H516" s="69">
        <v>45000</v>
      </c>
      <c r="I516" s="69">
        <v>45039.199999999997</v>
      </c>
      <c r="J516" s="69">
        <v>45127</v>
      </c>
      <c r="K516" s="565"/>
      <c r="L516" s="26"/>
      <c r="M516" s="26"/>
      <c r="N516" s="26"/>
      <c r="O516" s="26"/>
      <c r="P516" s="26"/>
      <c r="Q516" s="26"/>
    </row>
    <row r="517" spans="1:17" s="11" customFormat="1" x14ac:dyDescent="0.25">
      <c r="A517" s="622"/>
      <c r="B517" s="66"/>
      <c r="C517" s="515" t="s">
        <v>88</v>
      </c>
      <c r="D517" s="72"/>
      <c r="E517" s="527" t="s">
        <v>429</v>
      </c>
      <c r="F517" s="69"/>
      <c r="G517" s="729">
        <v>105500</v>
      </c>
      <c r="H517" s="69"/>
      <c r="I517" s="69">
        <v>0</v>
      </c>
      <c r="J517" s="69">
        <v>0</v>
      </c>
      <c r="K517" s="565"/>
      <c r="L517" s="26"/>
      <c r="M517" s="26"/>
      <c r="N517" s="26"/>
      <c r="O517" s="26"/>
      <c r="P517" s="26"/>
      <c r="Q517" s="26"/>
    </row>
    <row r="518" spans="1:17" s="11" customFormat="1" ht="30" x14ac:dyDescent="0.25">
      <c r="A518" s="622"/>
      <c r="B518" s="66"/>
      <c r="C518" s="515" t="s">
        <v>89</v>
      </c>
      <c r="D518" s="72"/>
      <c r="E518" s="527" t="s">
        <v>430</v>
      </c>
      <c r="F518" s="69">
        <f>309625.4+225572.3+55136.5+55537.8+60977.2+106955.5+34152.8+8138.1+11303.9+1499.8+10845.5+4809.6</f>
        <v>884554.4</v>
      </c>
      <c r="G518" s="729">
        <v>984900</v>
      </c>
      <c r="H518" s="69"/>
      <c r="I518" s="69">
        <v>805401.8</v>
      </c>
      <c r="J518" s="69">
        <v>806971.8</v>
      </c>
      <c r="K518" s="565"/>
      <c r="L518" s="26"/>
      <c r="M518" s="26"/>
      <c r="N518" s="26"/>
      <c r="O518" s="26"/>
      <c r="P518" s="26"/>
      <c r="Q518" s="26"/>
    </row>
    <row r="519" spans="1:17" s="11" customFormat="1" x14ac:dyDescent="0.25">
      <c r="A519" s="622"/>
      <c r="B519" s="66"/>
      <c r="C519" s="515" t="s">
        <v>90</v>
      </c>
      <c r="D519" s="72"/>
      <c r="E519" s="527" t="s">
        <v>431</v>
      </c>
      <c r="F519" s="69">
        <v>0</v>
      </c>
      <c r="G519" s="729">
        <v>100000</v>
      </c>
      <c r="H519" s="69">
        <v>100000</v>
      </c>
      <c r="I519" s="69">
        <v>100087.2</v>
      </c>
      <c r="J519" s="69">
        <v>100282.3</v>
      </c>
      <c r="K519" s="565"/>
      <c r="L519" s="26"/>
      <c r="M519" s="26"/>
      <c r="N519" s="26"/>
      <c r="O519" s="26"/>
      <c r="P519" s="26"/>
      <c r="Q519" s="26"/>
    </row>
    <row r="520" spans="1:17" s="11" customFormat="1" x14ac:dyDescent="0.25">
      <c r="A520" s="622"/>
      <c r="B520" s="66"/>
      <c r="C520" s="515" t="s">
        <v>65</v>
      </c>
      <c r="D520" s="72"/>
      <c r="E520" s="527" t="s">
        <v>432</v>
      </c>
      <c r="F520" s="69">
        <v>1500000</v>
      </c>
      <c r="G520" s="729">
        <v>500000</v>
      </c>
      <c r="H520" s="69">
        <v>500000</v>
      </c>
      <c r="I520" s="69">
        <v>0</v>
      </c>
      <c r="J520" s="69">
        <v>0</v>
      </c>
      <c r="K520" s="565"/>
      <c r="L520" s="26"/>
      <c r="M520" s="26"/>
      <c r="N520" s="26"/>
      <c r="O520" s="26"/>
      <c r="P520" s="26"/>
      <c r="Q520" s="26"/>
    </row>
    <row r="521" spans="1:17" s="11" customFormat="1" ht="28.5" x14ac:dyDescent="0.25">
      <c r="A521" s="622"/>
      <c r="B521" s="61">
        <v>4</v>
      </c>
      <c r="C521" s="515"/>
      <c r="D521" s="72"/>
      <c r="E521" s="653" t="s">
        <v>433</v>
      </c>
      <c r="F521" s="68">
        <f>SUM(F522:F530)</f>
        <v>10647959.464000002</v>
      </c>
      <c r="G521" s="68">
        <f>SUM(G522:G530)</f>
        <v>9124624.9999999981</v>
      </c>
      <c r="H521" s="68">
        <f>SUM(H522:H531)</f>
        <v>12850197.92</v>
      </c>
      <c r="I521" s="68">
        <f>SUM(I522:I531)</f>
        <v>19592133.199999999</v>
      </c>
      <c r="J521" s="68">
        <f t="shared" ref="J521" si="67">SUM(J522:J531)</f>
        <v>23300513.800000001</v>
      </c>
      <c r="K521" s="565"/>
      <c r="L521" s="26"/>
      <c r="M521" s="26"/>
      <c r="N521" s="26"/>
      <c r="O521" s="26"/>
      <c r="P521" s="26"/>
      <c r="Q521" s="26"/>
    </row>
    <row r="522" spans="1:17" s="11" customFormat="1" x14ac:dyDescent="0.25">
      <c r="A522" s="70"/>
      <c r="B522" s="61"/>
      <c r="C522" s="515" t="s">
        <v>2</v>
      </c>
      <c r="D522" s="72"/>
      <c r="E522" s="527" t="s">
        <v>434</v>
      </c>
      <c r="F522" s="69">
        <v>5563595.8540000003</v>
      </c>
      <c r="G522" s="729">
        <v>3139687</v>
      </c>
      <c r="H522" s="69">
        <v>3000000</v>
      </c>
      <c r="I522" s="69">
        <v>2500000</v>
      </c>
      <c r="J522" s="69">
        <v>6000000</v>
      </c>
      <c r="K522" s="565"/>
      <c r="L522" s="26"/>
      <c r="M522" s="26"/>
      <c r="N522" s="26"/>
      <c r="O522" s="26"/>
      <c r="P522" s="26"/>
      <c r="Q522" s="26"/>
    </row>
    <row r="523" spans="1:17" s="11" customFormat="1" ht="30" x14ac:dyDescent="0.25">
      <c r="A523" s="70"/>
      <c r="B523" s="61"/>
      <c r="C523" s="515" t="s">
        <v>3</v>
      </c>
      <c r="D523" s="72"/>
      <c r="E523" s="527" t="s">
        <v>435</v>
      </c>
      <c r="F523" s="69">
        <f>59650+9674.171</f>
        <v>69324.171000000002</v>
      </c>
      <c r="G523" s="729">
        <v>350000</v>
      </c>
      <c r="H523" s="69">
        <v>150000</v>
      </c>
      <c r="I523" s="69">
        <v>350305.2</v>
      </c>
      <c r="J523" s="69">
        <v>350305.2</v>
      </c>
      <c r="K523" s="565"/>
      <c r="L523" s="26"/>
      <c r="M523" s="26"/>
      <c r="N523" s="26"/>
      <c r="O523" s="26"/>
      <c r="P523" s="26"/>
      <c r="Q523" s="26"/>
    </row>
    <row r="524" spans="1:17" s="11" customFormat="1" x14ac:dyDescent="0.25">
      <c r="A524" s="70"/>
      <c r="B524" s="61"/>
      <c r="C524" s="515" t="s">
        <v>4</v>
      </c>
      <c r="D524" s="72"/>
      <c r="E524" s="527" t="s">
        <v>436</v>
      </c>
      <c r="F524" s="69"/>
      <c r="G524" s="729">
        <v>1059693.8</v>
      </c>
      <c r="H524" s="69">
        <v>4397912.92</v>
      </c>
      <c r="I524" s="69">
        <f>12015173.4-4703.6</f>
        <v>12010469.800000001</v>
      </c>
      <c r="J524" s="69">
        <f>12038599.7-4712.8</f>
        <v>12033886.899999999</v>
      </c>
      <c r="K524" s="565"/>
      <c r="L524" s="26"/>
      <c r="M524" s="26"/>
      <c r="N524" s="26"/>
      <c r="O524" s="26"/>
      <c r="P524" s="26"/>
      <c r="Q524" s="26"/>
    </row>
    <row r="525" spans="1:17" s="11" customFormat="1" x14ac:dyDescent="0.25">
      <c r="A525" s="70"/>
      <c r="B525" s="61"/>
      <c r="C525" s="515" t="s">
        <v>5</v>
      </c>
      <c r="D525" s="72"/>
      <c r="E525" s="527" t="s">
        <v>437</v>
      </c>
      <c r="F525" s="69">
        <v>1847512.0160000001</v>
      </c>
      <c r="G525" s="729">
        <v>2000300</v>
      </c>
      <c r="H525" s="69">
        <v>1967300</v>
      </c>
      <c r="I525" s="69">
        <v>1917400</v>
      </c>
      <c r="J525" s="69">
        <v>1900000</v>
      </c>
      <c r="K525" s="565"/>
      <c r="L525" s="26"/>
      <c r="M525" s="26"/>
      <c r="N525" s="26"/>
      <c r="O525" s="26"/>
      <c r="P525" s="26"/>
      <c r="Q525" s="26"/>
    </row>
    <row r="526" spans="1:17" s="11" customFormat="1" x14ac:dyDescent="0.25">
      <c r="A526" s="70"/>
      <c r="B526" s="61"/>
      <c r="C526" s="515" t="s">
        <v>49</v>
      </c>
      <c r="D526" s="72"/>
      <c r="E526" s="527" t="s">
        <v>438</v>
      </c>
      <c r="F526" s="69">
        <v>2260889.054</v>
      </c>
      <c r="G526" s="729">
        <v>1057000</v>
      </c>
      <c r="H526" s="69">
        <v>1057000</v>
      </c>
      <c r="I526" s="69">
        <v>900000</v>
      </c>
      <c r="J526" s="69">
        <v>850000</v>
      </c>
      <c r="K526" s="565"/>
      <c r="L526" s="26"/>
      <c r="M526" s="26"/>
      <c r="N526" s="26"/>
      <c r="O526" s="26"/>
      <c r="P526" s="26"/>
      <c r="Q526" s="26"/>
    </row>
    <row r="527" spans="1:17" s="11" customFormat="1" x14ac:dyDescent="0.25">
      <c r="A527" s="70"/>
      <c r="B527" s="61"/>
      <c r="C527" s="515" t="s">
        <v>50</v>
      </c>
      <c r="D527" s="72"/>
      <c r="E527" s="527" t="s">
        <v>439</v>
      </c>
      <c r="F527" s="69">
        <v>347975.18599999999</v>
      </c>
      <c r="G527" s="729">
        <v>600000</v>
      </c>
      <c r="H527" s="69">
        <v>600000</v>
      </c>
      <c r="I527" s="69">
        <v>600000</v>
      </c>
      <c r="J527" s="69">
        <v>800000</v>
      </c>
      <c r="K527" s="565"/>
      <c r="L527" s="26"/>
      <c r="M527" s="26"/>
      <c r="N527" s="26"/>
      <c r="O527" s="26"/>
      <c r="P527" s="26"/>
      <c r="Q527" s="26"/>
    </row>
    <row r="528" spans="1:17" s="11" customFormat="1" ht="30" x14ac:dyDescent="0.25">
      <c r="A528" s="70"/>
      <c r="B528" s="74"/>
      <c r="C528" s="515" t="s">
        <v>51</v>
      </c>
      <c r="D528" s="72"/>
      <c r="E528" s="526" t="s">
        <v>440</v>
      </c>
      <c r="F528" s="69">
        <f>196751.429+40.434</f>
        <v>196791.86300000001</v>
      </c>
      <c r="G528" s="729">
        <v>195514.4</v>
      </c>
      <c r="H528" s="69">
        <v>194514.4</v>
      </c>
      <c r="I528" s="69">
        <f>194684+500</f>
        <v>195184</v>
      </c>
      <c r="J528" s="69">
        <f>195063.5+500</f>
        <v>195563.5</v>
      </c>
      <c r="K528" s="565"/>
      <c r="L528" s="26"/>
      <c r="M528" s="26"/>
      <c r="N528" s="26"/>
      <c r="O528" s="26"/>
      <c r="P528" s="26"/>
      <c r="Q528" s="26"/>
    </row>
    <row r="529" spans="1:18" s="11" customFormat="1" ht="30" x14ac:dyDescent="0.25">
      <c r="A529" s="73"/>
      <c r="B529" s="74"/>
      <c r="C529" s="515" t="s">
        <v>53</v>
      </c>
      <c r="D529" s="72"/>
      <c r="E529" s="526" t="s">
        <v>441</v>
      </c>
      <c r="F529" s="69">
        <f>359992.945+1878.375</f>
        <v>361871.32</v>
      </c>
      <c r="G529" s="729">
        <v>356869.2</v>
      </c>
      <c r="H529" s="69">
        <v>355869.2</v>
      </c>
      <c r="I529" s="69">
        <f>351633.2+1000</f>
        <v>352633.2</v>
      </c>
      <c r="J529" s="69">
        <f>352318.6+1000</f>
        <v>353318.6</v>
      </c>
      <c r="K529" s="565"/>
      <c r="L529" s="26"/>
      <c r="M529" s="26"/>
      <c r="N529" s="26"/>
      <c r="O529" s="26"/>
      <c r="P529" s="26"/>
      <c r="Q529" s="26"/>
    </row>
    <row r="530" spans="1:18" s="11" customFormat="1" x14ac:dyDescent="0.25">
      <c r="A530" s="73"/>
      <c r="B530" s="66"/>
      <c r="C530" s="515" t="s">
        <v>54</v>
      </c>
      <c r="D530" s="72"/>
      <c r="E530" s="526" t="s">
        <v>442</v>
      </c>
      <c r="F530" s="466"/>
      <c r="G530" s="729">
        <v>365560.6</v>
      </c>
      <c r="H530" s="69">
        <v>1027601.4</v>
      </c>
      <c r="I530" s="69">
        <v>666141</v>
      </c>
      <c r="J530" s="69">
        <v>667439.6</v>
      </c>
      <c r="K530" s="565"/>
      <c r="L530" s="26"/>
      <c r="M530" s="26"/>
      <c r="N530" s="26"/>
      <c r="O530" s="26"/>
      <c r="P530" s="26"/>
      <c r="Q530" s="26"/>
    </row>
    <row r="531" spans="1:18" s="11" customFormat="1" x14ac:dyDescent="0.25">
      <c r="A531" s="73"/>
      <c r="B531" s="66"/>
      <c r="C531" s="515" t="s">
        <v>86</v>
      </c>
      <c r="D531" s="72"/>
      <c r="E531" s="526" t="s">
        <v>443</v>
      </c>
      <c r="F531" s="33"/>
      <c r="G531" s="729"/>
      <c r="H531" s="69">
        <v>100000</v>
      </c>
      <c r="I531" s="69">
        <v>100000</v>
      </c>
      <c r="J531" s="69">
        <v>150000</v>
      </c>
      <c r="K531" s="842"/>
      <c r="L531" s="388"/>
      <c r="M531" s="388"/>
      <c r="N531" s="388"/>
      <c r="O531" s="388"/>
      <c r="P531" s="388"/>
      <c r="Q531" s="389"/>
    </row>
    <row r="532" spans="1:18" s="11" customFormat="1" ht="15" customHeight="1" x14ac:dyDescent="0.25">
      <c r="A532" s="2181" t="s">
        <v>164</v>
      </c>
      <c r="B532" s="2182"/>
      <c r="C532" s="2182"/>
      <c r="D532" s="2182"/>
      <c r="E532" s="2183"/>
      <c r="F532" s="205">
        <f>F496+F500+F505+F521</f>
        <v>51995430.912</v>
      </c>
      <c r="G532" s="320">
        <f>59323311.92+2000</f>
        <v>59325311.920000002</v>
      </c>
      <c r="H532" s="320">
        <v>61927383.399999999</v>
      </c>
      <c r="I532" s="320">
        <f>66134556.9+1500</f>
        <v>66136056.899999999</v>
      </c>
      <c r="J532" s="320">
        <f>75715784+1500</f>
        <v>75717284</v>
      </c>
      <c r="K532" s="2229"/>
      <c r="L532" s="2230"/>
      <c r="M532" s="2230"/>
      <c r="N532" s="2230"/>
      <c r="O532" s="2230"/>
      <c r="P532" s="2230"/>
      <c r="Q532" s="2231"/>
    </row>
    <row r="533" spans="1:18" s="11" customFormat="1" x14ac:dyDescent="0.25">
      <c r="A533" s="528"/>
      <c r="B533" s="2244" t="s">
        <v>444</v>
      </c>
      <c r="C533" s="2244"/>
      <c r="D533" s="2244"/>
      <c r="E533" s="2244"/>
      <c r="F533" s="2244"/>
      <c r="G533" s="2244"/>
      <c r="H533" s="2244"/>
      <c r="I533" s="2244"/>
      <c r="J533" s="2244"/>
      <c r="K533" s="2244"/>
      <c r="L533" s="2244"/>
      <c r="M533" s="2244"/>
      <c r="N533" s="2244"/>
      <c r="O533" s="2244"/>
      <c r="P533" s="2244"/>
      <c r="Q533" s="2244"/>
      <c r="R533" s="2244"/>
    </row>
    <row r="534" spans="1:18" s="11" customFormat="1" ht="48.75" customHeight="1" x14ac:dyDescent="0.25">
      <c r="A534" s="490"/>
      <c r="B534" s="217" t="s">
        <v>102</v>
      </c>
      <c r="C534" s="344"/>
      <c r="D534" s="213"/>
      <c r="E534" s="504" t="s">
        <v>445</v>
      </c>
      <c r="F534" s="376">
        <f>F535+F536</f>
        <v>749</v>
      </c>
      <c r="G534" s="371">
        <f>G535+G536</f>
        <v>1474.5</v>
      </c>
      <c r="H534" s="376">
        <f>H535+H536</f>
        <v>35</v>
      </c>
      <c r="I534" s="376">
        <f>I535+I536</f>
        <v>35</v>
      </c>
      <c r="J534" s="376">
        <f>J535+J536</f>
        <v>35</v>
      </c>
      <c r="K534" s="489" t="s">
        <v>1286</v>
      </c>
      <c r="L534" s="210" t="s">
        <v>14</v>
      </c>
      <c r="M534" s="209">
        <v>6</v>
      </c>
      <c r="N534" s="209">
        <v>6</v>
      </c>
      <c r="O534" s="209">
        <v>6</v>
      </c>
      <c r="P534" s="209">
        <v>6</v>
      </c>
      <c r="Q534" s="209">
        <v>6</v>
      </c>
    </row>
    <row r="535" spans="1:18" s="11" customFormat="1" ht="30" x14ac:dyDescent="0.25">
      <c r="A535" s="490"/>
      <c r="B535" s="217"/>
      <c r="C535" s="344" t="s">
        <v>51</v>
      </c>
      <c r="D535" s="213"/>
      <c r="E535" s="489" t="s">
        <v>446</v>
      </c>
      <c r="F535" s="377">
        <v>558</v>
      </c>
      <c r="G535" s="378">
        <v>558</v>
      </c>
      <c r="H535" s="378">
        <v>20</v>
      </c>
      <c r="I535" s="378">
        <v>20</v>
      </c>
      <c r="J535" s="378">
        <v>20</v>
      </c>
      <c r="K535" s="489" t="s">
        <v>833</v>
      </c>
      <c r="L535" s="210" t="s">
        <v>14</v>
      </c>
      <c r="M535" s="209">
        <v>1</v>
      </c>
      <c r="N535" s="209">
        <v>1</v>
      </c>
      <c r="O535" s="209">
        <v>1</v>
      </c>
      <c r="P535" s="209">
        <v>1</v>
      </c>
      <c r="Q535" s="209">
        <v>1</v>
      </c>
    </row>
    <row r="536" spans="1:18" s="11" customFormat="1" ht="30" x14ac:dyDescent="0.25">
      <c r="A536" s="490"/>
      <c r="B536" s="337"/>
      <c r="C536" s="325" t="s">
        <v>3</v>
      </c>
      <c r="D536" s="213"/>
      <c r="E536" s="489" t="s">
        <v>447</v>
      </c>
      <c r="F536" s="262">
        <v>191</v>
      </c>
      <c r="G536" s="210">
        <v>916.5</v>
      </c>
      <c r="H536" s="226">
        <v>15</v>
      </c>
      <c r="I536" s="226">
        <v>15</v>
      </c>
      <c r="J536" s="226">
        <v>15</v>
      </c>
      <c r="K536" s="489" t="s">
        <v>834</v>
      </c>
      <c r="L536" s="210" t="s">
        <v>14</v>
      </c>
      <c r="M536" s="209">
        <v>100</v>
      </c>
      <c r="N536" s="209">
        <v>100</v>
      </c>
      <c r="O536" s="209">
        <v>100</v>
      </c>
      <c r="P536" s="209">
        <v>100</v>
      </c>
      <c r="Q536" s="209">
        <v>100</v>
      </c>
    </row>
    <row r="537" spans="1:18" s="11" customFormat="1" ht="164.25" customHeight="1" x14ac:dyDescent="0.25">
      <c r="A537" s="490"/>
      <c r="B537" s="335">
        <v>2</v>
      </c>
      <c r="C537" s="379"/>
      <c r="D537" s="214"/>
      <c r="E537" s="504" t="s">
        <v>1287</v>
      </c>
      <c r="F537" s="227">
        <f>F538+F539+F540+F541+F542</f>
        <v>1298.2</v>
      </c>
      <c r="G537" s="227">
        <f>G538+G539+G540+G541+G542</f>
        <v>1591.6000000000001</v>
      </c>
      <c r="H537" s="227">
        <f>H538+H539+H540+H541+H542</f>
        <v>2854.8</v>
      </c>
      <c r="I537" s="227">
        <f>I538+I539+I540+I541+I542</f>
        <v>2855</v>
      </c>
      <c r="J537" s="227">
        <f>J538+J539+J540+J541+J542</f>
        <v>2855</v>
      </c>
      <c r="K537" s="504" t="s">
        <v>835</v>
      </c>
      <c r="L537" s="215" t="s">
        <v>14</v>
      </c>
      <c r="M537" s="215">
        <v>40</v>
      </c>
      <c r="N537" s="215">
        <v>40</v>
      </c>
      <c r="O537" s="215">
        <v>40</v>
      </c>
      <c r="P537" s="215">
        <v>40</v>
      </c>
      <c r="Q537" s="215">
        <v>40</v>
      </c>
    </row>
    <row r="538" spans="1:18" s="11" customFormat="1" ht="45" x14ac:dyDescent="0.25">
      <c r="A538" s="490"/>
      <c r="B538" s="343"/>
      <c r="C538" s="324">
        <v>1</v>
      </c>
      <c r="D538" s="213"/>
      <c r="E538" s="489" t="s">
        <v>448</v>
      </c>
      <c r="F538" s="210">
        <v>483.2</v>
      </c>
      <c r="G538" s="210">
        <v>1086.4000000000001</v>
      </c>
      <c r="H538" s="210">
        <v>2634.8</v>
      </c>
      <c r="I538" s="210">
        <v>2635</v>
      </c>
      <c r="J538" s="210">
        <v>2635</v>
      </c>
      <c r="K538" s="489" t="s">
        <v>836</v>
      </c>
      <c r="L538" s="210" t="s">
        <v>14</v>
      </c>
      <c r="M538" s="222">
        <v>25</v>
      </c>
      <c r="N538" s="222">
        <v>25</v>
      </c>
      <c r="O538" s="222">
        <v>25</v>
      </c>
      <c r="P538" s="222">
        <v>25</v>
      </c>
      <c r="Q538" s="222">
        <v>25</v>
      </c>
    </row>
    <row r="539" spans="1:18" s="11" customFormat="1" ht="30" x14ac:dyDescent="0.25">
      <c r="A539" s="490"/>
      <c r="B539" s="343"/>
      <c r="C539" s="324">
        <v>2</v>
      </c>
      <c r="D539" s="213"/>
      <c r="E539" s="489" t="s">
        <v>449</v>
      </c>
      <c r="F539" s="262">
        <v>206</v>
      </c>
      <c r="G539" s="380">
        <v>279.2</v>
      </c>
      <c r="H539" s="380">
        <v>50</v>
      </c>
      <c r="I539" s="380">
        <v>50</v>
      </c>
      <c r="J539" s="380">
        <v>50</v>
      </c>
      <c r="K539" s="489" t="s">
        <v>837</v>
      </c>
      <c r="L539" s="210" t="s">
        <v>968</v>
      </c>
      <c r="M539" s="222">
        <v>188</v>
      </c>
      <c r="N539" s="222">
        <v>190</v>
      </c>
      <c r="O539" s="222">
        <v>192</v>
      </c>
      <c r="P539" s="222">
        <v>194</v>
      </c>
      <c r="Q539" s="222">
        <v>196</v>
      </c>
    </row>
    <row r="540" spans="1:18" s="11" customFormat="1" ht="45" x14ac:dyDescent="0.25">
      <c r="A540" s="490"/>
      <c r="B540" s="217"/>
      <c r="C540" s="344" t="s">
        <v>4</v>
      </c>
      <c r="D540" s="213"/>
      <c r="E540" s="489" t="s">
        <v>450</v>
      </c>
      <c r="F540" s="262">
        <v>143</v>
      </c>
      <c r="G540" s="380">
        <v>143</v>
      </c>
      <c r="H540" s="226">
        <v>20</v>
      </c>
      <c r="I540" s="226">
        <v>20</v>
      </c>
      <c r="J540" s="226">
        <v>20</v>
      </c>
      <c r="K540" s="489" t="s">
        <v>838</v>
      </c>
      <c r="L540" s="210" t="s">
        <v>14</v>
      </c>
      <c r="M540" s="209">
        <v>100</v>
      </c>
      <c r="N540" s="209">
        <v>100</v>
      </c>
      <c r="O540" s="209">
        <v>100</v>
      </c>
      <c r="P540" s="209">
        <v>100</v>
      </c>
      <c r="Q540" s="209">
        <v>100</v>
      </c>
    </row>
    <row r="541" spans="1:18" s="11" customFormat="1" ht="45" x14ac:dyDescent="0.25">
      <c r="A541" s="490"/>
      <c r="B541" s="217"/>
      <c r="C541" s="344" t="s">
        <v>5</v>
      </c>
      <c r="D541" s="213"/>
      <c r="E541" s="489" t="s">
        <v>451</v>
      </c>
      <c r="F541" s="262">
        <v>436</v>
      </c>
      <c r="G541" s="380">
        <v>48</v>
      </c>
      <c r="H541" s="226">
        <v>100</v>
      </c>
      <c r="I541" s="226">
        <v>100</v>
      </c>
      <c r="J541" s="226">
        <v>100</v>
      </c>
      <c r="K541" s="489" t="s">
        <v>839</v>
      </c>
      <c r="L541" s="210" t="s">
        <v>968</v>
      </c>
      <c r="M541" s="209">
        <v>0</v>
      </c>
      <c r="N541" s="209">
        <v>0</v>
      </c>
      <c r="O541" s="209">
        <v>0</v>
      </c>
      <c r="P541" s="209">
        <v>0</v>
      </c>
      <c r="Q541" s="209">
        <v>0</v>
      </c>
    </row>
    <row r="542" spans="1:18" s="11" customFormat="1" ht="45" x14ac:dyDescent="0.25">
      <c r="A542" s="490"/>
      <c r="B542" s="343"/>
      <c r="C542" s="324">
        <v>5</v>
      </c>
      <c r="D542" s="213"/>
      <c r="E542" s="489" t="s">
        <v>452</v>
      </c>
      <c r="F542" s="262">
        <v>30</v>
      </c>
      <c r="G542" s="380">
        <v>35</v>
      </c>
      <c r="H542" s="380">
        <v>50</v>
      </c>
      <c r="I542" s="380">
        <v>50</v>
      </c>
      <c r="J542" s="380">
        <v>50</v>
      </c>
      <c r="K542" s="489" t="s">
        <v>840</v>
      </c>
      <c r="L542" s="210" t="s">
        <v>968</v>
      </c>
      <c r="M542" s="222">
        <v>2</v>
      </c>
      <c r="N542" s="222">
        <v>2</v>
      </c>
      <c r="O542" s="222">
        <v>2</v>
      </c>
      <c r="P542" s="222">
        <v>2</v>
      </c>
      <c r="Q542" s="222">
        <v>2</v>
      </c>
    </row>
    <row r="543" spans="1:18" s="11" customFormat="1" ht="147" x14ac:dyDescent="0.25">
      <c r="A543" s="490"/>
      <c r="B543" s="217" t="s">
        <v>91</v>
      </c>
      <c r="C543" s="344"/>
      <c r="D543" s="218"/>
      <c r="E543" s="504" t="s">
        <v>1288</v>
      </c>
      <c r="F543" s="221">
        <f>SUM(F545:F546)</f>
        <v>84</v>
      </c>
      <c r="G543" s="221">
        <f>SUM(G545:G546)</f>
        <v>510</v>
      </c>
      <c r="H543" s="221">
        <f>SUM(H545:H546)</f>
        <v>110.19999999999999</v>
      </c>
      <c r="I543" s="221">
        <f>SUM(I545:I546)</f>
        <v>110</v>
      </c>
      <c r="J543" s="221">
        <f>SUM(J545:J546)</f>
        <v>110</v>
      </c>
      <c r="K543" s="504" t="s">
        <v>841</v>
      </c>
      <c r="L543" s="210" t="s">
        <v>968</v>
      </c>
      <c r="M543" s="209">
        <v>280</v>
      </c>
      <c r="N543" s="209">
        <v>282</v>
      </c>
      <c r="O543" s="209">
        <v>284</v>
      </c>
      <c r="P543" s="209">
        <v>286</v>
      </c>
      <c r="Q543" s="209">
        <v>288</v>
      </c>
    </row>
    <row r="544" spans="1:18" s="11" customFormat="1" ht="30" customHeight="1" x14ac:dyDescent="0.25">
      <c r="A544" s="490"/>
      <c r="B544" s="217"/>
      <c r="C544" s="344" t="s">
        <v>2</v>
      </c>
      <c r="D544" s="336"/>
      <c r="E544" s="489" t="s">
        <v>1289</v>
      </c>
      <c r="F544" s="222"/>
      <c r="G544" s="222"/>
      <c r="H544" s="226"/>
      <c r="I544" s="226"/>
      <c r="J544" s="226"/>
      <c r="K544" s="489" t="s">
        <v>1290</v>
      </c>
      <c r="L544" s="210" t="s">
        <v>968</v>
      </c>
      <c r="M544" s="209">
        <v>2</v>
      </c>
      <c r="N544" s="209">
        <v>2</v>
      </c>
      <c r="O544" s="209">
        <v>2</v>
      </c>
      <c r="P544" s="209">
        <v>2</v>
      </c>
      <c r="Q544" s="209">
        <v>2</v>
      </c>
    </row>
    <row r="545" spans="1:17" s="11" customFormat="1" ht="45" x14ac:dyDescent="0.25">
      <c r="A545" s="490"/>
      <c r="B545" s="217"/>
      <c r="C545" s="344" t="s">
        <v>3</v>
      </c>
      <c r="D545" s="213"/>
      <c r="E545" s="489" t="s">
        <v>453</v>
      </c>
      <c r="F545" s="262">
        <v>58</v>
      </c>
      <c r="G545" s="380">
        <v>75</v>
      </c>
      <c r="H545" s="226">
        <v>70.3</v>
      </c>
      <c r="I545" s="226">
        <v>70</v>
      </c>
      <c r="J545" s="226">
        <v>70</v>
      </c>
      <c r="K545" s="489" t="s">
        <v>842</v>
      </c>
      <c r="L545" s="210" t="s">
        <v>968</v>
      </c>
      <c r="M545" s="209">
        <v>280</v>
      </c>
      <c r="N545" s="209">
        <v>282</v>
      </c>
      <c r="O545" s="209">
        <v>284</v>
      </c>
      <c r="P545" s="209">
        <v>286</v>
      </c>
      <c r="Q545" s="209">
        <v>288</v>
      </c>
    </row>
    <row r="546" spans="1:17" s="11" customFormat="1" ht="45" x14ac:dyDescent="0.25">
      <c r="A546" s="490"/>
      <c r="B546" s="217"/>
      <c r="C546" s="344" t="s">
        <v>4</v>
      </c>
      <c r="D546" s="213"/>
      <c r="E546" s="489" t="s">
        <v>454</v>
      </c>
      <c r="F546" s="262">
        <v>26</v>
      </c>
      <c r="G546" s="380">
        <v>435</v>
      </c>
      <c r="H546" s="226">
        <v>39.9</v>
      </c>
      <c r="I546" s="226">
        <v>40</v>
      </c>
      <c r="J546" s="226">
        <v>40</v>
      </c>
      <c r="K546" s="489" t="s">
        <v>839</v>
      </c>
      <c r="L546" s="210" t="s">
        <v>968</v>
      </c>
      <c r="M546" s="209">
        <v>0</v>
      </c>
      <c r="N546" s="209">
        <v>0</v>
      </c>
      <c r="O546" s="209">
        <v>0</v>
      </c>
      <c r="P546" s="209">
        <v>0</v>
      </c>
      <c r="Q546" s="209">
        <v>0</v>
      </c>
    </row>
    <row r="547" spans="1:17" s="11" customFormat="1" ht="58.5" x14ac:dyDescent="0.25">
      <c r="A547" s="490"/>
      <c r="B547" s="217" t="s">
        <v>98</v>
      </c>
      <c r="C547" s="344"/>
      <c r="D547" s="213"/>
      <c r="E547" s="489" t="s">
        <v>455</v>
      </c>
      <c r="F547" s="381">
        <f>F548</f>
        <v>330</v>
      </c>
      <c r="G547" s="381">
        <f>G548</f>
        <v>468</v>
      </c>
      <c r="H547" s="381">
        <f>H548</f>
        <v>0</v>
      </c>
      <c r="I547" s="381">
        <f>I548</f>
        <v>0</v>
      </c>
      <c r="J547" s="381">
        <f>J548</f>
        <v>0</v>
      </c>
      <c r="K547" s="489" t="s">
        <v>843</v>
      </c>
      <c r="L547" s="210" t="s">
        <v>14</v>
      </c>
      <c r="M547" s="209">
        <v>100</v>
      </c>
      <c r="N547" s="209">
        <v>100</v>
      </c>
      <c r="O547" s="209">
        <v>100</v>
      </c>
      <c r="P547" s="209">
        <v>100</v>
      </c>
      <c r="Q547" s="209">
        <v>100</v>
      </c>
    </row>
    <row r="548" spans="1:17" s="11" customFormat="1" ht="45.75" customHeight="1" x14ac:dyDescent="0.25">
      <c r="A548" s="490"/>
      <c r="B548" s="217"/>
      <c r="C548" s="344" t="s">
        <v>2</v>
      </c>
      <c r="D548" s="213"/>
      <c r="E548" s="489" t="s">
        <v>456</v>
      </c>
      <c r="F548" s="266">
        <v>330</v>
      </c>
      <c r="G548" s="380">
        <v>468</v>
      </c>
      <c r="H548" s="226"/>
      <c r="I548" s="226"/>
      <c r="J548" s="226"/>
      <c r="K548" s="489" t="s">
        <v>843</v>
      </c>
      <c r="L548" s="210" t="s">
        <v>14</v>
      </c>
      <c r="M548" s="209">
        <v>100</v>
      </c>
      <c r="N548" s="209">
        <v>100</v>
      </c>
      <c r="O548" s="209">
        <v>100</v>
      </c>
      <c r="P548" s="209">
        <v>100</v>
      </c>
      <c r="Q548" s="209">
        <v>100</v>
      </c>
    </row>
    <row r="549" spans="1:17" s="11" customFormat="1" ht="250.5" x14ac:dyDescent="0.25">
      <c r="A549" s="490"/>
      <c r="B549" s="217" t="s">
        <v>101</v>
      </c>
      <c r="C549" s="344"/>
      <c r="D549" s="213"/>
      <c r="E549" s="504" t="s">
        <v>1291</v>
      </c>
      <c r="F549" s="221">
        <f>F550+F551+F552+F553+F554</f>
        <v>2277</v>
      </c>
      <c r="G549" s="221">
        <f>G550+G551+G552+G553+G554</f>
        <v>3654.1000000000004</v>
      </c>
      <c r="H549" s="221">
        <f>H550+H551+H552+H553+H554</f>
        <v>0</v>
      </c>
      <c r="I549" s="221">
        <f>I550+I551+I552+I553+I554</f>
        <v>0</v>
      </c>
      <c r="J549" s="221">
        <f>J550+J551+J552+J553+J554</f>
        <v>0</v>
      </c>
      <c r="K549" s="489" t="s">
        <v>844</v>
      </c>
      <c r="L549" s="210" t="s">
        <v>14</v>
      </c>
      <c r="M549" s="209">
        <v>99</v>
      </c>
      <c r="N549" s="219">
        <v>99</v>
      </c>
      <c r="O549" s="209">
        <v>99</v>
      </c>
      <c r="P549" s="209">
        <v>99</v>
      </c>
      <c r="Q549" s="209">
        <v>99</v>
      </c>
    </row>
    <row r="550" spans="1:17" s="11" customFormat="1" ht="45" x14ac:dyDescent="0.25">
      <c r="A550" s="490"/>
      <c r="B550" s="217"/>
      <c r="C550" s="344" t="s">
        <v>2</v>
      </c>
      <c r="D550" s="213"/>
      <c r="E550" s="489" t="s">
        <v>457</v>
      </c>
      <c r="F550" s="266">
        <v>895</v>
      </c>
      <c r="G550" s="210">
        <v>1180.8</v>
      </c>
      <c r="H550" s="226"/>
      <c r="I550" s="226"/>
      <c r="J550" s="226"/>
      <c r="K550" s="489" t="s">
        <v>844</v>
      </c>
      <c r="L550" s="210" t="s">
        <v>14</v>
      </c>
      <c r="M550" s="209">
        <v>99</v>
      </c>
      <c r="N550" s="209">
        <v>99</v>
      </c>
      <c r="O550" s="209">
        <v>99</v>
      </c>
      <c r="P550" s="212"/>
      <c r="Q550" s="212"/>
    </row>
    <row r="551" spans="1:17" s="11" customFormat="1" ht="60" x14ac:dyDescent="0.25">
      <c r="A551" s="490"/>
      <c r="B551" s="217"/>
      <c r="C551" s="344" t="s">
        <v>3</v>
      </c>
      <c r="D551" s="213"/>
      <c r="E551" s="489" t="s">
        <v>458</v>
      </c>
      <c r="F551" s="266">
        <v>747</v>
      </c>
      <c r="G551" s="380">
        <v>984</v>
      </c>
      <c r="H551" s="226"/>
      <c r="I551" s="226"/>
      <c r="J551" s="226"/>
      <c r="K551" s="489" t="s">
        <v>845</v>
      </c>
      <c r="L551" s="210" t="s">
        <v>968</v>
      </c>
      <c r="M551" s="209">
        <v>2</v>
      </c>
      <c r="N551" s="209">
        <v>3</v>
      </c>
      <c r="O551" s="209">
        <v>4</v>
      </c>
      <c r="P551" s="209">
        <v>5</v>
      </c>
      <c r="Q551" s="209">
        <v>6</v>
      </c>
    </row>
    <row r="552" spans="1:17" s="11" customFormat="1" ht="60" x14ac:dyDescent="0.25">
      <c r="A552" s="490"/>
      <c r="B552" s="217"/>
      <c r="C552" s="344" t="s">
        <v>4</v>
      </c>
      <c r="D552" s="213"/>
      <c r="E552" s="489" t="s">
        <v>459</v>
      </c>
      <c r="F552" s="266">
        <v>635</v>
      </c>
      <c r="G552" s="210">
        <v>836.4</v>
      </c>
      <c r="H552" s="226"/>
      <c r="I552" s="226"/>
      <c r="J552" s="226"/>
      <c r="K552" s="489" t="s">
        <v>846</v>
      </c>
      <c r="L552" s="210" t="s">
        <v>968</v>
      </c>
      <c r="M552" s="209">
        <v>0</v>
      </c>
      <c r="N552" s="209">
        <v>1</v>
      </c>
      <c r="O552" s="209">
        <v>2</v>
      </c>
      <c r="P552" s="209">
        <v>3</v>
      </c>
      <c r="Q552" s="209">
        <v>4</v>
      </c>
    </row>
    <row r="553" spans="1:17" s="11" customFormat="1" ht="60" x14ac:dyDescent="0.25">
      <c r="A553" s="490"/>
      <c r="B553" s="217"/>
      <c r="C553" s="344" t="s">
        <v>5</v>
      </c>
      <c r="D553" s="213"/>
      <c r="E553" s="489" t="s">
        <v>460</v>
      </c>
      <c r="F553" s="266"/>
      <c r="G553" s="210">
        <v>183.9</v>
      </c>
      <c r="H553" s="226"/>
      <c r="I553" s="226"/>
      <c r="J553" s="226"/>
      <c r="K553" s="489" t="s">
        <v>847</v>
      </c>
      <c r="L553" s="210" t="s">
        <v>968</v>
      </c>
      <c r="M553" s="209">
        <v>2</v>
      </c>
      <c r="N553" s="209">
        <v>2</v>
      </c>
      <c r="O553" s="209">
        <v>2</v>
      </c>
      <c r="P553" s="212"/>
      <c r="Q553" s="212"/>
    </row>
    <row r="554" spans="1:17" s="11" customFormat="1" ht="75" x14ac:dyDescent="0.25">
      <c r="A554" s="490"/>
      <c r="B554" s="217"/>
      <c r="C554" s="344" t="s">
        <v>49</v>
      </c>
      <c r="D554" s="216"/>
      <c r="E554" s="489" t="s">
        <v>461</v>
      </c>
      <c r="F554" s="378"/>
      <c r="G554" s="211">
        <v>469</v>
      </c>
      <c r="H554" s="229"/>
      <c r="I554" s="229"/>
      <c r="J554" s="229"/>
      <c r="K554" s="489" t="s">
        <v>848</v>
      </c>
      <c r="L554" s="211" t="s">
        <v>16</v>
      </c>
      <c r="M554" s="220">
        <v>20</v>
      </c>
      <c r="N554" s="220">
        <v>20</v>
      </c>
      <c r="O554" s="220">
        <v>20</v>
      </c>
      <c r="P554" s="220">
        <v>20</v>
      </c>
      <c r="Q554" s="220">
        <v>20</v>
      </c>
    </row>
    <row r="555" spans="1:17" s="11" customFormat="1" x14ac:dyDescent="0.25">
      <c r="A555" s="543"/>
      <c r="B555" s="2054" t="s">
        <v>462</v>
      </c>
      <c r="C555" s="2054"/>
      <c r="D555" s="2054"/>
      <c r="E555" s="2054"/>
      <c r="F555" s="463">
        <f>F537+F543+F547+F549+F534</f>
        <v>4738.2</v>
      </c>
      <c r="G555" s="463">
        <f>G537+G543+G547+G549+G534</f>
        <v>7698.2000000000007</v>
      </c>
      <c r="H555" s="463">
        <f>H537+H543+H547+H549+H534</f>
        <v>3000</v>
      </c>
      <c r="I555" s="463">
        <f>I537+I543+I547+I549+I534</f>
        <v>3000</v>
      </c>
      <c r="J555" s="463">
        <f>J537+J543+J547+J549+J534</f>
        <v>3000</v>
      </c>
      <c r="K555" s="854"/>
      <c r="L555" s="2055"/>
      <c r="M555" s="2055"/>
      <c r="N555" s="2055"/>
      <c r="O555" s="2055"/>
      <c r="P555" s="2055"/>
      <c r="Q555" s="2055"/>
    </row>
    <row r="556" spans="1:17" s="11" customFormat="1" x14ac:dyDescent="0.25">
      <c r="A556" s="2244" t="s">
        <v>463</v>
      </c>
      <c r="B556" s="2244"/>
      <c r="C556" s="2244"/>
      <c r="D556" s="2244"/>
      <c r="E556" s="2244"/>
      <c r="F556" s="2244"/>
      <c r="G556" s="2244"/>
      <c r="H556" s="2244"/>
      <c r="I556" s="2244"/>
      <c r="J556" s="2244"/>
      <c r="K556" s="2244"/>
      <c r="L556" s="2244"/>
      <c r="M556" s="2244"/>
      <c r="N556" s="2244"/>
      <c r="O556" s="2244"/>
      <c r="P556" s="2244"/>
      <c r="Q556" s="2244"/>
    </row>
    <row r="557" spans="1:17" ht="57" x14ac:dyDescent="0.25">
      <c r="B557" s="2210">
        <v>1</v>
      </c>
      <c r="C557" s="2207"/>
      <c r="D557" s="2213"/>
      <c r="E557" s="317" t="s">
        <v>464</v>
      </c>
      <c r="F557" s="2133">
        <f>F559+F560+F565</f>
        <v>57804.1</v>
      </c>
      <c r="G557" s="2199">
        <f t="shared" ref="G557:I557" si="68">G559+G560+G565</f>
        <v>62822.2</v>
      </c>
      <c r="H557" s="2199">
        <f t="shared" si="68"/>
        <v>80201.399999999994</v>
      </c>
      <c r="I557" s="2199">
        <f t="shared" si="68"/>
        <v>76691.100000000006</v>
      </c>
      <c r="J557" s="2199">
        <f>J559+J560+J565</f>
        <v>76378.2</v>
      </c>
      <c r="K557" s="2192" t="s">
        <v>849</v>
      </c>
      <c r="L557" s="2235"/>
      <c r="M557" s="2236"/>
      <c r="N557" s="2236"/>
      <c r="O557" s="2236"/>
      <c r="P557" s="2236"/>
      <c r="Q557" s="2237"/>
    </row>
    <row r="558" spans="1:17" ht="90" x14ac:dyDescent="0.25">
      <c r="B558" s="2211"/>
      <c r="C558" s="2212"/>
      <c r="D558" s="2214"/>
      <c r="E558" s="370" t="s">
        <v>465</v>
      </c>
      <c r="F558" s="2134"/>
      <c r="G558" s="2200"/>
      <c r="H558" s="2200"/>
      <c r="I558" s="2200"/>
      <c r="J558" s="2200"/>
      <c r="K558" s="2192"/>
      <c r="L558" s="2238"/>
      <c r="M558" s="2239"/>
      <c r="N558" s="2239"/>
      <c r="O558" s="2239"/>
      <c r="P558" s="2239"/>
      <c r="Q558" s="2240"/>
    </row>
    <row r="559" spans="1:17" x14ac:dyDescent="0.25">
      <c r="B559" s="322"/>
      <c r="C559" s="535" t="s">
        <v>2</v>
      </c>
      <c r="D559" s="585"/>
      <c r="E559" s="485" t="s">
        <v>342</v>
      </c>
      <c r="F559" s="517">
        <v>5463.1</v>
      </c>
      <c r="G559" s="517">
        <v>5463.1</v>
      </c>
      <c r="H559" s="522">
        <v>5535.6</v>
      </c>
      <c r="I559" s="522">
        <v>5535.6</v>
      </c>
      <c r="J559" s="522">
        <v>5535.6</v>
      </c>
      <c r="K559" s="855" t="s">
        <v>784</v>
      </c>
      <c r="L559" s="529" t="s">
        <v>15</v>
      </c>
      <c r="M559" s="529" t="s">
        <v>42</v>
      </c>
      <c r="N559" s="529" t="s">
        <v>43</v>
      </c>
      <c r="O559" s="529" t="s">
        <v>44</v>
      </c>
      <c r="P559" s="529" t="s">
        <v>44</v>
      </c>
      <c r="Q559" s="529" t="s">
        <v>44</v>
      </c>
    </row>
    <row r="560" spans="1:17" ht="30" customHeight="1" x14ac:dyDescent="0.25">
      <c r="B560" s="2189"/>
      <c r="C560" s="2201" t="s">
        <v>3</v>
      </c>
      <c r="D560" s="2204"/>
      <c r="E560" s="2051" t="s">
        <v>466</v>
      </c>
      <c r="F560" s="2130">
        <v>16972.099999999999</v>
      </c>
      <c r="G560" s="2130">
        <v>16972.099999999999</v>
      </c>
      <c r="H560" s="2130">
        <f>35157.6-1510.8</f>
        <v>33646.799999999996</v>
      </c>
      <c r="I560" s="2130">
        <v>30136.5</v>
      </c>
      <c r="J560" s="2130">
        <f>36736.5-6912.9</f>
        <v>29823.599999999999</v>
      </c>
      <c r="K560" s="565" t="s">
        <v>850</v>
      </c>
      <c r="L560" s="540" t="s">
        <v>14</v>
      </c>
      <c r="M560" s="540">
        <v>100</v>
      </c>
      <c r="N560" s="26">
        <v>100</v>
      </c>
      <c r="O560" s="26">
        <v>100</v>
      </c>
      <c r="P560" s="26">
        <v>100</v>
      </c>
      <c r="Q560" s="33">
        <v>100</v>
      </c>
    </row>
    <row r="561" spans="1:17" ht="30" customHeight="1" x14ac:dyDescent="0.25">
      <c r="B561" s="2190"/>
      <c r="C561" s="2202"/>
      <c r="D561" s="2205"/>
      <c r="E561" s="2051"/>
      <c r="F561" s="2131"/>
      <c r="G561" s="2131"/>
      <c r="H561" s="2131"/>
      <c r="I561" s="2131"/>
      <c r="J561" s="2131"/>
      <c r="K561" s="565" t="s">
        <v>851</v>
      </c>
      <c r="L561" s="540" t="s">
        <v>14</v>
      </c>
      <c r="M561" s="540">
        <v>100</v>
      </c>
      <c r="N561" s="26">
        <v>100</v>
      </c>
      <c r="O561" s="26">
        <v>100</v>
      </c>
      <c r="P561" s="26">
        <v>100</v>
      </c>
      <c r="Q561" s="26">
        <v>100</v>
      </c>
    </row>
    <row r="562" spans="1:17" ht="30" x14ac:dyDescent="0.25">
      <c r="B562" s="2190"/>
      <c r="C562" s="2202"/>
      <c r="D562" s="2205"/>
      <c r="E562" s="2051"/>
      <c r="F562" s="2131"/>
      <c r="G562" s="2131"/>
      <c r="H562" s="2131"/>
      <c r="I562" s="2131"/>
      <c r="J562" s="2131"/>
      <c r="K562" s="565" t="s">
        <v>852</v>
      </c>
      <c r="L562" s="34" t="s">
        <v>14</v>
      </c>
      <c r="M562" s="415">
        <v>100</v>
      </c>
      <c r="N562" s="29">
        <v>100</v>
      </c>
      <c r="O562" s="29">
        <v>100</v>
      </c>
      <c r="P562" s="29">
        <v>100</v>
      </c>
      <c r="Q562" s="33">
        <v>100</v>
      </c>
    </row>
    <row r="563" spans="1:17" ht="60" x14ac:dyDescent="0.25">
      <c r="B563" s="2190"/>
      <c r="C563" s="2202"/>
      <c r="D563" s="2205"/>
      <c r="E563" s="2051"/>
      <c r="F563" s="2131"/>
      <c r="G563" s="2131"/>
      <c r="H563" s="2131"/>
      <c r="I563" s="2131"/>
      <c r="J563" s="2131"/>
      <c r="K563" s="565" t="s">
        <v>853</v>
      </c>
      <c r="L563" s="34" t="s">
        <v>14</v>
      </c>
      <c r="M563" s="415">
        <v>100</v>
      </c>
      <c r="N563" s="29">
        <v>100</v>
      </c>
      <c r="O563" s="29">
        <v>100</v>
      </c>
      <c r="P563" s="29">
        <v>100</v>
      </c>
      <c r="Q563" s="35">
        <v>100</v>
      </c>
    </row>
    <row r="564" spans="1:17" ht="45" x14ac:dyDescent="0.25">
      <c r="B564" s="2191"/>
      <c r="C564" s="2203"/>
      <c r="D564" s="2206"/>
      <c r="E564" s="2051"/>
      <c r="F564" s="2132"/>
      <c r="G564" s="2132"/>
      <c r="H564" s="2132"/>
      <c r="I564" s="2132"/>
      <c r="J564" s="2132"/>
      <c r="K564" s="565" t="s">
        <v>854</v>
      </c>
      <c r="L564" s="34" t="s">
        <v>14</v>
      </c>
      <c r="M564" s="415">
        <v>100</v>
      </c>
      <c r="N564" s="29">
        <v>100</v>
      </c>
      <c r="O564" s="29">
        <v>100</v>
      </c>
      <c r="P564" s="29">
        <v>100</v>
      </c>
      <c r="Q564" s="29">
        <v>100</v>
      </c>
    </row>
    <row r="565" spans="1:17" ht="75" x14ac:dyDescent="0.25">
      <c r="B565" s="2241"/>
      <c r="C565" s="2207" t="s">
        <v>4</v>
      </c>
      <c r="D565" s="2187"/>
      <c r="E565" s="2220" t="s">
        <v>467</v>
      </c>
      <c r="F565" s="2123">
        <v>35368.9</v>
      </c>
      <c r="G565" s="2123">
        <v>40387</v>
      </c>
      <c r="H565" s="2123">
        <v>41019</v>
      </c>
      <c r="I565" s="2123">
        <v>41019</v>
      </c>
      <c r="J565" s="2123">
        <v>41019</v>
      </c>
      <c r="K565" s="565" t="s">
        <v>855</v>
      </c>
      <c r="L565" s="26" t="s">
        <v>14</v>
      </c>
      <c r="M565" s="26">
        <v>100</v>
      </c>
      <c r="N565" s="26">
        <v>100</v>
      </c>
      <c r="O565" s="26">
        <v>100</v>
      </c>
      <c r="P565" s="33">
        <v>100</v>
      </c>
      <c r="Q565" s="33">
        <v>100</v>
      </c>
    </row>
    <row r="566" spans="1:17" ht="30" x14ac:dyDescent="0.25">
      <c r="B566" s="2302"/>
      <c r="C566" s="2208"/>
      <c r="D566" s="2188"/>
      <c r="E566" s="2220"/>
      <c r="F566" s="2124"/>
      <c r="G566" s="2124"/>
      <c r="H566" s="2124"/>
      <c r="I566" s="2124"/>
      <c r="J566" s="2124"/>
      <c r="K566" s="565" t="s">
        <v>856</v>
      </c>
      <c r="L566" s="33" t="s">
        <v>14</v>
      </c>
      <c r="M566" s="33">
        <v>34</v>
      </c>
      <c r="N566" s="33">
        <v>50</v>
      </c>
      <c r="O566" s="33">
        <v>50</v>
      </c>
      <c r="P566" s="33">
        <v>50</v>
      </c>
      <c r="Q566" s="33">
        <v>50</v>
      </c>
    </row>
    <row r="567" spans="1:17" ht="60" customHeight="1" x14ac:dyDescent="0.25">
      <c r="B567" s="2241"/>
      <c r="C567" s="2207" t="s">
        <v>5</v>
      </c>
      <c r="D567" s="2207"/>
      <c r="E567" s="2128" t="s">
        <v>1292</v>
      </c>
      <c r="F567" s="2123">
        <v>0</v>
      </c>
      <c r="G567" s="2123">
        <v>0</v>
      </c>
      <c r="H567" s="2123">
        <v>0</v>
      </c>
      <c r="I567" s="2123">
        <v>0</v>
      </c>
      <c r="J567" s="2123">
        <v>0</v>
      </c>
      <c r="K567" s="565" t="s">
        <v>857</v>
      </c>
      <c r="L567" s="35" t="s">
        <v>968</v>
      </c>
      <c r="M567" s="33"/>
      <c r="N567" s="33">
        <v>2</v>
      </c>
      <c r="O567" s="33">
        <v>4</v>
      </c>
      <c r="P567" s="33">
        <v>6</v>
      </c>
      <c r="Q567" s="33">
        <v>6</v>
      </c>
    </row>
    <row r="568" spans="1:17" x14ac:dyDescent="0.25">
      <c r="B568" s="2242"/>
      <c r="C568" s="2212"/>
      <c r="D568" s="2208"/>
      <c r="E568" s="2128"/>
      <c r="F568" s="2124"/>
      <c r="G568" s="2124"/>
      <c r="H568" s="2124"/>
      <c r="I568" s="2124"/>
      <c r="J568" s="2124"/>
      <c r="K568" s="565" t="s">
        <v>858</v>
      </c>
      <c r="L568" s="35" t="s">
        <v>968</v>
      </c>
      <c r="M568" s="33"/>
      <c r="N568" s="33">
        <v>1</v>
      </c>
      <c r="O568" s="33">
        <v>2</v>
      </c>
      <c r="P568" s="33">
        <v>4</v>
      </c>
      <c r="Q568" s="33">
        <v>4</v>
      </c>
    </row>
    <row r="569" spans="1:17" ht="42.75" x14ac:dyDescent="0.25">
      <c r="B569" s="2221" t="s">
        <v>91</v>
      </c>
      <c r="C569" s="2209"/>
      <c r="D569" s="2218"/>
      <c r="E569" s="506" t="s">
        <v>985</v>
      </c>
      <c r="F569" s="2224">
        <f>F571+F572+F573+F574+F575+F576+F577+F578+F579+F580+F581</f>
        <v>53358.799999999996</v>
      </c>
      <c r="G569" s="2126">
        <f>G571+G572+G573+G574+G575+G576+G577+G578+G579+G580+G581</f>
        <v>53359.799999999996</v>
      </c>
      <c r="H569" s="2126">
        <f>H571+H572+H573+H574+H575+H576+H577+H578+H579+H580+H581</f>
        <v>34868.899999999994</v>
      </c>
      <c r="I569" s="2126">
        <f>I571+I572+I573+I574+I575+I576+I577+I578+I579+I580+I581</f>
        <v>45875</v>
      </c>
      <c r="J569" s="2126">
        <f>J571+J572+J573+J574+J575+J576+J577+J578+J579+J580+J581</f>
        <v>45801</v>
      </c>
      <c r="K569" s="2192" t="s">
        <v>849</v>
      </c>
      <c r="L569" s="2193"/>
      <c r="M569" s="2194"/>
      <c r="N569" s="2194"/>
      <c r="O569" s="2194"/>
      <c r="P569" s="2194"/>
      <c r="Q569" s="2195"/>
    </row>
    <row r="570" spans="1:17" ht="105" x14ac:dyDescent="0.25">
      <c r="A570" s="10"/>
      <c r="B570" s="2223"/>
      <c r="C570" s="2209"/>
      <c r="D570" s="2219"/>
      <c r="E570" s="370" t="s">
        <v>468</v>
      </c>
      <c r="F570" s="2225"/>
      <c r="G570" s="2127"/>
      <c r="H570" s="2127"/>
      <c r="I570" s="2127"/>
      <c r="J570" s="2127"/>
      <c r="K570" s="2192"/>
      <c r="L570" s="2196"/>
      <c r="M570" s="2197"/>
      <c r="N570" s="2197"/>
      <c r="O570" s="2197"/>
      <c r="P570" s="2197"/>
      <c r="Q570" s="2198"/>
    </row>
    <row r="571" spans="1:17" ht="45" x14ac:dyDescent="0.25">
      <c r="A571" s="10"/>
      <c r="B571" s="36"/>
      <c r="C571" s="535" t="s">
        <v>2</v>
      </c>
      <c r="D571" s="535"/>
      <c r="E571" s="521" t="s">
        <v>469</v>
      </c>
      <c r="F571" s="596">
        <v>4000</v>
      </c>
      <c r="G571" s="596">
        <v>4000</v>
      </c>
      <c r="H571" s="596">
        <v>4000</v>
      </c>
      <c r="I571" s="596">
        <v>4000</v>
      </c>
      <c r="J571" s="596">
        <v>4000</v>
      </c>
      <c r="K571" s="565" t="s">
        <v>859</v>
      </c>
      <c r="L571" s="26" t="s">
        <v>968</v>
      </c>
      <c r="M571" s="37">
        <v>14</v>
      </c>
      <c r="N571" s="37">
        <v>14</v>
      </c>
      <c r="O571" s="37">
        <v>14</v>
      </c>
      <c r="P571" s="37">
        <v>14</v>
      </c>
      <c r="Q571" s="33">
        <v>14</v>
      </c>
    </row>
    <row r="572" spans="1:17" ht="30" x14ac:dyDescent="0.25">
      <c r="A572" s="10"/>
      <c r="B572" s="36"/>
      <c r="C572" s="535" t="s">
        <v>3</v>
      </c>
      <c r="D572" s="535"/>
      <c r="E572" s="521" t="s">
        <v>470</v>
      </c>
      <c r="F572" s="200">
        <v>3800</v>
      </c>
      <c r="G572" s="200">
        <v>3800</v>
      </c>
      <c r="H572" s="200">
        <v>2066.3000000000002</v>
      </c>
      <c r="I572" s="200">
        <v>2166.3000000000002</v>
      </c>
      <c r="J572" s="200">
        <v>2266.3000000000002</v>
      </c>
      <c r="K572" s="565" t="s">
        <v>860</v>
      </c>
      <c r="L572" s="33" t="s">
        <v>968</v>
      </c>
      <c r="M572" s="33">
        <v>6</v>
      </c>
      <c r="N572" s="33">
        <v>10</v>
      </c>
      <c r="O572" s="33">
        <v>10</v>
      </c>
      <c r="P572" s="33">
        <v>10</v>
      </c>
      <c r="Q572" s="33">
        <v>10</v>
      </c>
    </row>
    <row r="573" spans="1:17" ht="60" x14ac:dyDescent="0.25">
      <c r="A573" s="10"/>
      <c r="B573" s="535"/>
      <c r="C573" s="535" t="s">
        <v>4</v>
      </c>
      <c r="D573" s="535"/>
      <c r="E573" s="521" t="s">
        <v>471</v>
      </c>
      <c r="F573" s="596">
        <v>2350</v>
      </c>
      <c r="G573" s="596">
        <v>2350</v>
      </c>
      <c r="H573" s="596">
        <v>2155.5</v>
      </c>
      <c r="I573" s="596">
        <v>2255.5</v>
      </c>
      <c r="J573" s="596">
        <v>2355.5</v>
      </c>
      <c r="K573" s="565" t="s">
        <v>861</v>
      </c>
      <c r="L573" s="26" t="s">
        <v>980</v>
      </c>
      <c r="M573" s="37">
        <v>3</v>
      </c>
      <c r="N573" s="37">
        <v>3</v>
      </c>
      <c r="O573" s="37">
        <v>3</v>
      </c>
      <c r="P573" s="37">
        <v>3</v>
      </c>
      <c r="Q573" s="33">
        <v>3</v>
      </c>
    </row>
    <row r="574" spans="1:17" ht="45" x14ac:dyDescent="0.25">
      <c r="A574" s="10"/>
      <c r="B574" s="535"/>
      <c r="C574" s="535" t="s">
        <v>5</v>
      </c>
      <c r="D574" s="535"/>
      <c r="E574" s="521" t="s">
        <v>1293</v>
      </c>
      <c r="F574" s="596">
        <v>2300</v>
      </c>
      <c r="G574" s="596">
        <v>2300</v>
      </c>
      <c r="H574" s="596">
        <v>2300</v>
      </c>
      <c r="I574" s="596">
        <v>2300</v>
      </c>
      <c r="J574" s="596">
        <v>2300</v>
      </c>
      <c r="K574" s="565" t="s">
        <v>862</v>
      </c>
      <c r="L574" s="26" t="s">
        <v>968</v>
      </c>
      <c r="M574" s="223" t="s">
        <v>46</v>
      </c>
      <c r="N574" s="223" t="s">
        <v>47</v>
      </c>
      <c r="O574" s="223" t="s">
        <v>47</v>
      </c>
      <c r="P574" s="223" t="s">
        <v>47</v>
      </c>
      <c r="Q574" s="223" t="s">
        <v>48</v>
      </c>
    </row>
    <row r="575" spans="1:17" ht="45" x14ac:dyDescent="0.25">
      <c r="A575" s="10"/>
      <c r="B575" s="574"/>
      <c r="C575" s="574" t="s">
        <v>53</v>
      </c>
      <c r="D575" s="574"/>
      <c r="E575" s="521" t="s">
        <v>1294</v>
      </c>
      <c r="F575" s="519">
        <v>14400</v>
      </c>
      <c r="G575" s="519">
        <v>14400</v>
      </c>
      <c r="H575" s="519">
        <v>3811.4</v>
      </c>
      <c r="I575" s="519">
        <v>3911.4</v>
      </c>
      <c r="J575" s="519">
        <v>4011.4</v>
      </c>
      <c r="K575" s="565" t="s">
        <v>863</v>
      </c>
      <c r="L575" s="224" t="s">
        <v>968</v>
      </c>
      <c r="M575" s="39">
        <v>0</v>
      </c>
      <c r="N575" s="39">
        <v>1</v>
      </c>
      <c r="O575" s="39">
        <v>1</v>
      </c>
      <c r="P575" s="39">
        <v>1</v>
      </c>
      <c r="Q575" s="33">
        <v>1</v>
      </c>
    </row>
    <row r="576" spans="1:17" ht="45.75" customHeight="1" x14ac:dyDescent="0.25">
      <c r="A576" s="10"/>
      <c r="B576" s="592"/>
      <c r="C576" s="592" t="s">
        <v>51</v>
      </c>
      <c r="D576" s="592"/>
      <c r="E576" s="521" t="s">
        <v>472</v>
      </c>
      <c r="F576" s="587">
        <v>6535.7</v>
      </c>
      <c r="G576" s="587">
        <v>6535.7</v>
      </c>
      <c r="H576" s="587">
        <v>6535.7</v>
      </c>
      <c r="I576" s="587">
        <v>6709.5</v>
      </c>
      <c r="J576" s="587">
        <v>6709.5</v>
      </c>
      <c r="K576" s="565" t="s">
        <v>864</v>
      </c>
      <c r="L576" s="540" t="s">
        <v>968</v>
      </c>
      <c r="M576" s="40">
        <v>12</v>
      </c>
      <c r="N576" s="40">
        <v>12</v>
      </c>
      <c r="O576" s="40">
        <v>12</v>
      </c>
      <c r="P576" s="41">
        <v>13</v>
      </c>
      <c r="Q576" s="41">
        <v>13</v>
      </c>
    </row>
    <row r="577" spans="1:17" ht="45.75" customHeight="1" x14ac:dyDescent="0.25">
      <c r="A577" s="10"/>
      <c r="B577" s="524"/>
      <c r="C577" s="574"/>
      <c r="D577" s="574"/>
      <c r="E577" s="521" t="s">
        <v>473</v>
      </c>
      <c r="F577" s="517">
        <f>4600+4500+1585.2</f>
        <v>10685.2</v>
      </c>
      <c r="G577" s="517">
        <f>4600+4500+1585.2</f>
        <v>10685.2</v>
      </c>
      <c r="H577" s="596"/>
      <c r="I577" s="2123">
        <v>3674.3</v>
      </c>
      <c r="J577" s="2123">
        <v>3200.3</v>
      </c>
      <c r="K577" s="565" t="s">
        <v>474</v>
      </c>
      <c r="L577" s="29" t="s">
        <v>52</v>
      </c>
      <c r="M577" s="29">
        <v>570</v>
      </c>
      <c r="N577" s="35">
        <v>600</v>
      </c>
      <c r="O577" s="35">
        <v>650</v>
      </c>
      <c r="P577" s="35">
        <v>700</v>
      </c>
      <c r="Q577" s="35">
        <v>750</v>
      </c>
    </row>
    <row r="578" spans="1:17" ht="46.5" customHeight="1" x14ac:dyDescent="0.25">
      <c r="A578" s="10"/>
      <c r="B578" s="36"/>
      <c r="C578" s="535"/>
      <c r="D578" s="535"/>
      <c r="E578" s="521" t="s">
        <v>474</v>
      </c>
      <c r="F578" s="596">
        <v>3187.9</v>
      </c>
      <c r="G578" s="596">
        <v>3188.9</v>
      </c>
      <c r="H578" s="519"/>
      <c r="I578" s="2125"/>
      <c r="J578" s="2125"/>
      <c r="K578" s="565" t="s">
        <v>865</v>
      </c>
      <c r="L578" s="26" t="s">
        <v>981</v>
      </c>
      <c r="M578" s="33">
        <v>74</v>
      </c>
      <c r="N578" s="33">
        <v>71</v>
      </c>
      <c r="O578" s="33">
        <v>68</v>
      </c>
      <c r="P578" s="33">
        <v>65</v>
      </c>
      <c r="Q578" s="33">
        <v>63</v>
      </c>
    </row>
    <row r="579" spans="1:17" ht="105" customHeight="1" x14ac:dyDescent="0.25">
      <c r="A579" s="10"/>
      <c r="B579" s="36"/>
      <c r="C579" s="533" t="s">
        <v>54</v>
      </c>
      <c r="D579" s="574"/>
      <c r="E579" s="521" t="s">
        <v>475</v>
      </c>
      <c r="F579" s="517">
        <v>1700</v>
      </c>
      <c r="G579" s="517">
        <v>1700</v>
      </c>
      <c r="H579" s="517"/>
      <c r="I579" s="517">
        <f>6858-I580</f>
        <v>4990</v>
      </c>
      <c r="J579" s="517">
        <f>6958-J580</f>
        <v>5090</v>
      </c>
      <c r="K579" s="565" t="s">
        <v>1295</v>
      </c>
      <c r="L579" s="29" t="s">
        <v>968</v>
      </c>
      <c r="M579" s="42">
        <v>3</v>
      </c>
      <c r="N579" s="42">
        <v>3</v>
      </c>
      <c r="O579" s="42">
        <v>3</v>
      </c>
      <c r="P579" s="42">
        <v>3</v>
      </c>
      <c r="Q579" s="42">
        <v>3</v>
      </c>
    </row>
    <row r="580" spans="1:17" ht="60" x14ac:dyDescent="0.25">
      <c r="A580" s="10"/>
      <c r="B580" s="524"/>
      <c r="C580" s="533" t="s">
        <v>86</v>
      </c>
      <c r="D580" s="574"/>
      <c r="E580" s="521" t="s">
        <v>476</v>
      </c>
      <c r="F580" s="517">
        <v>4400</v>
      </c>
      <c r="G580" s="517">
        <v>4400</v>
      </c>
      <c r="H580" s="517"/>
      <c r="I580" s="517">
        <v>1868</v>
      </c>
      <c r="J580" s="517">
        <v>1868</v>
      </c>
      <c r="K580" s="476" t="s">
        <v>866</v>
      </c>
      <c r="L580" s="42" t="s">
        <v>968</v>
      </c>
      <c r="M580" s="42">
        <v>7</v>
      </c>
      <c r="N580" s="42">
        <v>8</v>
      </c>
      <c r="O580" s="42">
        <v>5</v>
      </c>
      <c r="P580" s="42">
        <v>5</v>
      </c>
      <c r="Q580" s="42">
        <v>5</v>
      </c>
    </row>
    <row r="581" spans="1:17" ht="30" x14ac:dyDescent="0.25">
      <c r="A581" s="10"/>
      <c r="B581" s="590"/>
      <c r="C581" s="592"/>
      <c r="D581" s="592"/>
      <c r="E581" s="593" t="s">
        <v>477</v>
      </c>
      <c r="F581" s="522">
        <v>0</v>
      </c>
      <c r="G581" s="522">
        <v>0</v>
      </c>
      <c r="H581" s="522">
        <v>14000</v>
      </c>
      <c r="I581" s="522">
        <v>14000</v>
      </c>
      <c r="J581" s="522">
        <v>14000</v>
      </c>
      <c r="K581" s="856" t="s">
        <v>982</v>
      </c>
      <c r="L581" s="441" t="s">
        <v>968</v>
      </c>
      <c r="M581" s="441"/>
      <c r="N581" s="441">
        <v>3</v>
      </c>
      <c r="O581" s="441">
        <v>5</v>
      </c>
      <c r="P581" s="441">
        <v>8</v>
      </c>
      <c r="Q581" s="441">
        <v>10</v>
      </c>
    </row>
    <row r="582" spans="1:17" ht="28.5" customHeight="1" x14ac:dyDescent="0.25">
      <c r="A582" s="10"/>
      <c r="B582" s="2221" t="s">
        <v>98</v>
      </c>
      <c r="C582" s="2209"/>
      <c r="D582" s="2300"/>
      <c r="E582" s="317" t="s">
        <v>478</v>
      </c>
      <c r="F582" s="2129">
        <f t="shared" ref="F582:G582" si="69">F586+F588+F591+F594+F595+F593</f>
        <v>37181.699999999997</v>
      </c>
      <c r="G582" s="2293">
        <f t="shared" si="69"/>
        <v>37481.1</v>
      </c>
      <c r="H582" s="2293">
        <f>H584+H585+H586+H588+H589+H590+H591+H593+H594</f>
        <v>55132.600000000006</v>
      </c>
      <c r="I582" s="2293">
        <f>I586+I588+I591+I594+I595+I593</f>
        <v>45460.5</v>
      </c>
      <c r="J582" s="2293">
        <f t="shared" ref="J582" si="70">J586+J588+J591+J594+J595+J593</f>
        <v>45760.5</v>
      </c>
      <c r="K582" s="2192" t="s">
        <v>849</v>
      </c>
      <c r="L582" s="2193"/>
      <c r="M582" s="2194"/>
      <c r="N582" s="2194"/>
      <c r="O582" s="2194"/>
      <c r="P582" s="2194"/>
      <c r="Q582" s="2195"/>
    </row>
    <row r="583" spans="1:17" ht="138" customHeight="1" x14ac:dyDescent="0.25">
      <c r="A583" s="10"/>
      <c r="B583" s="2223"/>
      <c r="C583" s="2209"/>
      <c r="D583" s="2300"/>
      <c r="E583" s="370" t="s">
        <v>479</v>
      </c>
      <c r="F583" s="2129"/>
      <c r="G583" s="2293"/>
      <c r="H583" s="2293"/>
      <c r="I583" s="2293"/>
      <c r="J583" s="2293"/>
      <c r="K583" s="2192"/>
      <c r="L583" s="2196"/>
      <c r="M583" s="2197"/>
      <c r="N583" s="2197"/>
      <c r="O583" s="2197"/>
      <c r="P583" s="2197"/>
      <c r="Q583" s="2198"/>
    </row>
    <row r="584" spans="1:17" ht="45" x14ac:dyDescent="0.25">
      <c r="A584" s="10"/>
      <c r="B584" s="572"/>
      <c r="C584" s="574" t="s">
        <v>2</v>
      </c>
      <c r="D584" s="409"/>
      <c r="E584" s="451" t="s">
        <v>480</v>
      </c>
      <c r="F584" s="410"/>
      <c r="G584" s="520"/>
      <c r="H584" s="517">
        <v>3640</v>
      </c>
      <c r="I584" s="520"/>
      <c r="J584" s="520"/>
      <c r="K584" s="843"/>
      <c r="L584" s="569"/>
      <c r="M584" s="570"/>
      <c r="N584" s="570"/>
      <c r="O584" s="570"/>
      <c r="P584" s="570"/>
      <c r="Q584" s="571"/>
    </row>
    <row r="585" spans="1:17" ht="30" x14ac:dyDescent="0.25">
      <c r="A585" s="10"/>
      <c r="B585" s="572"/>
      <c r="C585" s="574" t="s">
        <v>54</v>
      </c>
      <c r="D585" s="409"/>
      <c r="E585" s="451" t="s">
        <v>481</v>
      </c>
      <c r="F585" s="410"/>
      <c r="G585" s="520"/>
      <c r="H585" s="517">
        <v>3307.1</v>
      </c>
      <c r="I585" s="520"/>
      <c r="J585" s="520"/>
      <c r="K585" s="843"/>
      <c r="L585" s="569"/>
      <c r="M585" s="570"/>
      <c r="N585" s="570"/>
      <c r="O585" s="570"/>
      <c r="P585" s="570"/>
      <c r="Q585" s="571"/>
    </row>
    <row r="586" spans="1:17" ht="45" customHeight="1" x14ac:dyDescent="0.25">
      <c r="A586" s="10"/>
      <c r="B586" s="2189"/>
      <c r="C586" s="2215" t="s">
        <v>87</v>
      </c>
      <c r="D586" s="2207"/>
      <c r="E586" s="2128" t="s">
        <v>1298</v>
      </c>
      <c r="F586" s="2123">
        <v>3600</v>
      </c>
      <c r="G586" s="2123">
        <v>3600</v>
      </c>
      <c r="H586" s="2130">
        <v>2043.3</v>
      </c>
      <c r="I586" s="2123">
        <v>2143.3000000000002</v>
      </c>
      <c r="J586" s="2123">
        <v>2243.3000000000002</v>
      </c>
      <c r="K586" s="565" t="s">
        <v>1296</v>
      </c>
      <c r="L586" s="26" t="s">
        <v>55</v>
      </c>
      <c r="M586" s="26">
        <v>1.1000000000000001</v>
      </c>
      <c r="N586" s="26" t="s">
        <v>56</v>
      </c>
      <c r="O586" s="26" t="s">
        <v>56</v>
      </c>
      <c r="P586" s="26" t="s">
        <v>56</v>
      </c>
      <c r="Q586" s="26" t="s">
        <v>56</v>
      </c>
    </row>
    <row r="587" spans="1:17" ht="61.5" customHeight="1" x14ac:dyDescent="0.25">
      <c r="A587" s="10"/>
      <c r="B587" s="2191"/>
      <c r="C587" s="2217"/>
      <c r="D587" s="2212"/>
      <c r="E587" s="2128"/>
      <c r="F587" s="2125"/>
      <c r="G587" s="2125"/>
      <c r="H587" s="2132"/>
      <c r="I587" s="2125"/>
      <c r="J587" s="2125"/>
      <c r="K587" s="565" t="s">
        <v>867</v>
      </c>
      <c r="L587" s="33" t="s">
        <v>968</v>
      </c>
      <c r="M587" s="33" t="s">
        <v>57</v>
      </c>
      <c r="N587" s="43">
        <v>2</v>
      </c>
      <c r="O587" s="43">
        <v>1</v>
      </c>
      <c r="P587" s="43">
        <v>0</v>
      </c>
      <c r="Q587" s="165">
        <v>0</v>
      </c>
    </row>
    <row r="588" spans="1:17" ht="75" x14ac:dyDescent="0.25">
      <c r="A588" s="10"/>
      <c r="B588" s="524"/>
      <c r="C588" s="533" t="s">
        <v>88</v>
      </c>
      <c r="D588" s="574"/>
      <c r="E588" s="521" t="s">
        <v>482</v>
      </c>
      <c r="F588" s="517">
        <v>3800</v>
      </c>
      <c r="G588" s="517">
        <v>3800</v>
      </c>
      <c r="H588" s="522">
        <v>3800</v>
      </c>
      <c r="I588" s="517">
        <v>3800</v>
      </c>
      <c r="J588" s="517">
        <v>3800</v>
      </c>
      <c r="K588" s="565" t="s">
        <v>868</v>
      </c>
      <c r="L588" s="26" t="s">
        <v>968</v>
      </c>
      <c r="M588" s="37">
        <v>3</v>
      </c>
      <c r="N588" s="37">
        <v>3</v>
      </c>
      <c r="O588" s="37">
        <v>2</v>
      </c>
      <c r="P588" s="37">
        <v>2</v>
      </c>
      <c r="Q588" s="33">
        <v>2</v>
      </c>
    </row>
    <row r="589" spans="1:17" ht="107.25" customHeight="1" x14ac:dyDescent="0.25">
      <c r="A589" s="10"/>
      <c r="B589" s="524"/>
      <c r="C589" s="533" t="s">
        <v>90</v>
      </c>
      <c r="D589" s="574"/>
      <c r="E589" s="390" t="s">
        <v>1297</v>
      </c>
      <c r="F589" s="517"/>
      <c r="G589" s="517"/>
      <c r="H589" s="517">
        <v>4890</v>
      </c>
      <c r="I589" s="517"/>
      <c r="J589" s="517"/>
      <c r="K589" s="565"/>
      <c r="L589" s="26"/>
      <c r="M589" s="37"/>
      <c r="N589" s="37"/>
      <c r="O589" s="37"/>
      <c r="P589" s="37"/>
      <c r="Q589" s="33"/>
    </row>
    <row r="590" spans="1:17" ht="57.75" customHeight="1" x14ac:dyDescent="0.25">
      <c r="A590" s="10"/>
      <c r="B590" s="524"/>
      <c r="C590" s="533" t="s">
        <v>65</v>
      </c>
      <c r="D590" s="574"/>
      <c r="E590" s="390" t="s">
        <v>483</v>
      </c>
      <c r="F590" s="517"/>
      <c r="G590" s="517"/>
      <c r="H590" s="517">
        <v>1868</v>
      </c>
      <c r="I590" s="517"/>
      <c r="J590" s="517"/>
      <c r="K590" s="565"/>
      <c r="L590" s="26"/>
      <c r="M590" s="37"/>
      <c r="N590" s="37"/>
      <c r="O590" s="37"/>
      <c r="P590" s="37"/>
      <c r="Q590" s="33"/>
    </row>
    <row r="591" spans="1:17" ht="30" customHeight="1" x14ac:dyDescent="0.25">
      <c r="A591" s="10"/>
      <c r="B591" s="2189"/>
      <c r="C591" s="2119" t="s">
        <v>80</v>
      </c>
      <c r="D591" s="2209"/>
      <c r="E591" s="2128" t="s">
        <v>484</v>
      </c>
      <c r="F591" s="2123">
        <v>2510.1</v>
      </c>
      <c r="G591" s="2123">
        <v>2510.1</v>
      </c>
      <c r="H591" s="2130">
        <v>3013.2</v>
      </c>
      <c r="I591" s="2123">
        <v>3113.2</v>
      </c>
      <c r="J591" s="2123">
        <v>3213.2</v>
      </c>
      <c r="K591" s="565" t="s">
        <v>1299</v>
      </c>
      <c r="L591" s="26" t="s">
        <v>968</v>
      </c>
      <c r="M591" s="37">
        <v>2</v>
      </c>
      <c r="N591" s="37">
        <v>2</v>
      </c>
      <c r="O591" s="37">
        <v>2</v>
      </c>
      <c r="P591" s="37">
        <v>2</v>
      </c>
      <c r="Q591" s="33">
        <v>2</v>
      </c>
    </row>
    <row r="592" spans="1:17" ht="36" customHeight="1" x14ac:dyDescent="0.25">
      <c r="A592" s="10"/>
      <c r="B592" s="2191"/>
      <c r="C592" s="2119"/>
      <c r="D592" s="2209"/>
      <c r="E592" s="2128"/>
      <c r="F592" s="2125"/>
      <c r="G592" s="2125"/>
      <c r="H592" s="2132"/>
      <c r="I592" s="2125"/>
      <c r="J592" s="2125"/>
      <c r="K592" s="565" t="s">
        <v>869</v>
      </c>
      <c r="L592" s="26" t="s">
        <v>14</v>
      </c>
      <c r="M592" s="37">
        <v>84</v>
      </c>
      <c r="N592" s="37">
        <v>100</v>
      </c>
      <c r="O592" s="37">
        <v>100</v>
      </c>
      <c r="P592" s="37">
        <v>100</v>
      </c>
      <c r="Q592" s="37">
        <v>100</v>
      </c>
    </row>
    <row r="593" spans="1:17" ht="30" x14ac:dyDescent="0.25">
      <c r="A593" s="10"/>
      <c r="B593" s="36"/>
      <c r="C593" s="515" t="s">
        <v>81</v>
      </c>
      <c r="D593" s="535"/>
      <c r="E593" s="565" t="s">
        <v>485</v>
      </c>
      <c r="F593" s="519">
        <v>0</v>
      </c>
      <c r="G593" s="519">
        <v>0</v>
      </c>
      <c r="H593" s="523">
        <v>5000</v>
      </c>
      <c r="I593" s="519">
        <v>5000</v>
      </c>
      <c r="J593" s="519">
        <v>5000</v>
      </c>
      <c r="K593" s="565" t="s">
        <v>1300</v>
      </c>
      <c r="L593" s="29" t="s">
        <v>968</v>
      </c>
      <c r="M593" s="37">
        <v>0</v>
      </c>
      <c r="N593" s="37">
        <v>2</v>
      </c>
      <c r="O593" s="37">
        <v>3</v>
      </c>
      <c r="P593" s="37">
        <v>2</v>
      </c>
      <c r="Q593" s="37">
        <v>4</v>
      </c>
    </row>
    <row r="594" spans="1:17" ht="60" x14ac:dyDescent="0.25">
      <c r="A594" s="10"/>
      <c r="B594" s="36"/>
      <c r="C594" s="655" t="s">
        <v>82</v>
      </c>
      <c r="D594" s="594"/>
      <c r="E594" s="505" t="s">
        <v>486</v>
      </c>
      <c r="F594" s="587">
        <v>27271.599999999999</v>
      </c>
      <c r="G594" s="587">
        <v>27571</v>
      </c>
      <c r="H594" s="587">
        <v>27571</v>
      </c>
      <c r="I594" s="587">
        <v>27996.9</v>
      </c>
      <c r="J594" s="587">
        <v>27996.9</v>
      </c>
      <c r="K594" s="589" t="s">
        <v>870</v>
      </c>
      <c r="L594" s="34" t="s">
        <v>968</v>
      </c>
      <c r="M594" s="441">
        <v>5</v>
      </c>
      <c r="N594" s="37">
        <v>2</v>
      </c>
      <c r="O594" s="37">
        <v>1</v>
      </c>
      <c r="P594" s="37">
        <v>1</v>
      </c>
      <c r="Q594" s="33">
        <v>1</v>
      </c>
    </row>
    <row r="595" spans="1:17" ht="45" x14ac:dyDescent="0.25">
      <c r="A595" s="10"/>
      <c r="B595" s="2189"/>
      <c r="C595" s="2215"/>
      <c r="D595" s="2207"/>
      <c r="E595" s="2220" t="s">
        <v>487</v>
      </c>
      <c r="F595" s="2123">
        <v>0</v>
      </c>
      <c r="G595" s="2123">
        <v>0</v>
      </c>
      <c r="H595" s="2123"/>
      <c r="I595" s="2123">
        <v>3407.1</v>
      </c>
      <c r="J595" s="2123">
        <v>3507.1</v>
      </c>
      <c r="K595" s="565" t="s">
        <v>871</v>
      </c>
      <c r="L595" s="44" t="s">
        <v>968</v>
      </c>
      <c r="M595" s="37">
        <v>0</v>
      </c>
      <c r="N595" s="37">
        <v>0</v>
      </c>
      <c r="O595" s="37">
        <v>1</v>
      </c>
      <c r="P595" s="37">
        <v>0</v>
      </c>
      <c r="Q595" s="37">
        <v>0</v>
      </c>
    </row>
    <row r="596" spans="1:17" ht="60" x14ac:dyDescent="0.25">
      <c r="A596" s="10"/>
      <c r="B596" s="2190"/>
      <c r="C596" s="2216"/>
      <c r="D596" s="2208"/>
      <c r="E596" s="2220"/>
      <c r="F596" s="2124"/>
      <c r="G596" s="2124"/>
      <c r="H596" s="2124"/>
      <c r="I596" s="2124"/>
      <c r="J596" s="2124"/>
      <c r="K596" s="565" t="s">
        <v>872</v>
      </c>
      <c r="L596" s="44" t="s">
        <v>968</v>
      </c>
      <c r="M596" s="37">
        <v>0</v>
      </c>
      <c r="N596" s="37">
        <v>0</v>
      </c>
      <c r="O596" s="37">
        <v>1</v>
      </c>
      <c r="P596" s="37">
        <v>0</v>
      </c>
      <c r="Q596" s="37">
        <v>0</v>
      </c>
    </row>
    <row r="597" spans="1:17" x14ac:dyDescent="0.25">
      <c r="A597" s="10"/>
      <c r="B597" s="2190"/>
      <c r="C597" s="2216"/>
      <c r="D597" s="2208"/>
      <c r="E597" s="2220"/>
      <c r="F597" s="2124"/>
      <c r="G597" s="2124"/>
      <c r="H597" s="2124"/>
      <c r="I597" s="2124"/>
      <c r="J597" s="2124"/>
      <c r="K597" s="565" t="s">
        <v>873</v>
      </c>
      <c r="L597" s="44" t="s">
        <v>968</v>
      </c>
      <c r="M597" s="37">
        <v>0</v>
      </c>
      <c r="N597" s="37">
        <v>1</v>
      </c>
      <c r="O597" s="37">
        <v>1</v>
      </c>
      <c r="P597" s="37">
        <v>1</v>
      </c>
      <c r="Q597" s="37">
        <v>1</v>
      </c>
    </row>
    <row r="598" spans="1:17" x14ac:dyDescent="0.25">
      <c r="A598" s="10"/>
      <c r="B598" s="2191"/>
      <c r="C598" s="2217"/>
      <c r="D598" s="2212"/>
      <c r="E598" s="2220"/>
      <c r="F598" s="2125"/>
      <c r="G598" s="2125"/>
      <c r="H598" s="2125"/>
      <c r="I598" s="2125"/>
      <c r="J598" s="2125"/>
      <c r="K598" s="65" t="s">
        <v>874</v>
      </c>
      <c r="L598" s="26" t="s">
        <v>968</v>
      </c>
      <c r="M598" s="37"/>
      <c r="N598" s="37">
        <v>5</v>
      </c>
      <c r="O598" s="37">
        <v>5</v>
      </c>
      <c r="P598" s="37">
        <v>5</v>
      </c>
      <c r="Q598" s="37">
        <v>5</v>
      </c>
    </row>
    <row r="599" spans="1:17" ht="42.75" x14ac:dyDescent="0.25">
      <c r="A599" s="10"/>
      <c r="B599" s="2221" t="s">
        <v>101</v>
      </c>
      <c r="C599" s="2209"/>
      <c r="D599" s="2300"/>
      <c r="E599" s="317" t="s">
        <v>488</v>
      </c>
      <c r="F599" s="2129">
        <f>F601+F602+F603+F604+F605+F607+F608+F613</f>
        <v>96355.599999999991</v>
      </c>
      <c r="G599" s="2293">
        <f t="shared" ref="G599:H599" si="71">G601+G602+G603+G604+G605+G607+G608+G613</f>
        <v>95322.2</v>
      </c>
      <c r="H599" s="2293">
        <f t="shared" si="71"/>
        <v>96260.599999999991</v>
      </c>
      <c r="I599" s="2293">
        <f>I601+I602+I603+I604+I605+I607+I608+I613</f>
        <v>84750.799999999988</v>
      </c>
      <c r="J599" s="2293">
        <f>J601+J602+J603+J604+J605+J607+J608+J613</f>
        <v>85620.4</v>
      </c>
      <c r="K599" s="2192" t="s">
        <v>849</v>
      </c>
      <c r="L599" s="2193"/>
      <c r="M599" s="2194"/>
      <c r="N599" s="2194"/>
      <c r="O599" s="2194"/>
      <c r="P599" s="2194"/>
      <c r="Q599" s="2195"/>
    </row>
    <row r="600" spans="1:17" ht="45" x14ac:dyDescent="0.25">
      <c r="A600" s="10"/>
      <c r="B600" s="2223"/>
      <c r="C600" s="2209"/>
      <c r="D600" s="2300"/>
      <c r="E600" s="370" t="s">
        <v>1301</v>
      </c>
      <c r="F600" s="2129"/>
      <c r="G600" s="2293"/>
      <c r="H600" s="2293"/>
      <c r="I600" s="2293"/>
      <c r="J600" s="2293"/>
      <c r="K600" s="2192"/>
      <c r="L600" s="2196"/>
      <c r="M600" s="2197"/>
      <c r="N600" s="2197"/>
      <c r="O600" s="2197"/>
      <c r="P600" s="2197"/>
      <c r="Q600" s="2198"/>
    </row>
    <row r="601" spans="1:17" ht="30" x14ac:dyDescent="0.25">
      <c r="A601" s="10"/>
      <c r="B601" s="525"/>
      <c r="C601" s="535" t="s">
        <v>5</v>
      </c>
      <c r="D601" s="535"/>
      <c r="E601" s="521" t="s">
        <v>489</v>
      </c>
      <c r="F601" s="596">
        <v>9195.2000000000007</v>
      </c>
      <c r="G601" s="596">
        <v>5094.5</v>
      </c>
      <c r="H601" s="596">
        <v>7561.1</v>
      </c>
      <c r="I601" s="596">
        <v>7661.1</v>
      </c>
      <c r="J601" s="596">
        <v>7761.1</v>
      </c>
      <c r="K601" s="565" t="s">
        <v>875</v>
      </c>
      <c r="L601" s="33" t="s">
        <v>14</v>
      </c>
      <c r="M601" s="33">
        <v>100</v>
      </c>
      <c r="N601" s="33">
        <v>112.2</v>
      </c>
      <c r="O601" s="33">
        <v>106.1</v>
      </c>
      <c r="P601" s="38">
        <v>107.1</v>
      </c>
      <c r="Q601" s="33">
        <v>110</v>
      </c>
    </row>
    <row r="602" spans="1:17" ht="75" x14ac:dyDescent="0.25">
      <c r="A602" s="10"/>
      <c r="B602" s="524"/>
      <c r="C602" s="574" t="s">
        <v>49</v>
      </c>
      <c r="D602" s="574"/>
      <c r="E602" s="521" t="s">
        <v>490</v>
      </c>
      <c r="F602" s="517">
        <v>4500.3999999999996</v>
      </c>
      <c r="G602" s="517">
        <v>4500.3999999999996</v>
      </c>
      <c r="H602" s="517">
        <v>3739.2</v>
      </c>
      <c r="I602" s="517">
        <v>3839.2</v>
      </c>
      <c r="J602" s="517">
        <v>3939.2</v>
      </c>
      <c r="K602" s="565" t="s">
        <v>876</v>
      </c>
      <c r="L602" s="26" t="s">
        <v>14</v>
      </c>
      <c r="M602" s="37">
        <v>40</v>
      </c>
      <c r="N602" s="37">
        <v>40</v>
      </c>
      <c r="O602" s="37">
        <v>40</v>
      </c>
      <c r="P602" s="33">
        <v>40</v>
      </c>
      <c r="Q602" s="33">
        <v>40</v>
      </c>
    </row>
    <row r="603" spans="1:17" ht="45" x14ac:dyDescent="0.25">
      <c r="A603" s="10"/>
      <c r="B603" s="535"/>
      <c r="C603" s="535" t="s">
        <v>50</v>
      </c>
      <c r="D603" s="535"/>
      <c r="E603" s="521" t="s">
        <v>491</v>
      </c>
      <c r="F603" s="596">
        <v>8900.7999999999993</v>
      </c>
      <c r="G603" s="596">
        <v>8900.7999999999993</v>
      </c>
      <c r="H603" s="596">
        <v>7418</v>
      </c>
      <c r="I603" s="596">
        <v>7518</v>
      </c>
      <c r="J603" s="596">
        <v>7618</v>
      </c>
      <c r="K603" s="565" t="s">
        <v>877</v>
      </c>
      <c r="L603" s="26" t="s">
        <v>968</v>
      </c>
      <c r="M603" s="37">
        <v>15</v>
      </c>
      <c r="N603" s="37">
        <v>8</v>
      </c>
      <c r="O603" s="37">
        <v>8</v>
      </c>
      <c r="P603" s="37">
        <v>8</v>
      </c>
      <c r="Q603" s="33">
        <v>8</v>
      </c>
    </row>
    <row r="604" spans="1:17" ht="59.25" customHeight="1" x14ac:dyDescent="0.25">
      <c r="A604" s="10"/>
      <c r="B604" s="594"/>
      <c r="C604" s="594" t="s">
        <v>5</v>
      </c>
      <c r="D604" s="594"/>
      <c r="E604" s="593" t="s">
        <v>492</v>
      </c>
      <c r="F604" s="587">
        <v>1635</v>
      </c>
      <c r="G604" s="587">
        <v>2150.3000000000002</v>
      </c>
      <c r="H604" s="596">
        <v>2150.3000000000002</v>
      </c>
      <c r="I604" s="587">
        <v>2150.3000000000002</v>
      </c>
      <c r="J604" s="587">
        <v>2150.3000000000002</v>
      </c>
      <c r="K604" s="589" t="s">
        <v>1302</v>
      </c>
      <c r="L604" s="540" t="s">
        <v>968</v>
      </c>
      <c r="M604" s="40">
        <v>3</v>
      </c>
      <c r="N604" s="40">
        <v>3</v>
      </c>
      <c r="O604" s="40">
        <v>3</v>
      </c>
      <c r="P604" s="37">
        <v>3</v>
      </c>
      <c r="Q604" s="33">
        <v>3</v>
      </c>
    </row>
    <row r="605" spans="1:17" ht="30" customHeight="1" x14ac:dyDescent="0.25">
      <c r="A605" s="10"/>
      <c r="B605" s="1840"/>
      <c r="C605" s="2291" t="s">
        <v>3</v>
      </c>
      <c r="D605" s="2291"/>
      <c r="E605" s="1843" t="s">
        <v>493</v>
      </c>
      <c r="F605" s="2299">
        <v>19665.5</v>
      </c>
      <c r="G605" s="2130">
        <v>17403</v>
      </c>
      <c r="H605" s="2123">
        <v>17403</v>
      </c>
      <c r="I605" s="2130">
        <v>16372</v>
      </c>
      <c r="J605" s="2130">
        <v>16372</v>
      </c>
      <c r="K605" s="589" t="s">
        <v>878</v>
      </c>
      <c r="L605" s="415" t="s">
        <v>968</v>
      </c>
      <c r="M605" s="415">
        <v>63</v>
      </c>
      <c r="N605" s="540" t="s">
        <v>58</v>
      </c>
      <c r="O605" s="540" t="s">
        <v>58</v>
      </c>
      <c r="P605" s="26" t="s">
        <v>58</v>
      </c>
      <c r="Q605" s="26" t="s">
        <v>58</v>
      </c>
    </row>
    <row r="606" spans="1:17" ht="45" x14ac:dyDescent="0.25">
      <c r="A606" s="10"/>
      <c r="B606" s="1847"/>
      <c r="C606" s="2292"/>
      <c r="D606" s="2292"/>
      <c r="E606" s="1843"/>
      <c r="F606" s="2299"/>
      <c r="G606" s="2132"/>
      <c r="H606" s="2125"/>
      <c r="I606" s="2132"/>
      <c r="J606" s="2132"/>
      <c r="K606" s="589" t="s">
        <v>1303</v>
      </c>
      <c r="L606" s="415" t="s">
        <v>968</v>
      </c>
      <c r="M606" s="415">
        <v>68</v>
      </c>
      <c r="N606" s="540" t="s">
        <v>59</v>
      </c>
      <c r="O606" s="540" t="s">
        <v>59</v>
      </c>
      <c r="P606" s="26" t="s">
        <v>59</v>
      </c>
      <c r="Q606" s="26" t="s">
        <v>59</v>
      </c>
    </row>
    <row r="607" spans="1:17" ht="60" x14ac:dyDescent="0.25">
      <c r="A607" s="10"/>
      <c r="B607" s="45"/>
      <c r="C607" s="655" t="s">
        <v>53</v>
      </c>
      <c r="D607" s="594"/>
      <c r="E607" s="589" t="s">
        <v>494</v>
      </c>
      <c r="F607" s="587">
        <v>15207.3</v>
      </c>
      <c r="G607" s="587">
        <v>9037.6</v>
      </c>
      <c r="H607" s="596">
        <v>9037.6</v>
      </c>
      <c r="I607" s="587">
        <v>9037.6</v>
      </c>
      <c r="J607" s="587">
        <v>9037.6</v>
      </c>
      <c r="K607" s="589" t="s">
        <v>879</v>
      </c>
      <c r="L607" s="540" t="s">
        <v>14</v>
      </c>
      <c r="M607" s="40">
        <v>15</v>
      </c>
      <c r="N607" s="40">
        <v>20</v>
      </c>
      <c r="O607" s="40">
        <v>30</v>
      </c>
      <c r="P607" s="33">
        <v>30</v>
      </c>
      <c r="Q607" s="33">
        <v>30</v>
      </c>
    </row>
    <row r="608" spans="1:17" ht="60" x14ac:dyDescent="0.25">
      <c r="A608" s="10"/>
      <c r="B608" s="2221"/>
      <c r="C608" s="2201" t="s">
        <v>54</v>
      </c>
      <c r="D608" s="2296"/>
      <c r="E608" s="1669" t="s">
        <v>495</v>
      </c>
      <c r="F608" s="2304">
        <v>26540.1</v>
      </c>
      <c r="G608" s="2130">
        <v>31524.3</v>
      </c>
      <c r="H608" s="2120">
        <f>26540.1+5500</f>
        <v>32040.1</v>
      </c>
      <c r="I608" s="2304">
        <v>30545.200000000001</v>
      </c>
      <c r="J608" s="2304">
        <v>30746</v>
      </c>
      <c r="K608" s="589" t="s">
        <v>1304</v>
      </c>
      <c r="L608" s="415" t="s">
        <v>14</v>
      </c>
      <c r="M608" s="46" t="s">
        <v>967</v>
      </c>
      <c r="N608" s="47" t="s">
        <v>967</v>
      </c>
      <c r="O608" s="47" t="s">
        <v>967</v>
      </c>
      <c r="P608" s="48" t="s">
        <v>967</v>
      </c>
      <c r="Q608" s="48" t="s">
        <v>967</v>
      </c>
    </row>
    <row r="609" spans="1:17" ht="45" x14ac:dyDescent="0.25">
      <c r="A609" s="10"/>
      <c r="B609" s="2222"/>
      <c r="C609" s="2202"/>
      <c r="D609" s="2297"/>
      <c r="E609" s="1669"/>
      <c r="F609" s="2305"/>
      <c r="G609" s="2131"/>
      <c r="H609" s="2121"/>
      <c r="I609" s="2305"/>
      <c r="J609" s="2305"/>
      <c r="K609" s="589" t="s">
        <v>880</v>
      </c>
      <c r="L609" s="41" t="s">
        <v>968</v>
      </c>
      <c r="M609" s="41" t="s">
        <v>60</v>
      </c>
      <c r="N609" s="41" t="s">
        <v>60</v>
      </c>
      <c r="O609" s="41">
        <v>17</v>
      </c>
      <c r="P609" s="33">
        <v>15</v>
      </c>
      <c r="Q609" s="33">
        <v>15</v>
      </c>
    </row>
    <row r="610" spans="1:17" ht="105" x14ac:dyDescent="0.25">
      <c r="A610" s="10"/>
      <c r="B610" s="2222"/>
      <c r="C610" s="2202"/>
      <c r="D610" s="2297"/>
      <c r="E610" s="1669"/>
      <c r="F610" s="2305"/>
      <c r="G610" s="2131"/>
      <c r="H610" s="2121"/>
      <c r="I610" s="2305"/>
      <c r="J610" s="2305"/>
      <c r="K610" s="589" t="s">
        <v>1305</v>
      </c>
      <c r="L610" s="415" t="s">
        <v>14</v>
      </c>
      <c r="M610" s="441" t="s">
        <v>60</v>
      </c>
      <c r="N610" s="40" t="s">
        <v>60</v>
      </c>
      <c r="O610" s="40">
        <v>60</v>
      </c>
      <c r="P610" s="37">
        <v>65</v>
      </c>
      <c r="Q610" s="37">
        <v>70</v>
      </c>
    </row>
    <row r="611" spans="1:17" ht="30" x14ac:dyDescent="0.25">
      <c r="A611" s="10"/>
      <c r="B611" s="2222"/>
      <c r="C611" s="2202"/>
      <c r="D611" s="2297"/>
      <c r="E611" s="1669"/>
      <c r="F611" s="2305"/>
      <c r="G611" s="2131"/>
      <c r="H611" s="2121"/>
      <c r="I611" s="2305"/>
      <c r="J611" s="2305"/>
      <c r="K611" s="589" t="s">
        <v>1306</v>
      </c>
      <c r="L611" s="415" t="s">
        <v>14</v>
      </c>
      <c r="M611" s="49">
        <v>54</v>
      </c>
      <c r="N611" s="50">
        <v>56</v>
      </c>
      <c r="O611" s="50">
        <v>57</v>
      </c>
      <c r="P611" s="51">
        <v>58</v>
      </c>
      <c r="Q611" s="51">
        <v>59</v>
      </c>
    </row>
    <row r="612" spans="1:17" ht="74.25" customHeight="1" x14ac:dyDescent="0.25">
      <c r="A612" s="10"/>
      <c r="B612" s="2223"/>
      <c r="C612" s="2203"/>
      <c r="D612" s="2298"/>
      <c r="E612" s="1669"/>
      <c r="F612" s="2306"/>
      <c r="G612" s="2132"/>
      <c r="H612" s="2122"/>
      <c r="I612" s="2306"/>
      <c r="J612" s="2306"/>
      <c r="K612" s="589" t="s">
        <v>1307</v>
      </c>
      <c r="L612" s="415" t="s">
        <v>984</v>
      </c>
      <c r="M612" s="441" t="s">
        <v>60</v>
      </c>
      <c r="N612" s="40" t="s">
        <v>60</v>
      </c>
      <c r="O612" s="40">
        <v>2</v>
      </c>
      <c r="P612" s="37">
        <v>6</v>
      </c>
      <c r="Q612" s="37">
        <v>10</v>
      </c>
    </row>
    <row r="613" spans="1:17" ht="60" x14ac:dyDescent="0.25">
      <c r="A613" s="10"/>
      <c r="B613" s="2301"/>
      <c r="C613" s="1842" t="s">
        <v>86</v>
      </c>
      <c r="D613" s="1853"/>
      <c r="E613" s="1669" t="s">
        <v>1309</v>
      </c>
      <c r="F613" s="2299">
        <v>10711.3</v>
      </c>
      <c r="G613" s="2299">
        <v>16711.3</v>
      </c>
      <c r="H613" s="2303">
        <f>10711.3+6200</f>
        <v>16911.3</v>
      </c>
      <c r="I613" s="2299">
        <f>17496.2-9868.8</f>
        <v>7627.4000000000015</v>
      </c>
      <c r="J613" s="2299">
        <v>7996.2</v>
      </c>
      <c r="K613" s="589" t="s">
        <v>1308</v>
      </c>
      <c r="L613" s="540" t="s">
        <v>979</v>
      </c>
      <c r="M613" s="40">
        <v>92</v>
      </c>
      <c r="N613" s="40">
        <v>93</v>
      </c>
      <c r="O613" s="40">
        <v>93</v>
      </c>
      <c r="P613" s="33">
        <v>94</v>
      </c>
      <c r="Q613" s="33">
        <v>94</v>
      </c>
    </row>
    <row r="614" spans="1:17" ht="79.5" customHeight="1" x14ac:dyDescent="0.25">
      <c r="A614" s="10"/>
      <c r="B614" s="2301"/>
      <c r="C614" s="1842"/>
      <c r="D614" s="1853"/>
      <c r="E614" s="1669"/>
      <c r="F614" s="2299"/>
      <c r="G614" s="2299"/>
      <c r="H614" s="2303"/>
      <c r="I614" s="2299"/>
      <c r="J614" s="2299"/>
      <c r="K614" s="589" t="s">
        <v>1310</v>
      </c>
      <c r="L614" s="540" t="s">
        <v>979</v>
      </c>
      <c r="M614" s="40">
        <v>33</v>
      </c>
      <c r="N614" s="40">
        <v>35</v>
      </c>
      <c r="O614" s="40">
        <v>35</v>
      </c>
      <c r="P614" s="33">
        <v>36</v>
      </c>
      <c r="Q614" s="33">
        <v>36</v>
      </c>
    </row>
    <row r="615" spans="1:17" ht="85.5" x14ac:dyDescent="0.25">
      <c r="A615" s="10"/>
      <c r="B615" s="2383" t="s">
        <v>110</v>
      </c>
      <c r="C615" s="2209"/>
      <c r="D615" s="2300"/>
      <c r="E615" s="317" t="s">
        <v>496</v>
      </c>
      <c r="F615" s="2129">
        <f>F617+F620</f>
        <v>6089.9</v>
      </c>
      <c r="G615" s="2293">
        <f>G617+G620</f>
        <v>6089.9</v>
      </c>
      <c r="H615" s="2293">
        <f t="shared" ref="H615:J615" si="72">H617+H620</f>
        <v>2990</v>
      </c>
      <c r="I615" s="2293">
        <f t="shared" si="72"/>
        <v>3090</v>
      </c>
      <c r="J615" s="2293">
        <f t="shared" si="72"/>
        <v>3190</v>
      </c>
      <c r="K615" s="2192" t="s">
        <v>849</v>
      </c>
      <c r="L615" s="2193"/>
      <c r="M615" s="2194"/>
      <c r="N615" s="2194"/>
      <c r="O615" s="2194"/>
      <c r="P615" s="2194"/>
      <c r="Q615" s="2195"/>
    </row>
    <row r="616" spans="1:17" ht="75" x14ac:dyDescent="0.25">
      <c r="A616" s="10"/>
      <c r="B616" s="2384"/>
      <c r="C616" s="2209"/>
      <c r="D616" s="2300"/>
      <c r="E616" s="370" t="s">
        <v>497</v>
      </c>
      <c r="F616" s="2129"/>
      <c r="G616" s="2293"/>
      <c r="H616" s="2293"/>
      <c r="I616" s="2293"/>
      <c r="J616" s="2293"/>
      <c r="K616" s="2192"/>
      <c r="L616" s="2196"/>
      <c r="M616" s="2197"/>
      <c r="N616" s="2197"/>
      <c r="O616" s="2197"/>
      <c r="P616" s="2197"/>
      <c r="Q616" s="2198"/>
    </row>
    <row r="617" spans="1:17" ht="45" customHeight="1" x14ac:dyDescent="0.25">
      <c r="A617" s="10"/>
      <c r="B617" s="2241"/>
      <c r="C617" s="2119" t="s">
        <v>2</v>
      </c>
      <c r="D617" s="2209"/>
      <c r="E617" s="2220" t="s">
        <v>1178</v>
      </c>
      <c r="F617" s="2303">
        <v>4525.2</v>
      </c>
      <c r="G617" s="2303">
        <v>4525.2</v>
      </c>
      <c r="H617" s="2303">
        <v>2000</v>
      </c>
      <c r="I617" s="2303">
        <v>2000</v>
      </c>
      <c r="J617" s="2303">
        <v>2000</v>
      </c>
      <c r="K617" s="565" t="s">
        <v>881</v>
      </c>
      <c r="L617" s="26" t="s">
        <v>62</v>
      </c>
      <c r="M617" s="37" t="s">
        <v>60</v>
      </c>
      <c r="N617" s="26" t="s">
        <v>969</v>
      </c>
      <c r="O617" s="26" t="s">
        <v>969</v>
      </c>
      <c r="P617" s="26" t="s">
        <v>969</v>
      </c>
      <c r="Q617" s="26" t="s">
        <v>969</v>
      </c>
    </row>
    <row r="618" spans="1:17" ht="90" x14ac:dyDescent="0.25">
      <c r="A618" s="10"/>
      <c r="B618" s="2302"/>
      <c r="C618" s="2119"/>
      <c r="D618" s="2209"/>
      <c r="E618" s="2220"/>
      <c r="F618" s="2303"/>
      <c r="G618" s="2303"/>
      <c r="H618" s="2303"/>
      <c r="I618" s="2303"/>
      <c r="J618" s="2303"/>
      <c r="K618" s="565" t="s">
        <v>986</v>
      </c>
      <c r="L618" s="26" t="s">
        <v>968</v>
      </c>
      <c r="M618" s="37" t="s">
        <v>60</v>
      </c>
      <c r="N618" s="26">
        <v>4</v>
      </c>
      <c r="O618" s="26">
        <v>4</v>
      </c>
      <c r="P618" s="26">
        <v>4</v>
      </c>
      <c r="Q618" s="26">
        <v>4</v>
      </c>
    </row>
    <row r="619" spans="1:17" ht="60" x14ac:dyDescent="0.25">
      <c r="A619" s="10"/>
      <c r="B619" s="2242"/>
      <c r="C619" s="2119"/>
      <c r="D619" s="2209"/>
      <c r="E619" s="2220"/>
      <c r="F619" s="2303"/>
      <c r="G619" s="2303"/>
      <c r="H619" s="2303"/>
      <c r="I619" s="2303"/>
      <c r="J619" s="2303"/>
      <c r="K619" s="565" t="s">
        <v>882</v>
      </c>
      <c r="L619" s="26" t="s">
        <v>62</v>
      </c>
      <c r="M619" s="37" t="s">
        <v>60</v>
      </c>
      <c r="N619" s="37" t="s">
        <v>60</v>
      </c>
      <c r="O619" s="26" t="s">
        <v>969</v>
      </c>
      <c r="P619" s="26" t="s">
        <v>969</v>
      </c>
      <c r="Q619" s="26" t="s">
        <v>969</v>
      </c>
    </row>
    <row r="620" spans="1:17" ht="123" customHeight="1" x14ac:dyDescent="0.25">
      <c r="A620" s="10"/>
      <c r="B620" s="52"/>
      <c r="C620" s="533" t="s">
        <v>3</v>
      </c>
      <c r="D620" s="574"/>
      <c r="E620" s="565" t="s">
        <v>987</v>
      </c>
      <c r="F620" s="518">
        <v>1564.7</v>
      </c>
      <c r="G620" s="518">
        <v>1564.7</v>
      </c>
      <c r="H620" s="518">
        <v>990</v>
      </c>
      <c r="I620" s="518">
        <v>1090</v>
      </c>
      <c r="J620" s="518">
        <v>1190</v>
      </c>
      <c r="K620" s="565" t="s">
        <v>988</v>
      </c>
      <c r="L620" s="224" t="s">
        <v>968</v>
      </c>
      <c r="M620" s="322">
        <v>2</v>
      </c>
      <c r="N620" s="322">
        <v>2</v>
      </c>
      <c r="O620" s="322">
        <v>2</v>
      </c>
      <c r="P620" s="322">
        <v>2</v>
      </c>
      <c r="Q620" s="322">
        <v>2</v>
      </c>
    </row>
    <row r="621" spans="1:17" ht="74.25" customHeight="1" x14ac:dyDescent="0.25">
      <c r="A621" s="10"/>
      <c r="B621" s="2319">
        <v>59</v>
      </c>
      <c r="C621" s="2209"/>
      <c r="D621" s="2294"/>
      <c r="E621" s="506" t="s">
        <v>1311</v>
      </c>
      <c r="F621" s="2126">
        <f>F623</f>
        <v>2815.5</v>
      </c>
      <c r="G621" s="2126">
        <f t="shared" ref="G621:J621" si="73">G623</f>
        <v>3344.9</v>
      </c>
      <c r="H621" s="2126">
        <f t="shared" si="73"/>
        <v>3682.4</v>
      </c>
      <c r="I621" s="2126">
        <f t="shared" si="73"/>
        <v>3782.4</v>
      </c>
      <c r="J621" s="2126">
        <f t="shared" si="73"/>
        <v>3882.4</v>
      </c>
      <c r="K621" s="1800" t="s">
        <v>499</v>
      </c>
      <c r="L621" s="2193"/>
      <c r="M621" s="2194"/>
      <c r="N621" s="2194"/>
      <c r="O621" s="2194"/>
      <c r="P621" s="2194"/>
      <c r="Q621" s="2195"/>
    </row>
    <row r="622" spans="1:17" ht="75" customHeight="1" x14ac:dyDescent="0.25">
      <c r="A622" s="10"/>
      <c r="B622" s="2320"/>
      <c r="C622" s="2209"/>
      <c r="D622" s="2295"/>
      <c r="E622" s="593" t="s">
        <v>989</v>
      </c>
      <c r="F622" s="2125"/>
      <c r="G622" s="2125"/>
      <c r="H622" s="2125"/>
      <c r="I622" s="2125"/>
      <c r="J622" s="2125"/>
      <c r="K622" s="1800"/>
      <c r="L622" s="2196"/>
      <c r="M622" s="2197"/>
      <c r="N622" s="2197"/>
      <c r="O622" s="2197"/>
      <c r="P622" s="2197"/>
      <c r="Q622" s="2198"/>
    </row>
    <row r="623" spans="1:17" ht="45" x14ac:dyDescent="0.25">
      <c r="A623" s="10"/>
      <c r="B623" s="53"/>
      <c r="C623" s="592" t="s">
        <v>2</v>
      </c>
      <c r="D623" s="54"/>
      <c r="E623" s="521" t="s">
        <v>990</v>
      </c>
      <c r="F623" s="2130">
        <v>2815.5</v>
      </c>
      <c r="G623" s="2130">
        <v>3344.9</v>
      </c>
      <c r="H623" s="2130">
        <v>3682.4</v>
      </c>
      <c r="I623" s="2130">
        <v>3782.4</v>
      </c>
      <c r="J623" s="2130">
        <v>3882.4</v>
      </c>
      <c r="K623" s="589" t="s">
        <v>993</v>
      </c>
      <c r="L623" s="41" t="s">
        <v>968</v>
      </c>
      <c r="M623" s="540">
        <v>1</v>
      </c>
      <c r="N623" s="540">
        <v>1</v>
      </c>
      <c r="O623" s="540">
        <v>1</v>
      </c>
      <c r="P623" s="540">
        <v>1</v>
      </c>
      <c r="Q623" s="540">
        <v>1</v>
      </c>
    </row>
    <row r="624" spans="1:17" ht="75" x14ac:dyDescent="0.25">
      <c r="A624" s="10"/>
      <c r="B624" s="53"/>
      <c r="C624" s="594" t="s">
        <v>3</v>
      </c>
      <c r="D624" s="54"/>
      <c r="E624" s="521" t="s">
        <v>991</v>
      </c>
      <c r="F624" s="2131"/>
      <c r="G624" s="2131"/>
      <c r="H624" s="2131"/>
      <c r="I624" s="2131"/>
      <c r="J624" s="2131"/>
      <c r="K624" s="589" t="s">
        <v>994</v>
      </c>
      <c r="L624" s="41" t="s">
        <v>14</v>
      </c>
      <c r="M624" s="540">
        <v>40</v>
      </c>
      <c r="N624" s="540">
        <v>45</v>
      </c>
      <c r="O624" s="540">
        <v>50</v>
      </c>
      <c r="P624" s="41">
        <v>55</v>
      </c>
      <c r="Q624" s="41">
        <v>60</v>
      </c>
    </row>
    <row r="625" spans="1:17" ht="28.5" x14ac:dyDescent="0.25">
      <c r="A625" s="10"/>
      <c r="B625" s="591"/>
      <c r="C625" s="515"/>
      <c r="D625" s="585"/>
      <c r="E625" s="653" t="s">
        <v>378</v>
      </c>
      <c r="F625" s="59">
        <v>0</v>
      </c>
      <c r="G625" s="59">
        <f>G626</f>
        <v>106059.8</v>
      </c>
      <c r="H625" s="59">
        <f>H626</f>
        <v>365084.5</v>
      </c>
      <c r="I625" s="59">
        <v>0</v>
      </c>
      <c r="J625" s="59">
        <v>0</v>
      </c>
      <c r="K625" s="719"/>
      <c r="L625" s="438"/>
      <c r="M625" s="617"/>
      <c r="N625" s="617"/>
      <c r="O625" s="617"/>
      <c r="P625" s="79"/>
      <c r="Q625" s="41"/>
    </row>
    <row r="626" spans="1:17" ht="30" x14ac:dyDescent="0.25">
      <c r="A626" s="10"/>
      <c r="B626" s="591"/>
      <c r="C626" s="515" t="s">
        <v>2</v>
      </c>
      <c r="D626" s="585"/>
      <c r="E626" s="521" t="s">
        <v>992</v>
      </c>
      <c r="F626" s="60"/>
      <c r="G626" s="60">
        <v>106059.8</v>
      </c>
      <c r="H626" s="60">
        <v>365084.5</v>
      </c>
      <c r="I626" s="60"/>
      <c r="J626" s="60"/>
      <c r="K626" s="719"/>
      <c r="L626" s="438"/>
      <c r="M626" s="617"/>
      <c r="N626" s="617"/>
      <c r="O626" s="617"/>
      <c r="P626" s="79"/>
      <c r="Q626" s="41"/>
    </row>
    <row r="627" spans="1:17" ht="15" customHeight="1" x14ac:dyDescent="0.25">
      <c r="A627" s="2316" t="s">
        <v>498</v>
      </c>
      <c r="B627" s="2316"/>
      <c r="C627" s="2316"/>
      <c r="D627" s="2316"/>
      <c r="E627" s="2317"/>
      <c r="F627" s="55">
        <f>F621+F615+F599+F582+F569+F557</f>
        <v>253605.59999999998</v>
      </c>
      <c r="G627" s="55">
        <f>G621+G615+G599+G582+G569+G557+G625</f>
        <v>364479.89999999997</v>
      </c>
      <c r="H627" s="55">
        <f>H621+H615+H599+H582+H569+H557+H625</f>
        <v>638220.39999999991</v>
      </c>
      <c r="I627" s="55">
        <f>I621+I615+I599+I582+I569+I557</f>
        <v>259649.8</v>
      </c>
      <c r="J627" s="55">
        <f>J621+J615+J599+J582+J569+J557</f>
        <v>260632.5</v>
      </c>
      <c r="K627" s="857"/>
      <c r="L627" s="57"/>
      <c r="M627" s="58"/>
      <c r="N627" s="58"/>
      <c r="O627" s="58"/>
      <c r="P627" s="80"/>
      <c r="Q627" s="81"/>
    </row>
    <row r="628" spans="1:17" ht="15" customHeight="1" x14ac:dyDescent="0.25">
      <c r="A628" s="598"/>
      <c r="B628" s="2387" t="s">
        <v>995</v>
      </c>
      <c r="C628" s="2388"/>
      <c r="D628" s="2388"/>
      <c r="E628" s="2388"/>
      <c r="F628" s="2388"/>
      <c r="G628" s="2388"/>
      <c r="H628" s="2388"/>
      <c r="I628" s="2388"/>
      <c r="J628" s="2388"/>
      <c r="K628" s="2388"/>
      <c r="L628" s="2388"/>
      <c r="M628" s="2388"/>
      <c r="N628" s="2388"/>
      <c r="O628" s="2388"/>
      <c r="P628" s="2388"/>
      <c r="Q628" s="2388"/>
    </row>
    <row r="629" spans="1:17" ht="62.25" customHeight="1" x14ac:dyDescent="0.25">
      <c r="A629" s="598"/>
      <c r="B629" s="561" t="s">
        <v>102</v>
      </c>
      <c r="C629" s="661"/>
      <c r="D629" s="661"/>
      <c r="E629" s="280" t="s">
        <v>996</v>
      </c>
      <c r="F629" s="665"/>
      <c r="G629" s="665"/>
      <c r="H629" s="665">
        <f>H630+H631+H633+H634+H636</f>
        <v>32479.899999999998</v>
      </c>
      <c r="I629" s="665"/>
      <c r="J629" s="665"/>
      <c r="K629" s="582"/>
      <c r="L629" s="660"/>
      <c r="M629" s="662"/>
      <c r="N629" s="662"/>
      <c r="O629" s="662"/>
      <c r="P629" s="662"/>
      <c r="Q629" s="662"/>
    </row>
    <row r="630" spans="1:17" x14ac:dyDescent="0.25">
      <c r="A630" s="598"/>
      <c r="B630" s="661"/>
      <c r="C630" s="664" t="s">
        <v>2</v>
      </c>
      <c r="D630" s="661"/>
      <c r="E630" s="494" t="s">
        <v>205</v>
      </c>
      <c r="F630" s="665"/>
      <c r="G630" s="665"/>
      <c r="H630" s="587">
        <v>3634.6</v>
      </c>
      <c r="I630" s="665"/>
      <c r="J630" s="665"/>
      <c r="K630" s="582"/>
      <c r="L630" s="660"/>
      <c r="M630" s="662"/>
      <c r="N630" s="662"/>
      <c r="O630" s="662"/>
      <c r="P630" s="662"/>
      <c r="Q630" s="662"/>
    </row>
    <row r="631" spans="1:17" ht="15" customHeight="1" x14ac:dyDescent="0.25">
      <c r="A631" s="598"/>
      <c r="B631" s="2159"/>
      <c r="C631" s="1977" t="s">
        <v>3</v>
      </c>
      <c r="D631" s="2159"/>
      <c r="E631" s="2389" t="s">
        <v>997</v>
      </c>
      <c r="F631" s="2390"/>
      <c r="G631" s="2390"/>
      <c r="H631" s="2299">
        <v>2292.9</v>
      </c>
      <c r="I631" s="2390"/>
      <c r="J631" s="2390"/>
      <c r="K631" s="582"/>
      <c r="L631" s="660"/>
      <c r="M631" s="662"/>
      <c r="N631" s="662"/>
      <c r="O631" s="662"/>
      <c r="P631" s="662"/>
      <c r="Q631" s="662"/>
    </row>
    <row r="632" spans="1:17" ht="15" customHeight="1" x14ac:dyDescent="0.25">
      <c r="A632" s="598"/>
      <c r="B632" s="2159"/>
      <c r="C632" s="1977"/>
      <c r="D632" s="2159"/>
      <c r="E632" s="2389"/>
      <c r="F632" s="2390"/>
      <c r="G632" s="2390"/>
      <c r="H632" s="2299"/>
      <c r="I632" s="2390"/>
      <c r="J632" s="2390"/>
      <c r="K632" s="582"/>
      <c r="L632" s="660"/>
      <c r="M632" s="662"/>
      <c r="N632" s="662"/>
      <c r="O632" s="662"/>
      <c r="P632" s="662"/>
      <c r="Q632" s="662"/>
    </row>
    <row r="633" spans="1:17" ht="15" customHeight="1" x14ac:dyDescent="0.25">
      <c r="A633" s="598"/>
      <c r="B633" s="661"/>
      <c r="C633" s="664" t="s">
        <v>4</v>
      </c>
      <c r="D633" s="661"/>
      <c r="E633" s="666" t="s">
        <v>262</v>
      </c>
      <c r="F633" s="665"/>
      <c r="G633" s="665"/>
      <c r="H633" s="587">
        <v>2055.8000000000002</v>
      </c>
      <c r="I633" s="665"/>
      <c r="J633" s="665"/>
      <c r="K633" s="582"/>
      <c r="L633" s="660"/>
      <c r="M633" s="662"/>
      <c r="N633" s="662"/>
      <c r="O633" s="662"/>
      <c r="P633" s="662"/>
      <c r="Q633" s="662"/>
    </row>
    <row r="634" spans="1:17" ht="11.25" customHeight="1" x14ac:dyDescent="0.25">
      <c r="A634" s="598"/>
      <c r="B634" s="2159"/>
      <c r="C634" s="1977" t="s">
        <v>5</v>
      </c>
      <c r="D634" s="2159"/>
      <c r="E634" s="2389" t="s">
        <v>143</v>
      </c>
      <c r="F634" s="2390"/>
      <c r="G634" s="2390"/>
      <c r="H634" s="2130">
        <f>1593.5+240.5</f>
        <v>1834</v>
      </c>
      <c r="I634" s="2390"/>
      <c r="J634" s="2390"/>
      <c r="K634" s="582"/>
      <c r="L634" s="660"/>
      <c r="M634" s="662"/>
      <c r="N634" s="662"/>
      <c r="O634" s="662"/>
      <c r="P634" s="662"/>
      <c r="Q634" s="662"/>
    </row>
    <row r="635" spans="1:17" ht="6.75" customHeight="1" x14ac:dyDescent="0.25">
      <c r="A635" s="598"/>
      <c r="B635" s="2159"/>
      <c r="C635" s="1977"/>
      <c r="D635" s="2159"/>
      <c r="E635" s="2389"/>
      <c r="F635" s="2390"/>
      <c r="G635" s="2390"/>
      <c r="H635" s="2132"/>
      <c r="I635" s="2390"/>
      <c r="J635" s="2390"/>
      <c r="K635" s="582"/>
      <c r="L635" s="660"/>
      <c r="M635" s="662"/>
      <c r="N635" s="662"/>
      <c r="O635" s="662"/>
      <c r="P635" s="662"/>
      <c r="Q635" s="662"/>
    </row>
    <row r="636" spans="1:17" ht="15" customHeight="1" x14ac:dyDescent="0.25">
      <c r="A636" s="598"/>
      <c r="B636" s="661"/>
      <c r="C636" s="664" t="s">
        <v>50</v>
      </c>
      <c r="D636" s="661"/>
      <c r="E636" s="666" t="s">
        <v>998</v>
      </c>
      <c r="F636" s="665"/>
      <c r="G636" s="665"/>
      <c r="H636" s="587">
        <v>22662.6</v>
      </c>
      <c r="I636" s="665"/>
      <c r="J636" s="665"/>
      <c r="K636" s="582"/>
      <c r="L636" s="660"/>
      <c r="M636" s="662"/>
      <c r="N636" s="662"/>
      <c r="O636" s="662"/>
      <c r="P636" s="662"/>
      <c r="Q636" s="662"/>
    </row>
    <row r="637" spans="1:17" ht="42.75" x14ac:dyDescent="0.25">
      <c r="A637" s="598"/>
      <c r="B637" s="661" t="s">
        <v>91</v>
      </c>
      <c r="C637" s="664"/>
      <c r="D637" s="661"/>
      <c r="E637" s="667" t="s">
        <v>999</v>
      </c>
      <c r="F637" s="668"/>
      <c r="G637" s="669"/>
      <c r="H637" s="669">
        <f>H638+H639</f>
        <v>33533</v>
      </c>
      <c r="I637" s="665"/>
      <c r="J637" s="665"/>
      <c r="K637" s="582"/>
      <c r="L637" s="660"/>
      <c r="M637" s="662"/>
      <c r="N637" s="662"/>
      <c r="O637" s="662"/>
      <c r="P637" s="662"/>
      <c r="Q637" s="662"/>
    </row>
    <row r="638" spans="1:17" ht="60" x14ac:dyDescent="0.25">
      <c r="A638" s="598"/>
      <c r="B638" s="661"/>
      <c r="C638" s="664" t="s">
        <v>2</v>
      </c>
      <c r="D638" s="661"/>
      <c r="E638" s="451" t="s">
        <v>1000</v>
      </c>
      <c r="F638" s="459"/>
      <c r="G638" s="665"/>
      <c r="H638" s="459">
        <f>14250.1+2927.2</f>
        <v>17177.3</v>
      </c>
      <c r="I638" s="665"/>
      <c r="J638" s="665"/>
      <c r="K638" s="582"/>
      <c r="L638" s="660"/>
      <c r="M638" s="662"/>
      <c r="N638" s="662"/>
      <c r="O638" s="662"/>
      <c r="P638" s="662"/>
      <c r="Q638" s="662"/>
    </row>
    <row r="639" spans="1:17" ht="30" x14ac:dyDescent="0.25">
      <c r="A639" s="598"/>
      <c r="B639" s="661"/>
      <c r="C639" s="664" t="s">
        <v>3</v>
      </c>
      <c r="D639" s="661"/>
      <c r="E639" s="451" t="s">
        <v>1001</v>
      </c>
      <c r="F639" s="459"/>
      <c r="G639" s="665"/>
      <c r="H639" s="459">
        <f>13862.1+2493.6</f>
        <v>16355.7</v>
      </c>
      <c r="I639" s="665"/>
      <c r="J639" s="665"/>
      <c r="K639" s="582"/>
      <c r="L639" s="660"/>
      <c r="M639" s="662"/>
      <c r="N639" s="662"/>
      <c r="O639" s="662"/>
      <c r="P639" s="662"/>
      <c r="Q639" s="662"/>
    </row>
    <row r="640" spans="1:17" ht="28.5" x14ac:dyDescent="0.25">
      <c r="A640" s="598"/>
      <c r="B640" s="661" t="s">
        <v>98</v>
      </c>
      <c r="C640" s="664"/>
      <c r="D640" s="661"/>
      <c r="E640" s="667" t="s">
        <v>1002</v>
      </c>
      <c r="F640" s="670"/>
      <c r="G640" s="665"/>
      <c r="H640" s="665">
        <f>H641</f>
        <v>58735.3</v>
      </c>
      <c r="I640" s="665"/>
      <c r="J640" s="665"/>
      <c r="K640" s="582"/>
      <c r="L640" s="660"/>
      <c r="M640" s="662"/>
      <c r="N640" s="662"/>
      <c r="O640" s="662"/>
      <c r="P640" s="662"/>
      <c r="Q640" s="662"/>
    </row>
    <row r="641" spans="1:17" ht="60" x14ac:dyDescent="0.25">
      <c r="A641" s="598"/>
      <c r="B641" s="661"/>
      <c r="C641" s="664" t="s">
        <v>2</v>
      </c>
      <c r="D641" s="661"/>
      <c r="E641" s="671" t="s">
        <v>1003</v>
      </c>
      <c r="F641" s="670"/>
      <c r="G641" s="665"/>
      <c r="H641" s="459">
        <v>58735.3</v>
      </c>
      <c r="I641" s="665"/>
      <c r="J641" s="665"/>
      <c r="K641" s="582"/>
      <c r="L641" s="660"/>
      <c r="M641" s="662"/>
      <c r="N641" s="662"/>
      <c r="O641" s="662"/>
      <c r="P641" s="662"/>
      <c r="Q641" s="662"/>
    </row>
    <row r="642" spans="1:17" ht="28.5" customHeight="1" x14ac:dyDescent="0.25">
      <c r="A642" s="598"/>
      <c r="B642" s="661" t="s">
        <v>101</v>
      </c>
      <c r="C642" s="664"/>
      <c r="D642" s="661"/>
      <c r="E642" s="672" t="s">
        <v>1312</v>
      </c>
      <c r="F642" s="670"/>
      <c r="G642" s="665"/>
      <c r="H642" s="862">
        <f>H643+H644</f>
        <v>42577.3</v>
      </c>
      <c r="I642" s="665"/>
      <c r="J642" s="665"/>
      <c r="K642" s="582"/>
      <c r="L642" s="660"/>
      <c r="M642" s="662"/>
      <c r="N642" s="662"/>
      <c r="O642" s="662"/>
      <c r="P642" s="662"/>
      <c r="Q642" s="662"/>
    </row>
    <row r="643" spans="1:17" ht="45" x14ac:dyDescent="0.25">
      <c r="A643" s="598"/>
      <c r="B643" s="661"/>
      <c r="C643" s="664" t="s">
        <v>2</v>
      </c>
      <c r="D643" s="661"/>
      <c r="E643" s="451" t="s">
        <v>1004</v>
      </c>
      <c r="F643" s="670"/>
      <c r="G643" s="665"/>
      <c r="H643" s="459">
        <v>24059.5</v>
      </c>
      <c r="I643" s="665"/>
      <c r="J643" s="665"/>
      <c r="K643" s="582"/>
      <c r="L643" s="660"/>
      <c r="M643" s="662"/>
      <c r="N643" s="662"/>
      <c r="O643" s="662"/>
      <c r="P643" s="662"/>
      <c r="Q643" s="662"/>
    </row>
    <row r="644" spans="1:17" ht="30" x14ac:dyDescent="0.25">
      <c r="A644" s="598"/>
      <c r="B644" s="661"/>
      <c r="C644" s="664" t="s">
        <v>3</v>
      </c>
      <c r="D644" s="661"/>
      <c r="E644" s="451" t="s">
        <v>1005</v>
      </c>
      <c r="F644" s="670"/>
      <c r="G644" s="665"/>
      <c r="H644" s="459">
        <v>18517.8</v>
      </c>
      <c r="I644" s="665"/>
      <c r="J644" s="665"/>
      <c r="K644" s="582"/>
      <c r="L644" s="660"/>
      <c r="M644" s="662"/>
      <c r="N644" s="662"/>
      <c r="O644" s="662"/>
      <c r="P644" s="662"/>
      <c r="Q644" s="662"/>
    </row>
    <row r="645" spans="1:17" ht="15" customHeight="1" x14ac:dyDescent="0.25">
      <c r="A645" s="598"/>
      <c r="B645" s="2182" t="s">
        <v>1006</v>
      </c>
      <c r="C645" s="2182"/>
      <c r="D645" s="2182"/>
      <c r="E645" s="2182"/>
      <c r="F645" s="2183"/>
      <c r="G645" s="55"/>
      <c r="H645" s="55">
        <f>H629+H637+H640+H642</f>
        <v>167325.5</v>
      </c>
      <c r="I645" s="55"/>
      <c r="J645" s="55"/>
      <c r="K645" s="567"/>
      <c r="L645" s="673"/>
      <c r="M645" s="81"/>
      <c r="N645" s="81"/>
      <c r="O645" s="81"/>
      <c r="P645" s="81"/>
      <c r="Q645" s="81"/>
    </row>
    <row r="646" spans="1:17" ht="15.75" customHeight="1" thickBot="1" x14ac:dyDescent="0.3">
      <c r="A646" s="1573" t="s">
        <v>1007</v>
      </c>
      <c r="B646" s="1573"/>
      <c r="C646" s="1573"/>
      <c r="D646" s="1573"/>
      <c r="E646" s="1573"/>
      <c r="F646" s="1573"/>
      <c r="G646" s="1573"/>
      <c r="H646" s="1573"/>
      <c r="I646" s="1573"/>
      <c r="J646" s="1573"/>
      <c r="K646" s="1573"/>
      <c r="L646" s="1573"/>
      <c r="M646" s="1573"/>
      <c r="N646" s="1573"/>
      <c r="O646" s="1573"/>
      <c r="P646" s="1573"/>
      <c r="Q646" s="1573"/>
    </row>
    <row r="647" spans="1:17" ht="60" x14ac:dyDescent="0.25">
      <c r="B647" s="674">
        <v>1</v>
      </c>
      <c r="C647" s="213"/>
      <c r="D647" s="214"/>
      <c r="E647" s="582" t="s">
        <v>1008</v>
      </c>
      <c r="F647" s="227">
        <f>F648+F649</f>
        <v>108791</v>
      </c>
      <c r="G647" s="227">
        <f>G648+G649</f>
        <v>114791</v>
      </c>
      <c r="H647" s="227">
        <f>H648+H649</f>
        <v>97720.1</v>
      </c>
      <c r="I647" s="227">
        <f>I648+I649</f>
        <v>118194.8</v>
      </c>
      <c r="J647" s="227">
        <f>J648+J649</f>
        <v>118194.8</v>
      </c>
      <c r="K647" s="589" t="s">
        <v>1009</v>
      </c>
      <c r="L647" s="215" t="s">
        <v>14</v>
      </c>
      <c r="M647" s="215"/>
      <c r="N647" s="215"/>
      <c r="O647" s="215"/>
      <c r="P647" s="215"/>
      <c r="Q647" s="215"/>
    </row>
    <row r="648" spans="1:17" ht="60" x14ac:dyDescent="0.25">
      <c r="B648" s="675"/>
      <c r="C648" s="676">
        <v>1</v>
      </c>
      <c r="D648" s="213"/>
      <c r="E648" s="527" t="s">
        <v>1010</v>
      </c>
      <c r="F648" s="226">
        <v>53500</v>
      </c>
      <c r="G648" s="226">
        <v>56500</v>
      </c>
      <c r="H648" s="226">
        <v>50307.1</v>
      </c>
      <c r="I648" s="226">
        <v>56500</v>
      </c>
      <c r="J648" s="226">
        <v>56500</v>
      </c>
      <c r="K648" s="589" t="s">
        <v>1011</v>
      </c>
      <c r="L648" s="215" t="s">
        <v>14</v>
      </c>
      <c r="M648" s="210">
        <v>100</v>
      </c>
      <c r="N648" s="210">
        <v>100</v>
      </c>
      <c r="O648" s="210">
        <v>100</v>
      </c>
      <c r="P648" s="210">
        <v>100</v>
      </c>
      <c r="Q648" s="210">
        <v>100</v>
      </c>
    </row>
    <row r="649" spans="1:17" ht="45" x14ac:dyDescent="0.25">
      <c r="B649" s="675"/>
      <c r="C649" s="677">
        <v>6</v>
      </c>
      <c r="D649" s="213"/>
      <c r="E649" s="527" t="s">
        <v>1012</v>
      </c>
      <c r="F649" s="226">
        <v>55291</v>
      </c>
      <c r="G649" s="226">
        <v>58291</v>
      </c>
      <c r="H649" s="226">
        <v>47413</v>
      </c>
      <c r="I649" s="226">
        <f>58291+3403.8</f>
        <v>61694.8</v>
      </c>
      <c r="J649" s="226">
        <f>58291+3403.8</f>
        <v>61694.8</v>
      </c>
      <c r="K649" s="589" t="s">
        <v>1013</v>
      </c>
      <c r="L649" s="210" t="s">
        <v>14</v>
      </c>
      <c r="M649" s="210">
        <v>60</v>
      </c>
      <c r="N649" s="210">
        <v>70</v>
      </c>
      <c r="O649" s="210">
        <v>80</v>
      </c>
      <c r="P649" s="210">
        <v>90</v>
      </c>
      <c r="Q649" s="210">
        <v>100</v>
      </c>
    </row>
    <row r="650" spans="1:17" ht="104.25" x14ac:dyDescent="0.25">
      <c r="B650" s="675">
        <v>2</v>
      </c>
      <c r="C650" s="677"/>
      <c r="D650" s="213"/>
      <c r="E650" s="678" t="s">
        <v>1313</v>
      </c>
      <c r="F650" s="221">
        <f>F651+F652+F653+F654</f>
        <v>851206.30000000016</v>
      </c>
      <c r="G650" s="221">
        <f>G651+G652+G653</f>
        <v>1027568.7000000001</v>
      </c>
      <c r="H650" s="221">
        <f>H651+H652+H653+H654</f>
        <v>1054903.6000000001</v>
      </c>
      <c r="I650" s="221">
        <f>I651+I652+I653</f>
        <v>987456.7</v>
      </c>
      <c r="J650" s="221">
        <f>J651+J652+J653</f>
        <v>991829.89999999991</v>
      </c>
      <c r="K650" s="679" t="s">
        <v>1014</v>
      </c>
      <c r="L650" s="210" t="s">
        <v>14</v>
      </c>
      <c r="M650" s="210">
        <v>60</v>
      </c>
      <c r="N650" s="210">
        <v>70</v>
      </c>
      <c r="O650" s="210">
        <v>80</v>
      </c>
      <c r="P650" s="210">
        <v>90</v>
      </c>
      <c r="Q650" s="210">
        <v>100</v>
      </c>
    </row>
    <row r="651" spans="1:17" ht="30" x14ac:dyDescent="0.25">
      <c r="B651" s="675"/>
      <c r="C651" s="677">
        <v>1</v>
      </c>
      <c r="D651" s="213"/>
      <c r="E651" s="680" t="s">
        <v>1015</v>
      </c>
      <c r="F651" s="226">
        <f>154014.1+348019.2+54222.8</f>
        <v>556256.10000000009</v>
      </c>
      <c r="G651" s="226">
        <f>156040.1+355019.2+170041.1-50011.1+47764.6</f>
        <v>678853.9</v>
      </c>
      <c r="H651" s="380">
        <f>615535.5+38927</f>
        <v>654462.5</v>
      </c>
      <c r="I651" s="226">
        <f>155014.1+262202.4+170041.1+40948</f>
        <v>628205.6</v>
      </c>
      <c r="J651" s="226">
        <f>155014.1+264454.6+170041.1+43069</f>
        <v>632578.79999999993</v>
      </c>
      <c r="K651" s="589" t="s">
        <v>1016</v>
      </c>
      <c r="L651" s="210" t="s">
        <v>14</v>
      </c>
      <c r="M651" s="210">
        <v>80</v>
      </c>
      <c r="N651" s="210">
        <v>70</v>
      </c>
      <c r="O651" s="210">
        <v>60</v>
      </c>
      <c r="P651" s="210">
        <v>50</v>
      </c>
      <c r="Q651" s="210">
        <v>40</v>
      </c>
    </row>
    <row r="652" spans="1:17" ht="30" x14ac:dyDescent="0.25">
      <c r="B652" s="675"/>
      <c r="C652" s="677">
        <v>2</v>
      </c>
      <c r="D652" s="213"/>
      <c r="E652" s="526" t="s">
        <v>1017</v>
      </c>
      <c r="F652" s="226">
        <v>86199.3</v>
      </c>
      <c r="G652" s="226">
        <f>88199.3+47764.6</f>
        <v>135963.9</v>
      </c>
      <c r="H652" s="210">
        <v>135299.6</v>
      </c>
      <c r="I652" s="226">
        <f>88199.3+3200+47764.6</f>
        <v>139163.9</v>
      </c>
      <c r="J652" s="226">
        <f>88199.3+3200+47764.6</f>
        <v>139163.9</v>
      </c>
      <c r="K652" s="589" t="s">
        <v>1018</v>
      </c>
      <c r="L652" s="210" t="s">
        <v>14</v>
      </c>
      <c r="M652" s="210">
        <v>40</v>
      </c>
      <c r="N652" s="210">
        <v>50</v>
      </c>
      <c r="O652" s="210">
        <v>60</v>
      </c>
      <c r="P652" s="210">
        <v>70</v>
      </c>
      <c r="Q652" s="210">
        <v>80</v>
      </c>
    </row>
    <row r="653" spans="1:17" ht="30" x14ac:dyDescent="0.25">
      <c r="B653" s="675"/>
      <c r="C653" s="681">
        <v>3</v>
      </c>
      <c r="D653" s="213"/>
      <c r="E653" s="526" t="s">
        <v>1019</v>
      </c>
      <c r="F653" s="226">
        <v>208750.9</v>
      </c>
      <c r="G653" s="226">
        <v>212750.9</v>
      </c>
      <c r="H653" s="380">
        <f>254064.2+11077.3</f>
        <v>265141.5</v>
      </c>
      <c r="I653" s="226">
        <f>212750.9+4240.1+3096.2</f>
        <v>220087.2</v>
      </c>
      <c r="J653" s="226">
        <f>212750.9+4240.1+3096.2</f>
        <v>220087.2</v>
      </c>
      <c r="K653" s="589" t="s">
        <v>1020</v>
      </c>
      <c r="L653" s="210" t="s">
        <v>14</v>
      </c>
      <c r="M653" s="210">
        <v>50</v>
      </c>
      <c r="N653" s="210">
        <v>60</v>
      </c>
      <c r="O653" s="210">
        <v>70</v>
      </c>
      <c r="P653" s="210">
        <v>80</v>
      </c>
      <c r="Q653" s="210">
        <v>90</v>
      </c>
    </row>
    <row r="654" spans="1:17" hidden="1" x14ac:dyDescent="0.25">
      <c r="B654" s="675"/>
      <c r="C654" s="676"/>
      <c r="D654" s="216"/>
      <c r="E654" s="526"/>
      <c r="F654" s="226"/>
      <c r="G654" s="226"/>
      <c r="H654" s="226"/>
      <c r="I654" s="226"/>
      <c r="J654" s="226"/>
      <c r="K654" s="526"/>
      <c r="L654" s="210"/>
      <c r="M654" s="210"/>
      <c r="N654" s="210"/>
      <c r="O654" s="210"/>
      <c r="P654" s="210"/>
      <c r="Q654" s="210"/>
    </row>
    <row r="655" spans="1:17" ht="73.5" x14ac:dyDescent="0.25">
      <c r="B655" s="217" t="s">
        <v>98</v>
      </c>
      <c r="C655" s="218"/>
      <c r="D655" s="218"/>
      <c r="E655" s="682" t="s">
        <v>1021</v>
      </c>
      <c r="F655" s="221">
        <f>SUM(F656:F658)</f>
        <v>84680.799999999988</v>
      </c>
      <c r="G655" s="221">
        <f>SUM(G656:G658)</f>
        <v>85952.799999999988</v>
      </c>
      <c r="H655" s="221">
        <f>SUM(H656:H658)</f>
        <v>85862.900000000009</v>
      </c>
      <c r="I655" s="221">
        <f>SUM(I656:I658)</f>
        <v>86192.799999999988</v>
      </c>
      <c r="J655" s="221">
        <f>SUM(J656:J658)</f>
        <v>86192.799999999988</v>
      </c>
      <c r="K655" s="682" t="s">
        <v>1314</v>
      </c>
      <c r="L655" s="210" t="s">
        <v>14</v>
      </c>
      <c r="M655" s="209"/>
      <c r="N655" s="219"/>
      <c r="O655" s="219"/>
      <c r="P655" s="219"/>
      <c r="Q655" s="219"/>
    </row>
    <row r="656" spans="1:17" ht="30" x14ac:dyDescent="0.25">
      <c r="B656" s="217"/>
      <c r="C656" s="218" t="s">
        <v>2</v>
      </c>
      <c r="D656" s="218"/>
      <c r="E656" s="589" t="s">
        <v>1022</v>
      </c>
      <c r="F656" s="229">
        <f>60841+1203.5</f>
        <v>62044.5</v>
      </c>
      <c r="G656" s="226">
        <f>61341+1026</f>
        <v>62367</v>
      </c>
      <c r="H656" s="226">
        <f>60886+240</f>
        <v>61126</v>
      </c>
      <c r="I656" s="226">
        <f>61341+1026+240</f>
        <v>62607</v>
      </c>
      <c r="J656" s="226">
        <f>61341+1026+240</f>
        <v>62607</v>
      </c>
      <c r="K656" s="589" t="s">
        <v>1023</v>
      </c>
      <c r="L656" s="210" t="s">
        <v>14</v>
      </c>
      <c r="M656" s="210">
        <v>60</v>
      </c>
      <c r="N656" s="683">
        <v>70</v>
      </c>
      <c r="O656" s="683">
        <v>80</v>
      </c>
      <c r="P656" s="683">
        <v>90</v>
      </c>
      <c r="Q656" s="683">
        <v>100</v>
      </c>
    </row>
    <row r="657" spans="1:17" ht="30" x14ac:dyDescent="0.25">
      <c r="B657" s="217"/>
      <c r="C657" s="218" t="s">
        <v>3</v>
      </c>
      <c r="D657" s="218"/>
      <c r="E657" s="565" t="s">
        <v>1024</v>
      </c>
      <c r="F657" s="229">
        <v>19006.400000000001</v>
      </c>
      <c r="G657" s="226">
        <v>19006.400000000001</v>
      </c>
      <c r="H657" s="226">
        <v>20670.099999999999</v>
      </c>
      <c r="I657" s="226">
        <v>19006.400000000001</v>
      </c>
      <c r="J657" s="226">
        <v>19006.400000000001</v>
      </c>
      <c r="K657" s="589" t="s">
        <v>1025</v>
      </c>
      <c r="L657" s="210" t="s">
        <v>14</v>
      </c>
      <c r="M657" s="210">
        <v>50</v>
      </c>
      <c r="N657" s="210">
        <v>60</v>
      </c>
      <c r="O657" s="210">
        <v>70</v>
      </c>
      <c r="P657" s="210">
        <v>80</v>
      </c>
      <c r="Q657" s="210">
        <v>90</v>
      </c>
    </row>
    <row r="658" spans="1:17" ht="45" x14ac:dyDescent="0.25">
      <c r="B658" s="217"/>
      <c r="C658" s="218" t="s">
        <v>4</v>
      </c>
      <c r="D658" s="218"/>
      <c r="E658" s="589" t="s">
        <v>1026</v>
      </c>
      <c r="F658" s="229">
        <v>3629.9</v>
      </c>
      <c r="G658" s="226">
        <f>3829.9+749.5</f>
        <v>4579.3999999999996</v>
      </c>
      <c r="H658" s="226">
        <v>4066.8</v>
      </c>
      <c r="I658" s="226">
        <f>3829.9+749.5</f>
        <v>4579.3999999999996</v>
      </c>
      <c r="J658" s="226">
        <f>3829.9+749.5</f>
        <v>4579.3999999999996</v>
      </c>
      <c r="K658" s="589" t="s">
        <v>1027</v>
      </c>
      <c r="L658" s="210" t="s">
        <v>14</v>
      </c>
      <c r="M658" s="210">
        <v>30</v>
      </c>
      <c r="N658" s="683">
        <v>40</v>
      </c>
      <c r="O658" s="683">
        <v>50</v>
      </c>
      <c r="P658" s="683">
        <v>60</v>
      </c>
      <c r="Q658" s="683">
        <v>70</v>
      </c>
    </row>
    <row r="659" spans="1:17" ht="45" x14ac:dyDescent="0.25">
      <c r="B659" s="217" t="s">
        <v>101</v>
      </c>
      <c r="C659" s="218"/>
      <c r="D659" s="218"/>
      <c r="E659" s="682" t="s">
        <v>1315</v>
      </c>
      <c r="F659" s="221">
        <f>SUM(F660:F662)</f>
        <v>6006.5999999999995</v>
      </c>
      <c r="G659" s="221">
        <f>SUM(G660:G662)</f>
        <v>6815.7999999999993</v>
      </c>
      <c r="H659" s="221">
        <f>SUM(H660:H662)</f>
        <v>6700.6</v>
      </c>
      <c r="I659" s="221">
        <f>SUM(I660:I662)</f>
        <v>5294.1</v>
      </c>
      <c r="J659" s="221">
        <f>SUM(J660:J662)</f>
        <v>5294.1</v>
      </c>
      <c r="K659" s="679" t="s">
        <v>1316</v>
      </c>
      <c r="L659" s="210" t="s">
        <v>14</v>
      </c>
      <c r="M659" s="209"/>
      <c r="N659" s="219"/>
      <c r="O659" s="219"/>
      <c r="P659" s="219"/>
      <c r="Q659" s="219"/>
    </row>
    <row r="660" spans="1:17" ht="30" x14ac:dyDescent="0.25">
      <c r="B660" s="684"/>
      <c r="C660" s="218" t="s">
        <v>2</v>
      </c>
      <c r="D660" s="218"/>
      <c r="E660" s="565" t="s">
        <v>1028</v>
      </c>
      <c r="F660" s="229">
        <f>1203.9+1800</f>
        <v>3003.9</v>
      </c>
      <c r="G660" s="226">
        <f>3550.6+2051.7</f>
        <v>5602.2999999999993</v>
      </c>
      <c r="H660" s="226">
        <f>5550+530</f>
        <v>6080</v>
      </c>
      <c r="I660" s="226">
        <f>3550.6+530</f>
        <v>4080.6</v>
      </c>
      <c r="J660" s="226">
        <f>3550.6+530</f>
        <v>4080.6</v>
      </c>
      <c r="K660" s="589" t="s">
        <v>1029</v>
      </c>
      <c r="L660" s="210" t="s">
        <v>14</v>
      </c>
      <c r="M660" s="210">
        <v>60</v>
      </c>
      <c r="N660" s="683">
        <v>70</v>
      </c>
      <c r="O660" s="683">
        <v>80</v>
      </c>
      <c r="P660" s="683">
        <v>90</v>
      </c>
      <c r="Q660" s="683">
        <v>100</v>
      </c>
    </row>
    <row r="661" spans="1:17" ht="30" x14ac:dyDescent="0.25">
      <c r="B661" s="684"/>
      <c r="C661" s="218" t="s">
        <v>3</v>
      </c>
      <c r="D661" s="218"/>
      <c r="E661" s="565" t="s">
        <v>1030</v>
      </c>
      <c r="F661" s="229">
        <v>1108.5</v>
      </c>
      <c r="G661" s="226">
        <f>592.9+26.3</f>
        <v>619.19999999999993</v>
      </c>
      <c r="H661" s="226">
        <v>620.6</v>
      </c>
      <c r="I661" s="226">
        <f>592.9+26.3</f>
        <v>619.19999999999993</v>
      </c>
      <c r="J661" s="226">
        <f>592.9+26.3</f>
        <v>619.19999999999993</v>
      </c>
      <c r="K661" s="589" t="s">
        <v>1031</v>
      </c>
      <c r="L661" s="210" t="s">
        <v>14</v>
      </c>
      <c r="M661" s="210">
        <v>50</v>
      </c>
      <c r="N661" s="683">
        <v>60</v>
      </c>
      <c r="O661" s="683">
        <v>70</v>
      </c>
      <c r="P661" s="683">
        <v>80</v>
      </c>
      <c r="Q661" s="683">
        <v>90</v>
      </c>
    </row>
    <row r="662" spans="1:17" ht="45" x14ac:dyDescent="0.25">
      <c r="B662" s="684"/>
      <c r="C662" s="218" t="s">
        <v>4</v>
      </c>
      <c r="D662" s="218"/>
      <c r="E662" s="565" t="s">
        <v>1032</v>
      </c>
      <c r="F662" s="229">
        <v>1894.2</v>
      </c>
      <c r="G662" s="229">
        <v>594.29999999999995</v>
      </c>
      <c r="H662" s="229"/>
      <c r="I662" s="229">
        <v>594.29999999999995</v>
      </c>
      <c r="J662" s="229">
        <v>594.29999999999995</v>
      </c>
      <c r="K662" s="589" t="s">
        <v>1033</v>
      </c>
      <c r="L662" s="210" t="s">
        <v>14</v>
      </c>
      <c r="M662" s="210">
        <v>40</v>
      </c>
      <c r="N662" s="683">
        <v>50</v>
      </c>
      <c r="O662" s="683">
        <v>60</v>
      </c>
      <c r="P662" s="683">
        <v>70</v>
      </c>
      <c r="Q662" s="683">
        <v>80</v>
      </c>
    </row>
    <row r="663" spans="1:17" x14ac:dyDescent="0.25">
      <c r="A663" s="2186" t="s">
        <v>1006</v>
      </c>
      <c r="B663" s="2186"/>
      <c r="C663" s="2186"/>
      <c r="D663" s="2186"/>
      <c r="E663" s="2186"/>
      <c r="F663" s="463">
        <f>F647+F650+F655+F659</f>
        <v>1050684.7000000002</v>
      </c>
      <c r="G663" s="463">
        <f>G647+G650+G655+G659</f>
        <v>1235128.3000000003</v>
      </c>
      <c r="H663" s="463">
        <f>H647+H650+H655+H659</f>
        <v>1245187.2000000002</v>
      </c>
      <c r="I663" s="463">
        <f>I647+I650+I655+I659</f>
        <v>1197138.4000000001</v>
      </c>
      <c r="J663" s="463">
        <f>J647+J650+J655+J659</f>
        <v>1201511.6000000001</v>
      </c>
      <c r="K663" s="7"/>
      <c r="L663" s="2391"/>
      <c r="M663" s="2391"/>
      <c r="N663" s="2391"/>
      <c r="O663" s="2391"/>
      <c r="P663" s="2391"/>
      <c r="Q663" s="2391"/>
    </row>
    <row r="664" spans="1:17" ht="30" customHeight="1" x14ac:dyDescent="0.25">
      <c r="A664" s="1892" t="s">
        <v>1034</v>
      </c>
      <c r="B664" s="1892"/>
      <c r="C664" s="1892"/>
      <c r="D664" s="1892"/>
      <c r="E664" s="1892"/>
      <c r="F664" s="1892"/>
      <c r="G664" s="1892"/>
      <c r="H664" s="1892"/>
      <c r="I664" s="1892"/>
      <c r="J664" s="1892"/>
      <c r="K664" s="1892"/>
      <c r="L664" s="1892"/>
      <c r="M664" s="1892"/>
      <c r="N664" s="1892"/>
      <c r="O664" s="1892"/>
      <c r="P664" s="1892"/>
      <c r="Q664" s="1892"/>
    </row>
    <row r="665" spans="1:17" ht="15.75" customHeight="1" thickBot="1" x14ac:dyDescent="0.3">
      <c r="A665" s="1573" t="s">
        <v>1035</v>
      </c>
      <c r="B665" s="1573"/>
      <c r="C665" s="1573"/>
      <c r="D665" s="1573"/>
      <c r="E665" s="1573"/>
      <c r="F665" s="1573"/>
      <c r="G665" s="1573"/>
      <c r="H665" s="1573"/>
      <c r="I665" s="1573"/>
      <c r="J665" s="1573"/>
      <c r="K665" s="1573"/>
      <c r="L665" s="1573"/>
      <c r="M665" s="1573"/>
      <c r="N665" s="1573"/>
      <c r="O665" s="1573"/>
      <c r="P665" s="1573"/>
      <c r="Q665" s="1573"/>
    </row>
    <row r="666" spans="1:17" ht="95.25" customHeight="1" x14ac:dyDescent="0.25">
      <c r="A666" s="579">
        <v>32</v>
      </c>
      <c r="B666" s="687">
        <v>1</v>
      </c>
      <c r="C666" s="213"/>
      <c r="D666" s="214"/>
      <c r="E666" s="589" t="s">
        <v>1318</v>
      </c>
      <c r="F666" s="688">
        <f>F667+F668+F669</f>
        <v>204463.6</v>
      </c>
      <c r="G666" s="688">
        <f>G667+G668+G669</f>
        <v>194296.8</v>
      </c>
      <c r="H666" s="688">
        <f>H667+H668+H669</f>
        <v>194296.8</v>
      </c>
      <c r="I666" s="689">
        <f>I667+I668+I669</f>
        <v>194466.2</v>
      </c>
      <c r="J666" s="689">
        <f>J667+J668+J669</f>
        <v>194845.3</v>
      </c>
      <c r="K666" s="582" t="s">
        <v>1317</v>
      </c>
      <c r="L666" s="215" t="s">
        <v>14</v>
      </c>
      <c r="M666" s="215"/>
      <c r="N666" s="215"/>
      <c r="O666" s="215"/>
      <c r="P666" s="215"/>
      <c r="Q666" s="215"/>
    </row>
    <row r="667" spans="1:17" ht="105" x14ac:dyDescent="0.25">
      <c r="A667" s="690"/>
      <c r="B667" s="675"/>
      <c r="C667" s="691">
        <v>1</v>
      </c>
      <c r="D667" s="213"/>
      <c r="E667" s="589" t="s">
        <v>1036</v>
      </c>
      <c r="F667" s="692">
        <v>98810.7</v>
      </c>
      <c r="G667" s="692">
        <v>89703.9</v>
      </c>
      <c r="H667" s="692">
        <v>86893.2</v>
      </c>
      <c r="I667" s="226">
        <v>85176.9</v>
      </c>
      <c r="J667" s="226">
        <v>90000</v>
      </c>
      <c r="K667" s="589" t="s">
        <v>1037</v>
      </c>
      <c r="L667" s="210" t="s">
        <v>15</v>
      </c>
      <c r="M667" s="693" t="s">
        <v>1038</v>
      </c>
      <c r="N667" s="693" t="s">
        <v>1039</v>
      </c>
      <c r="O667" s="693" t="s">
        <v>1040</v>
      </c>
      <c r="P667" s="693" t="s">
        <v>1041</v>
      </c>
      <c r="Q667" s="693" t="s">
        <v>1042</v>
      </c>
    </row>
    <row r="668" spans="1:17" ht="30" x14ac:dyDescent="0.25">
      <c r="A668" s="690"/>
      <c r="B668" s="675"/>
      <c r="C668" s="324">
        <v>2</v>
      </c>
      <c r="D668" s="213"/>
      <c r="E668" s="589" t="s">
        <v>1043</v>
      </c>
      <c r="F668" s="692">
        <v>59529</v>
      </c>
      <c r="G668" s="692">
        <v>58999</v>
      </c>
      <c r="H668" s="692">
        <v>60951.3</v>
      </c>
      <c r="I668" s="226">
        <v>62837.3</v>
      </c>
      <c r="J668" s="226">
        <v>58496.800000000003</v>
      </c>
      <c r="K668" s="589" t="s">
        <v>1044</v>
      </c>
      <c r="L668" s="210" t="s">
        <v>14</v>
      </c>
      <c r="M668" s="222">
        <v>17475</v>
      </c>
      <c r="N668" s="222">
        <v>12916</v>
      </c>
      <c r="O668" s="222">
        <v>16200</v>
      </c>
      <c r="P668" s="222">
        <v>16200</v>
      </c>
      <c r="Q668" s="222">
        <v>16200</v>
      </c>
    </row>
    <row r="669" spans="1:17" ht="60" x14ac:dyDescent="0.25">
      <c r="A669" s="690"/>
      <c r="B669" s="675"/>
      <c r="C669" s="694">
        <v>3</v>
      </c>
      <c r="D669" s="216"/>
      <c r="E669" s="589" t="s">
        <v>1045</v>
      </c>
      <c r="F669" s="695">
        <v>46123.9</v>
      </c>
      <c r="G669" s="695">
        <v>45593.9</v>
      </c>
      <c r="H669" s="695">
        <v>46452.3</v>
      </c>
      <c r="I669" s="229">
        <v>46452</v>
      </c>
      <c r="J669" s="229">
        <v>46348.5</v>
      </c>
      <c r="K669" s="589" t="s">
        <v>1046</v>
      </c>
      <c r="L669" s="211" t="s">
        <v>14</v>
      </c>
      <c r="M669" s="371">
        <v>13454</v>
      </c>
      <c r="N669" s="371">
        <v>17908</v>
      </c>
      <c r="O669" s="371">
        <v>16000</v>
      </c>
      <c r="P669" s="371">
        <v>16000</v>
      </c>
      <c r="Q669" s="222">
        <v>16000</v>
      </c>
    </row>
    <row r="670" spans="1:17" x14ac:dyDescent="0.25">
      <c r="A670" s="2186" t="s">
        <v>1006</v>
      </c>
      <c r="B670" s="2186"/>
      <c r="C670" s="2186"/>
      <c r="D670" s="2186"/>
      <c r="E670" s="2186"/>
      <c r="F670" s="463">
        <f>F666</f>
        <v>204463.6</v>
      </c>
      <c r="G670" s="463">
        <f>G666</f>
        <v>194296.8</v>
      </c>
      <c r="H670" s="463">
        <f>H666</f>
        <v>194296.8</v>
      </c>
      <c r="I670" s="463">
        <f>I666</f>
        <v>194466.2</v>
      </c>
      <c r="J670" s="463">
        <f>J666</f>
        <v>194845.3</v>
      </c>
      <c r="K670" s="858"/>
      <c r="L670" s="686"/>
      <c r="M670" s="696"/>
      <c r="N670" s="696"/>
      <c r="O670" s="654"/>
      <c r="P670" s="77"/>
      <c r="Q670" s="159"/>
    </row>
    <row r="671" spans="1:17" x14ac:dyDescent="0.25">
      <c r="A671" s="2099" t="s">
        <v>1047</v>
      </c>
      <c r="B671" s="2099"/>
      <c r="C671" s="2099"/>
      <c r="D671" s="2099"/>
      <c r="E671" s="2099"/>
      <c r="F671" s="2099"/>
      <c r="G671" s="2099"/>
      <c r="H671" s="2099"/>
      <c r="I671" s="2099"/>
      <c r="J671" s="2099"/>
      <c r="K671" s="2099"/>
      <c r="L671" s="2099"/>
      <c r="M671" s="2099"/>
      <c r="N671" s="2099"/>
      <c r="O671" s="2099"/>
      <c r="P671" s="2099"/>
      <c r="Q671" s="2099"/>
    </row>
    <row r="672" spans="1:17" ht="89.25" x14ac:dyDescent="0.25">
      <c r="A672" s="10"/>
      <c r="B672" s="701">
        <v>1</v>
      </c>
      <c r="C672" s="72"/>
      <c r="D672" s="72"/>
      <c r="E672" s="821" t="s">
        <v>1048</v>
      </c>
      <c r="F672" s="726">
        <f>F673+F679</f>
        <v>459791</v>
      </c>
      <c r="G672" s="726">
        <f>G673+G679</f>
        <v>479130</v>
      </c>
      <c r="H672" s="726">
        <f>H673+H679</f>
        <v>507121.7</v>
      </c>
      <c r="I672" s="726">
        <f>I673+I679</f>
        <v>474246.40000000002</v>
      </c>
      <c r="J672" s="726">
        <f>J673+J679</f>
        <v>492455.2</v>
      </c>
      <c r="K672" s="710" t="s">
        <v>1049</v>
      </c>
      <c r="L672" s="712" t="s">
        <v>14</v>
      </c>
      <c r="M672" s="698">
        <v>1.3</v>
      </c>
      <c r="N672" s="699">
        <v>1.3</v>
      </c>
      <c r="O672" s="700">
        <v>1.3</v>
      </c>
      <c r="P672" s="699">
        <v>1.3</v>
      </c>
      <c r="Q672" s="699">
        <v>1.3</v>
      </c>
    </row>
    <row r="673" spans="1:17" ht="15" customHeight="1" x14ac:dyDescent="0.25">
      <c r="A673" s="10"/>
      <c r="B673" s="2392"/>
      <c r="C673" s="2395">
        <v>25</v>
      </c>
      <c r="D673" s="2395"/>
      <c r="E673" s="2398" t="s">
        <v>1319</v>
      </c>
      <c r="F673" s="2130">
        <v>63969.8</v>
      </c>
      <c r="G673" s="2130">
        <f>63969.8+450+6809.2</f>
        <v>71229</v>
      </c>
      <c r="H673" s="2130">
        <f>49079.2</f>
        <v>49079.199999999997</v>
      </c>
      <c r="I673" s="2130">
        <v>73030.7</v>
      </c>
      <c r="J673" s="2130">
        <v>75799.7</v>
      </c>
      <c r="K673" s="589" t="s">
        <v>501</v>
      </c>
      <c r="L673" s="540" t="s">
        <v>15</v>
      </c>
      <c r="M673" s="698">
        <v>29.8</v>
      </c>
      <c r="N673" s="699" t="s">
        <v>1050</v>
      </c>
      <c r="O673" s="699" t="s">
        <v>1050</v>
      </c>
      <c r="P673" s="699" t="s">
        <v>1050</v>
      </c>
      <c r="Q673" s="699" t="s">
        <v>1050</v>
      </c>
    </row>
    <row r="674" spans="1:17" x14ac:dyDescent="0.25">
      <c r="A674" s="10"/>
      <c r="B674" s="2393"/>
      <c r="C674" s="2396"/>
      <c r="D674" s="2396"/>
      <c r="E674" s="2399"/>
      <c r="F674" s="2305">
        <v>4997.3</v>
      </c>
      <c r="G674" s="2305">
        <v>4997.3</v>
      </c>
      <c r="H674" s="2305"/>
      <c r="I674" s="2305"/>
      <c r="J674" s="2305"/>
      <c r="K674" s="589" t="s">
        <v>1051</v>
      </c>
      <c r="L674" s="540" t="s">
        <v>14</v>
      </c>
      <c r="M674" s="698">
        <v>70</v>
      </c>
      <c r="N674" s="699">
        <v>80</v>
      </c>
      <c r="O674" s="700">
        <v>80</v>
      </c>
      <c r="P674" s="699">
        <v>80</v>
      </c>
      <c r="Q674" s="699">
        <v>80</v>
      </c>
    </row>
    <row r="675" spans="1:17" ht="30" x14ac:dyDescent="0.25">
      <c r="A675" s="10"/>
      <c r="B675" s="2393"/>
      <c r="C675" s="2396"/>
      <c r="D675" s="2396"/>
      <c r="E675" s="2399"/>
      <c r="F675" s="2305">
        <v>3012.8</v>
      </c>
      <c r="G675" s="2305">
        <v>3012.8</v>
      </c>
      <c r="H675" s="2305"/>
      <c r="I675" s="2305"/>
      <c r="J675" s="2305"/>
      <c r="K675" s="589" t="s">
        <v>1052</v>
      </c>
      <c r="L675" s="540" t="s">
        <v>14</v>
      </c>
      <c r="M675" s="698">
        <v>56</v>
      </c>
      <c r="N675" s="699" t="s">
        <v>1050</v>
      </c>
      <c r="O675" s="699" t="s">
        <v>1050</v>
      </c>
      <c r="P675" s="699" t="s">
        <v>1050</v>
      </c>
      <c r="Q675" s="699" t="s">
        <v>1050</v>
      </c>
    </row>
    <row r="676" spans="1:17" ht="30" x14ac:dyDescent="0.25">
      <c r="A676" s="10"/>
      <c r="B676" s="2393"/>
      <c r="C676" s="2396"/>
      <c r="D676" s="2396"/>
      <c r="E676" s="2399"/>
      <c r="F676" s="2305">
        <v>2425.1999999999998</v>
      </c>
      <c r="G676" s="2305">
        <v>2425.1999999999998</v>
      </c>
      <c r="H676" s="2305"/>
      <c r="I676" s="2305"/>
      <c r="J676" s="2305"/>
      <c r="K676" s="589" t="s">
        <v>1053</v>
      </c>
      <c r="L676" s="540" t="s">
        <v>1054</v>
      </c>
      <c r="M676" s="698" t="s">
        <v>1055</v>
      </c>
      <c r="N676" s="699" t="s">
        <v>1050</v>
      </c>
      <c r="O676" s="699" t="s">
        <v>1050</v>
      </c>
      <c r="P676" s="699" t="s">
        <v>1050</v>
      </c>
      <c r="Q676" s="699" t="s">
        <v>1050</v>
      </c>
    </row>
    <row r="677" spans="1:17" ht="30" x14ac:dyDescent="0.25">
      <c r="A677" s="10"/>
      <c r="B677" s="2393"/>
      <c r="C677" s="2396"/>
      <c r="D677" s="2396"/>
      <c r="E677" s="2399"/>
      <c r="F677" s="2305">
        <v>2548.4</v>
      </c>
      <c r="G677" s="2305">
        <v>2548.4</v>
      </c>
      <c r="H677" s="2305"/>
      <c r="I677" s="2305"/>
      <c r="J677" s="2305"/>
      <c r="K677" s="589" t="s">
        <v>1056</v>
      </c>
      <c r="L677" s="540" t="s">
        <v>968</v>
      </c>
      <c r="M677" s="698">
        <v>128</v>
      </c>
      <c r="N677" s="699" t="s">
        <v>1050</v>
      </c>
      <c r="O677" s="699" t="s">
        <v>1050</v>
      </c>
      <c r="P677" s="699" t="s">
        <v>1050</v>
      </c>
      <c r="Q677" s="699" t="s">
        <v>1050</v>
      </c>
    </row>
    <row r="678" spans="1:17" ht="30" customHeight="1" x14ac:dyDescent="0.25">
      <c r="A678" s="10"/>
      <c r="B678" s="2394"/>
      <c r="C678" s="2397"/>
      <c r="D678" s="2397"/>
      <c r="E678" s="2400"/>
      <c r="F678" s="2305">
        <v>2974</v>
      </c>
      <c r="G678" s="2305">
        <v>2974</v>
      </c>
      <c r="H678" s="2305"/>
      <c r="I678" s="2305"/>
      <c r="J678" s="2305"/>
      <c r="K678" s="589" t="s">
        <v>1057</v>
      </c>
      <c r="L678" s="540" t="s">
        <v>14</v>
      </c>
      <c r="M678" s="698">
        <v>18</v>
      </c>
      <c r="N678" s="699" t="s">
        <v>1050</v>
      </c>
      <c r="O678" s="699" t="s">
        <v>1050</v>
      </c>
      <c r="P678" s="699" t="s">
        <v>1050</v>
      </c>
      <c r="Q678" s="699" t="s">
        <v>1050</v>
      </c>
    </row>
    <row r="679" spans="1:17" ht="45" x14ac:dyDescent="0.25">
      <c r="A679" s="10"/>
      <c r="B679" s="701"/>
      <c r="C679" s="702">
        <v>8</v>
      </c>
      <c r="D679" s="702"/>
      <c r="E679" s="589" t="s">
        <v>1058</v>
      </c>
      <c r="F679" s="586">
        <v>395821.2</v>
      </c>
      <c r="G679" s="586">
        <f>396382.9+8432.1+3086</f>
        <v>407901</v>
      </c>
      <c r="H679" s="586">
        <f>451954.3+6088.2</f>
        <v>458042.5</v>
      </c>
      <c r="I679" s="586">
        <v>401215.7</v>
      </c>
      <c r="J679" s="586">
        <v>416655.5</v>
      </c>
      <c r="K679" s="710" t="s">
        <v>1059</v>
      </c>
      <c r="L679" s="704" t="s">
        <v>14</v>
      </c>
      <c r="M679" s="698"/>
      <c r="N679" s="699" t="s">
        <v>1050</v>
      </c>
      <c r="O679" s="699" t="s">
        <v>1050</v>
      </c>
      <c r="P679" s="699" t="s">
        <v>1050</v>
      </c>
      <c r="Q679" s="699" t="s">
        <v>1050</v>
      </c>
    </row>
    <row r="680" spans="1:17" hidden="1" x14ac:dyDescent="0.25">
      <c r="A680" s="10"/>
      <c r="B680" s="72"/>
      <c r="C680" s="72"/>
      <c r="D680" s="72"/>
      <c r="E680" s="705" t="s">
        <v>1060</v>
      </c>
      <c r="F680" s="665">
        <f>F679+F673</f>
        <v>459791</v>
      </c>
      <c r="G680" s="665">
        <f>G679+G673</f>
        <v>479130</v>
      </c>
      <c r="H680" s="665">
        <f>H679+H673</f>
        <v>507121.7</v>
      </c>
      <c r="I680" s="665">
        <f>I679+I673</f>
        <v>474246.40000000002</v>
      </c>
      <c r="J680" s="665">
        <f>J679+J673</f>
        <v>492455.2</v>
      </c>
      <c r="K680" s="755"/>
      <c r="L680" s="706"/>
      <c r="M680" s="698"/>
      <c r="N680" s="699"/>
      <c r="O680" s="700"/>
      <c r="P680" s="699"/>
      <c r="Q680" s="699"/>
    </row>
    <row r="681" spans="1:17" ht="118.5" customHeight="1" x14ac:dyDescent="0.25">
      <c r="A681" s="10"/>
      <c r="B681" s="707">
        <v>2</v>
      </c>
      <c r="C681" s="72"/>
      <c r="D681" s="72"/>
      <c r="E681" s="705" t="s">
        <v>1061</v>
      </c>
      <c r="F681" s="726">
        <f>F682+F690+F694+F695+F697+F698+F702+F704</f>
        <v>20541164.799999997</v>
      </c>
      <c r="G681" s="726">
        <f t="shared" ref="G681:J681" si="74">G682+G690+G694+G695+G697+G698+G702+G704</f>
        <v>19968125.699999999</v>
      </c>
      <c r="H681" s="726">
        <f>H682+H690+H694+H695+H697+H698+H704</f>
        <v>26453235.599999998</v>
      </c>
      <c r="I681" s="726">
        <f t="shared" si="74"/>
        <v>20653438.09</v>
      </c>
      <c r="J681" s="726">
        <f t="shared" si="74"/>
        <v>20325074.600000001</v>
      </c>
      <c r="K681" s="710" t="s">
        <v>1062</v>
      </c>
      <c r="L681" s="712" t="s">
        <v>14</v>
      </c>
      <c r="M681" s="708">
        <v>100</v>
      </c>
      <c r="N681" s="708">
        <v>100</v>
      </c>
      <c r="O681" s="708">
        <v>100</v>
      </c>
      <c r="P681" s="708">
        <v>100</v>
      </c>
      <c r="Q681" s="708">
        <v>100</v>
      </c>
    </row>
    <row r="682" spans="1:17" s="395" customFormat="1" ht="15" customHeight="1" x14ac:dyDescent="0.25">
      <c r="B682" s="2401"/>
      <c r="C682" s="2404">
        <v>1</v>
      </c>
      <c r="D682" s="2407"/>
      <c r="E682" s="2410" t="s">
        <v>1063</v>
      </c>
      <c r="F682" s="2304">
        <v>2503466.4</v>
      </c>
      <c r="G682" s="2304">
        <f>2504133+255986.2</f>
        <v>2760119.2</v>
      </c>
      <c r="H682" s="2304">
        <f>3482318.4+11723</f>
        <v>3494041.4</v>
      </c>
      <c r="I682" s="2304">
        <v>2716148.5</v>
      </c>
      <c r="J682" s="2304">
        <v>2835968.2</v>
      </c>
      <c r="K682" s="2410" t="s">
        <v>1064</v>
      </c>
      <c r="L682" s="2411" t="s">
        <v>975</v>
      </c>
      <c r="M682" s="2412">
        <v>137951</v>
      </c>
      <c r="N682" s="2412">
        <v>106000</v>
      </c>
      <c r="O682" s="2412" t="s">
        <v>1065</v>
      </c>
      <c r="P682" s="2412" t="s">
        <v>1065</v>
      </c>
      <c r="Q682" s="2412" t="s">
        <v>1065</v>
      </c>
    </row>
    <row r="683" spans="1:17" s="395" customFormat="1" ht="34.5" customHeight="1" x14ac:dyDescent="0.25">
      <c r="B683" s="2402"/>
      <c r="C683" s="2405"/>
      <c r="D683" s="2408"/>
      <c r="E683" s="2410"/>
      <c r="F683" s="2305"/>
      <c r="G683" s="2305"/>
      <c r="H683" s="2305"/>
      <c r="I683" s="2305"/>
      <c r="J683" s="2305"/>
      <c r="K683" s="2410"/>
      <c r="L683" s="2411"/>
      <c r="M683" s="2413"/>
      <c r="N683" s="2413"/>
      <c r="O683" s="2413"/>
      <c r="P683" s="2413"/>
      <c r="Q683" s="2413"/>
    </row>
    <row r="684" spans="1:17" s="395" customFormat="1" ht="60" x14ac:dyDescent="0.25">
      <c r="B684" s="2402"/>
      <c r="C684" s="2405"/>
      <c r="D684" s="2408"/>
      <c r="E684" s="2410"/>
      <c r="F684" s="2305"/>
      <c r="G684" s="2305"/>
      <c r="H684" s="2305"/>
      <c r="I684" s="2305"/>
      <c r="J684" s="2305"/>
      <c r="K684" s="710" t="s">
        <v>1066</v>
      </c>
      <c r="L684" s="712" t="s">
        <v>968</v>
      </c>
      <c r="M684" s="698">
        <v>3053</v>
      </c>
      <c r="N684" s="698">
        <v>3360</v>
      </c>
      <c r="O684" s="698">
        <v>4000</v>
      </c>
      <c r="P684" s="698">
        <v>4000</v>
      </c>
      <c r="Q684" s="698">
        <v>4000</v>
      </c>
    </row>
    <row r="685" spans="1:17" s="395" customFormat="1" ht="30" x14ac:dyDescent="0.25">
      <c r="B685" s="2402"/>
      <c r="C685" s="2405"/>
      <c r="D685" s="2408"/>
      <c r="E685" s="2410"/>
      <c r="F685" s="2305"/>
      <c r="G685" s="2305"/>
      <c r="H685" s="2305"/>
      <c r="I685" s="2305"/>
      <c r="J685" s="2305"/>
      <c r="K685" s="710" t="s">
        <v>1067</v>
      </c>
      <c r="L685" s="712" t="s">
        <v>14</v>
      </c>
      <c r="M685" s="713">
        <v>84.8</v>
      </c>
      <c r="N685" s="713">
        <v>84.8</v>
      </c>
      <c r="O685" s="713">
        <v>84.8</v>
      </c>
      <c r="P685" s="713">
        <v>84.8</v>
      </c>
      <c r="Q685" s="713">
        <v>84.8</v>
      </c>
    </row>
    <row r="686" spans="1:17" s="395" customFormat="1" ht="30" x14ac:dyDescent="0.25">
      <c r="B686" s="2402"/>
      <c r="C686" s="2405"/>
      <c r="D686" s="2408"/>
      <c r="E686" s="2410"/>
      <c r="F686" s="2079"/>
      <c r="G686" s="2079"/>
      <c r="H686" s="2079"/>
      <c r="I686" s="2079"/>
      <c r="J686" s="2079"/>
      <c r="K686" s="710" t="s">
        <v>1068</v>
      </c>
      <c r="L686" s="712" t="s">
        <v>968</v>
      </c>
      <c r="M686" s="714">
        <v>1186</v>
      </c>
      <c r="N686" s="714">
        <v>1296</v>
      </c>
      <c r="O686" s="714">
        <v>1310</v>
      </c>
      <c r="P686" s="714">
        <v>1390</v>
      </c>
      <c r="Q686" s="714">
        <v>1400</v>
      </c>
    </row>
    <row r="687" spans="1:17" s="395" customFormat="1" ht="30" x14ac:dyDescent="0.25">
      <c r="B687" s="2402"/>
      <c r="C687" s="2405"/>
      <c r="D687" s="2408"/>
      <c r="E687" s="2410"/>
      <c r="F687" s="2079"/>
      <c r="G687" s="2079"/>
      <c r="H687" s="2079"/>
      <c r="I687" s="2079"/>
      <c r="J687" s="2079"/>
      <c r="K687" s="710" t="s">
        <v>1069</v>
      </c>
      <c r="L687" s="712" t="s">
        <v>14</v>
      </c>
      <c r="M687" s="698">
        <v>89.8</v>
      </c>
      <c r="N687" s="698">
        <v>90</v>
      </c>
      <c r="O687" s="698">
        <v>95</v>
      </c>
      <c r="P687" s="698">
        <v>100</v>
      </c>
      <c r="Q687" s="698">
        <v>100</v>
      </c>
    </row>
    <row r="688" spans="1:17" s="395" customFormat="1" ht="15" customHeight="1" x14ac:dyDescent="0.25">
      <c r="B688" s="2402"/>
      <c r="C688" s="2405"/>
      <c r="D688" s="2408"/>
      <c r="E688" s="2410"/>
      <c r="F688" s="2079"/>
      <c r="G688" s="2079"/>
      <c r="H688" s="2079"/>
      <c r="I688" s="2079"/>
      <c r="J688" s="2079"/>
      <c r="K688" s="2410" t="s">
        <v>1070</v>
      </c>
      <c r="L688" s="2411" t="s">
        <v>975</v>
      </c>
      <c r="M688" s="2414">
        <v>3546</v>
      </c>
      <c r="N688" s="2414">
        <v>175</v>
      </c>
      <c r="O688" s="2414">
        <v>175</v>
      </c>
      <c r="P688" s="2414">
        <v>175</v>
      </c>
      <c r="Q688" s="2414">
        <v>175</v>
      </c>
    </row>
    <row r="689" spans="2:17" s="395" customFormat="1" x14ac:dyDescent="0.25">
      <c r="B689" s="2403"/>
      <c r="C689" s="2406"/>
      <c r="D689" s="2409"/>
      <c r="E689" s="2410"/>
      <c r="F689" s="2078"/>
      <c r="G689" s="2078"/>
      <c r="H689" s="2078"/>
      <c r="I689" s="2078"/>
      <c r="J689" s="2078"/>
      <c r="K689" s="2410"/>
      <c r="L689" s="2411"/>
      <c r="M689" s="2415"/>
      <c r="N689" s="2415"/>
      <c r="O689" s="2415"/>
      <c r="P689" s="2415"/>
      <c r="Q689" s="2415"/>
    </row>
    <row r="690" spans="2:17" s="395" customFormat="1" ht="15" customHeight="1" x14ac:dyDescent="0.25">
      <c r="B690" s="2401"/>
      <c r="C690" s="2404">
        <v>2</v>
      </c>
      <c r="D690" s="2407"/>
      <c r="E690" s="2410" t="s">
        <v>1071</v>
      </c>
      <c r="F690" s="2304"/>
      <c r="G690" s="2304"/>
      <c r="H690" s="2304"/>
      <c r="I690" s="2304">
        <f>H690*1%+H690</f>
        <v>0</v>
      </c>
      <c r="J690" s="2304">
        <f>I690*1%+I690</f>
        <v>0</v>
      </c>
      <c r="K690" s="2410" t="s">
        <v>1072</v>
      </c>
      <c r="L690" s="712" t="s">
        <v>1073</v>
      </c>
      <c r="M690" s="2416">
        <v>130</v>
      </c>
      <c r="N690" s="2416">
        <v>140</v>
      </c>
      <c r="O690" s="2416" t="s">
        <v>1050</v>
      </c>
      <c r="P690" s="2416" t="s">
        <v>1050</v>
      </c>
      <c r="Q690" s="2416" t="s">
        <v>1050</v>
      </c>
    </row>
    <row r="691" spans="2:17" s="395" customFormat="1" ht="15" customHeight="1" x14ac:dyDescent="0.25">
      <c r="B691" s="2402"/>
      <c r="C691" s="2405"/>
      <c r="D691" s="2408"/>
      <c r="E691" s="2410"/>
      <c r="F691" s="2305"/>
      <c r="G691" s="2305"/>
      <c r="H691" s="2305"/>
      <c r="I691" s="2305"/>
      <c r="J691" s="2305"/>
      <c r="K691" s="2410"/>
      <c r="L691" s="540"/>
      <c r="M691" s="2417"/>
      <c r="N691" s="2417"/>
      <c r="O691" s="2417"/>
      <c r="P691" s="2417"/>
      <c r="Q691" s="2417"/>
    </row>
    <row r="692" spans="2:17" s="395" customFormat="1" x14ac:dyDescent="0.25">
      <c r="B692" s="2402"/>
      <c r="C692" s="2405"/>
      <c r="D692" s="2408"/>
      <c r="E692" s="2410"/>
      <c r="F692" s="2079"/>
      <c r="G692" s="2079"/>
      <c r="H692" s="2079"/>
      <c r="I692" s="2079"/>
      <c r="J692" s="2079"/>
      <c r="K692" s="2410"/>
      <c r="L692" s="540" t="s">
        <v>968</v>
      </c>
      <c r="M692" s="2114">
        <v>130</v>
      </c>
      <c r="N692" s="2114">
        <v>140</v>
      </c>
      <c r="O692" s="2114" t="s">
        <v>1074</v>
      </c>
      <c r="P692" s="2114" t="s">
        <v>1074</v>
      </c>
      <c r="Q692" s="2114" t="s">
        <v>1074</v>
      </c>
    </row>
    <row r="693" spans="2:17" s="395" customFormat="1" x14ac:dyDescent="0.25">
      <c r="B693" s="2403"/>
      <c r="C693" s="2406"/>
      <c r="D693" s="2409"/>
      <c r="E693" s="2410"/>
      <c r="F693" s="2078"/>
      <c r="G693" s="2078"/>
      <c r="H693" s="2078"/>
      <c r="I693" s="2078"/>
      <c r="J693" s="2078"/>
      <c r="K693" s="710" t="s">
        <v>1075</v>
      </c>
      <c r="L693" s="41"/>
      <c r="M693" s="698">
        <v>24</v>
      </c>
      <c r="N693" s="698">
        <v>26</v>
      </c>
      <c r="O693" s="716" t="s">
        <v>1050</v>
      </c>
      <c r="P693" s="716" t="s">
        <v>1050</v>
      </c>
      <c r="Q693" s="716" t="s">
        <v>1050</v>
      </c>
    </row>
    <row r="694" spans="2:17" s="395" customFormat="1" ht="45" x14ac:dyDescent="0.25">
      <c r="B694" s="717"/>
      <c r="C694" s="636">
        <v>3</v>
      </c>
      <c r="D694" s="718"/>
      <c r="E694" s="711" t="s">
        <v>1076</v>
      </c>
      <c r="F694" s="726"/>
      <c r="G694" s="726"/>
      <c r="H694" s="726"/>
      <c r="I694" s="726"/>
      <c r="J694" s="726"/>
      <c r="K694" s="710" t="s">
        <v>1077</v>
      </c>
      <c r="L694" s="712" t="s">
        <v>14</v>
      </c>
      <c r="M694" s="698" t="s">
        <v>1078</v>
      </c>
      <c r="N694" s="698" t="s">
        <v>1078</v>
      </c>
      <c r="O694" s="698" t="s">
        <v>1078</v>
      </c>
      <c r="P694" s="698" t="s">
        <v>1078</v>
      </c>
      <c r="Q694" s="698" t="s">
        <v>1078</v>
      </c>
    </row>
    <row r="695" spans="2:17" s="395" customFormat="1" ht="15" customHeight="1" x14ac:dyDescent="0.25">
      <c r="B695" s="2401"/>
      <c r="C695" s="2404">
        <v>4</v>
      </c>
      <c r="D695" s="2404"/>
      <c r="E695" s="2410" t="s">
        <v>1079</v>
      </c>
      <c r="F695" s="2304">
        <v>16852647.699999999</v>
      </c>
      <c r="G695" s="2304">
        <v>16854340.5</v>
      </c>
      <c r="H695" s="2304">
        <f>22216135.8+110958.4</f>
        <v>22327094.199999999</v>
      </c>
      <c r="I695" s="2304">
        <f>16883986.8+1053302.79</f>
        <v>17937289.59</v>
      </c>
      <c r="J695" s="2304">
        <f>17313119.6+175986.8</f>
        <v>17489106.400000002</v>
      </c>
      <c r="K695" s="2410" t="s">
        <v>1080</v>
      </c>
      <c r="L695" s="2411" t="s">
        <v>14</v>
      </c>
      <c r="M695" s="2416">
        <v>95</v>
      </c>
      <c r="N695" s="2416">
        <v>95</v>
      </c>
      <c r="O695" s="2416">
        <v>95</v>
      </c>
      <c r="P695" s="2416">
        <v>95</v>
      </c>
      <c r="Q695" s="2416">
        <v>95</v>
      </c>
    </row>
    <row r="696" spans="2:17" s="395" customFormat="1" ht="15" customHeight="1" x14ac:dyDescent="0.25">
      <c r="B696" s="2403"/>
      <c r="C696" s="2406"/>
      <c r="D696" s="2406"/>
      <c r="E696" s="2410"/>
      <c r="F696" s="2306"/>
      <c r="G696" s="2306"/>
      <c r="H696" s="2306"/>
      <c r="I696" s="2306"/>
      <c r="J696" s="2306"/>
      <c r="K696" s="2410"/>
      <c r="L696" s="2411"/>
      <c r="M696" s="1851"/>
      <c r="N696" s="1851"/>
      <c r="O696" s="1851"/>
      <c r="P696" s="1851"/>
      <c r="Q696" s="1851"/>
    </row>
    <row r="697" spans="2:17" s="395" customFormat="1" ht="45" x14ac:dyDescent="0.25">
      <c r="B697" s="717"/>
      <c r="C697" s="636">
        <v>5</v>
      </c>
      <c r="D697" s="718"/>
      <c r="E697" s="711" t="s">
        <v>1081</v>
      </c>
      <c r="F697" s="586"/>
      <c r="G697" s="586"/>
      <c r="H697" s="586"/>
      <c r="I697" s="586">
        <f>H697*1%+H697</f>
        <v>0</v>
      </c>
      <c r="J697" s="586">
        <f>I697*1%+I697</f>
        <v>0</v>
      </c>
      <c r="K697" s="710" t="s">
        <v>1082</v>
      </c>
      <c r="L697" s="712" t="s">
        <v>1073</v>
      </c>
      <c r="M697" s="720">
        <v>4</v>
      </c>
      <c r="N697" s="720">
        <v>2</v>
      </c>
      <c r="O697" s="721">
        <v>2</v>
      </c>
      <c r="P697" s="720">
        <v>1</v>
      </c>
      <c r="Q697" s="720"/>
    </row>
    <row r="698" spans="2:17" s="395" customFormat="1" ht="15" customHeight="1" x14ac:dyDescent="0.25">
      <c r="B698" s="2401"/>
      <c r="C698" s="2404">
        <v>6</v>
      </c>
      <c r="D698" s="2404"/>
      <c r="E698" s="2410" t="s">
        <v>1083</v>
      </c>
      <c r="F698" s="2304">
        <v>1170408.3999999999</v>
      </c>
      <c r="G698" s="2304">
        <v>353666</v>
      </c>
      <c r="H698" s="2304">
        <v>632100</v>
      </c>
      <c r="I698" s="2304"/>
      <c r="J698" s="2304">
        <f>I698*1%+I698</f>
        <v>0</v>
      </c>
      <c r="K698" s="2416" t="s">
        <v>1084</v>
      </c>
      <c r="L698" s="2411" t="s">
        <v>975</v>
      </c>
      <c r="M698" s="2420">
        <v>1000</v>
      </c>
      <c r="N698" s="2420">
        <v>4000</v>
      </c>
      <c r="O698" s="2420">
        <v>5000</v>
      </c>
      <c r="P698" s="2420" t="s">
        <v>1085</v>
      </c>
      <c r="Q698" s="2420" t="s">
        <v>1085</v>
      </c>
    </row>
    <row r="699" spans="2:17" s="395" customFormat="1" ht="15" customHeight="1" x14ac:dyDescent="0.25">
      <c r="B699" s="2402"/>
      <c r="C699" s="2405"/>
      <c r="D699" s="2405"/>
      <c r="E699" s="2410"/>
      <c r="F699" s="2305"/>
      <c r="G699" s="2305"/>
      <c r="H699" s="2305"/>
      <c r="I699" s="2305"/>
      <c r="J699" s="2305"/>
      <c r="K699" s="2418"/>
      <c r="L699" s="2411"/>
      <c r="M699" s="2421"/>
      <c r="N699" s="2421"/>
      <c r="O699" s="2421"/>
      <c r="P699" s="2421"/>
      <c r="Q699" s="2421"/>
    </row>
    <row r="700" spans="2:17" s="395" customFormat="1" x14ac:dyDescent="0.25">
      <c r="B700" s="2402"/>
      <c r="C700" s="2405"/>
      <c r="D700" s="2405"/>
      <c r="E700" s="2410"/>
      <c r="F700" s="2305"/>
      <c r="G700" s="2305"/>
      <c r="H700" s="2305"/>
      <c r="I700" s="2305"/>
      <c r="J700" s="2305"/>
      <c r="K700" s="2418"/>
      <c r="L700" s="2411"/>
      <c r="M700" s="2421"/>
      <c r="N700" s="2421"/>
      <c r="O700" s="2421"/>
      <c r="P700" s="2421"/>
      <c r="Q700" s="2421"/>
    </row>
    <row r="701" spans="2:17" s="395" customFormat="1" x14ac:dyDescent="0.25">
      <c r="B701" s="2403"/>
      <c r="C701" s="2406"/>
      <c r="D701" s="2406"/>
      <c r="E701" s="2410"/>
      <c r="F701" s="2306"/>
      <c r="G701" s="2306"/>
      <c r="H701" s="2306"/>
      <c r="I701" s="2306"/>
      <c r="J701" s="2306"/>
      <c r="K701" s="2419"/>
      <c r="L701" s="2411"/>
      <c r="M701" s="2422"/>
      <c r="N701" s="2422"/>
      <c r="O701" s="2422"/>
      <c r="P701" s="2422"/>
      <c r="Q701" s="2422"/>
    </row>
    <row r="702" spans="2:17" s="395" customFormat="1" ht="15" customHeight="1" x14ac:dyDescent="0.25">
      <c r="B702" s="2401"/>
      <c r="C702" s="2404">
        <v>7</v>
      </c>
      <c r="D702" s="2404"/>
      <c r="E702" s="2410" t="s">
        <v>1086</v>
      </c>
      <c r="F702" s="2077"/>
      <c r="G702" s="722"/>
      <c r="H702" s="2423" t="s">
        <v>1087</v>
      </c>
      <c r="I702" s="2424"/>
      <c r="J702" s="2424"/>
      <c r="K702" s="2425" t="s">
        <v>1088</v>
      </c>
      <c r="L702" s="2411" t="s">
        <v>1073</v>
      </c>
      <c r="M702" s="2426">
        <v>30</v>
      </c>
      <c r="N702" s="2428" t="s">
        <v>1050</v>
      </c>
      <c r="O702" s="2428" t="s">
        <v>1050</v>
      </c>
      <c r="P702" s="2428" t="s">
        <v>1050</v>
      </c>
      <c r="Q702" s="2428" t="s">
        <v>1050</v>
      </c>
    </row>
    <row r="703" spans="2:17" s="395" customFormat="1" ht="15.75" customHeight="1" x14ac:dyDescent="0.25">
      <c r="B703" s="2403"/>
      <c r="C703" s="2406"/>
      <c r="D703" s="2406"/>
      <c r="E703" s="2410"/>
      <c r="F703" s="2078"/>
      <c r="G703" s="722"/>
      <c r="H703" s="2424"/>
      <c r="I703" s="2424"/>
      <c r="J703" s="2424"/>
      <c r="K703" s="2425"/>
      <c r="L703" s="2411"/>
      <c r="M703" s="2427"/>
      <c r="N703" s="2059"/>
      <c r="O703" s="2059"/>
      <c r="P703" s="2059"/>
      <c r="Q703" s="2059"/>
    </row>
    <row r="704" spans="2:17" s="395" customFormat="1" ht="63.75" customHeight="1" x14ac:dyDescent="0.25">
      <c r="B704" s="725"/>
      <c r="C704" s="636">
        <v>8</v>
      </c>
      <c r="D704" s="718"/>
      <c r="E704" s="710" t="s">
        <v>1089</v>
      </c>
      <c r="F704" s="587">
        <v>14642.3</v>
      </c>
      <c r="G704" s="587"/>
      <c r="H704" s="587"/>
      <c r="I704" s="587"/>
      <c r="J704" s="587"/>
      <c r="K704" s="710" t="s">
        <v>1320</v>
      </c>
      <c r="L704" s="712" t="s">
        <v>14</v>
      </c>
      <c r="M704" s="698">
        <v>96.5</v>
      </c>
      <c r="N704" s="698">
        <v>96.5</v>
      </c>
      <c r="O704" s="714" t="s">
        <v>1050</v>
      </c>
      <c r="P704" s="714" t="s">
        <v>1050</v>
      </c>
      <c r="Q704" s="714" t="s">
        <v>1050</v>
      </c>
    </row>
    <row r="705" spans="2:17" s="395" customFormat="1" hidden="1" x14ac:dyDescent="0.25">
      <c r="B705" s="725"/>
      <c r="C705" s="718"/>
      <c r="D705" s="718"/>
      <c r="E705" s="705" t="s">
        <v>1060</v>
      </c>
      <c r="F705" s="665">
        <f>F682+F690+F695+F697+F698+F704</f>
        <v>20541164.799999997</v>
      </c>
      <c r="G705" s="665">
        <f>G695+G698+G704+G697+G694+G682+G690</f>
        <v>19968125.699999999</v>
      </c>
      <c r="H705" s="665">
        <f>H695+H698+H704+H697+H694+H682+H690</f>
        <v>26453235.599999998</v>
      </c>
      <c r="I705" s="665">
        <f>I682+I690+I695+I697+I698</f>
        <v>20653438.09</v>
      </c>
      <c r="J705" s="665">
        <f>J682+J690+J695+J697+J698</f>
        <v>20325074.600000001</v>
      </c>
      <c r="K705" s="755"/>
      <c r="L705" s="704"/>
      <c r="M705" s="708"/>
      <c r="N705" s="699"/>
      <c r="O705" s="700"/>
      <c r="P705" s="699"/>
      <c r="Q705" s="699"/>
    </row>
    <row r="706" spans="2:17" s="395" customFormat="1" ht="30" customHeight="1" x14ac:dyDescent="0.25">
      <c r="B706" s="2429">
        <v>3</v>
      </c>
      <c r="C706" s="2329">
        <v>1</v>
      </c>
      <c r="D706" s="2329"/>
      <c r="E706" s="2410" t="s">
        <v>1090</v>
      </c>
      <c r="F706" s="2430">
        <f>F708+F710+F711+F712+F713</f>
        <v>2186629.9</v>
      </c>
      <c r="G706" s="2430">
        <f t="shared" ref="G706:J706" si="75">G708+G710+G711+G712+G713</f>
        <v>1724403.7</v>
      </c>
      <c r="H706" s="2430">
        <f t="shared" si="75"/>
        <v>1944688.8</v>
      </c>
      <c r="I706" s="2430">
        <f t="shared" si="75"/>
        <v>1657570.2999999998</v>
      </c>
      <c r="J706" s="2430">
        <f t="shared" si="75"/>
        <v>1715156.5</v>
      </c>
      <c r="K706" s="589" t="s">
        <v>1091</v>
      </c>
      <c r="L706" s="712" t="s">
        <v>14</v>
      </c>
      <c r="M706" s="712">
        <v>5</v>
      </c>
      <c r="N706" s="712">
        <v>15</v>
      </c>
      <c r="O706" s="712">
        <v>30</v>
      </c>
      <c r="P706" s="712">
        <v>50</v>
      </c>
      <c r="Q706" s="712">
        <v>50</v>
      </c>
    </row>
    <row r="707" spans="2:17" s="395" customFormat="1" ht="60" x14ac:dyDescent="0.25">
      <c r="B707" s="2429"/>
      <c r="C707" s="2329"/>
      <c r="D707" s="2329"/>
      <c r="E707" s="2410"/>
      <c r="F707" s="2430"/>
      <c r="G707" s="2430"/>
      <c r="H707" s="2430"/>
      <c r="I707" s="2430"/>
      <c r="J707" s="2430"/>
      <c r="K707" s="710" t="s">
        <v>1092</v>
      </c>
      <c r="L707" s="712" t="s">
        <v>14</v>
      </c>
      <c r="M707" s="708">
        <v>60</v>
      </c>
      <c r="N707" s="708">
        <v>61</v>
      </c>
      <c r="O707" s="727">
        <v>62</v>
      </c>
      <c r="P707" s="708">
        <v>63</v>
      </c>
      <c r="Q707" s="728">
        <v>65</v>
      </c>
    </row>
    <row r="708" spans="2:17" s="395" customFormat="1" ht="135" x14ac:dyDescent="0.25">
      <c r="B708" s="2429"/>
      <c r="C708" s="2329">
        <v>2</v>
      </c>
      <c r="D708" s="2329"/>
      <c r="E708" s="2410" t="s">
        <v>1093</v>
      </c>
      <c r="F708" s="1632">
        <v>1230510.2</v>
      </c>
      <c r="G708" s="1632">
        <v>1234100.2</v>
      </c>
      <c r="H708" s="1632">
        <f>1255830.3+170450</f>
        <v>1426280.3</v>
      </c>
      <c r="I708" s="1632">
        <v>1216588.3999999999</v>
      </c>
      <c r="J708" s="1632">
        <v>1264420.3</v>
      </c>
      <c r="K708" s="710" t="s">
        <v>1094</v>
      </c>
      <c r="L708" s="712" t="s">
        <v>1095</v>
      </c>
      <c r="M708" s="730">
        <v>20</v>
      </c>
      <c r="N708" s="730">
        <v>40</v>
      </c>
      <c r="O708" s="730">
        <v>50</v>
      </c>
      <c r="P708" s="730">
        <v>60</v>
      </c>
      <c r="Q708" s="730">
        <v>60</v>
      </c>
    </row>
    <row r="709" spans="2:17" s="395" customFormat="1" ht="60" x14ac:dyDescent="0.25">
      <c r="B709" s="2429"/>
      <c r="C709" s="2329"/>
      <c r="D709" s="2329"/>
      <c r="E709" s="2410"/>
      <c r="F709" s="2424"/>
      <c r="G709" s="2424"/>
      <c r="H709" s="2424"/>
      <c r="I709" s="2424"/>
      <c r="J709" s="2424"/>
      <c r="K709" s="710" t="s">
        <v>1096</v>
      </c>
      <c r="L709" s="712" t="s">
        <v>968</v>
      </c>
      <c r="M709" s="731">
        <v>10</v>
      </c>
      <c r="N709" s="732">
        <v>20</v>
      </c>
      <c r="O709" s="732">
        <v>25</v>
      </c>
      <c r="P709" s="732">
        <v>30</v>
      </c>
      <c r="Q709" s="732">
        <v>35</v>
      </c>
    </row>
    <row r="710" spans="2:17" s="395" customFormat="1" ht="75" x14ac:dyDescent="0.25">
      <c r="B710" s="733"/>
      <c r="C710" s="636"/>
      <c r="D710" s="636"/>
      <c r="E710" s="710" t="s">
        <v>1097</v>
      </c>
      <c r="F710" s="734">
        <v>405936.2</v>
      </c>
      <c r="G710" s="734">
        <v>35010.699999999997</v>
      </c>
      <c r="H710" s="734"/>
      <c r="I710" s="734"/>
      <c r="J710" s="734">
        <f t="shared" ref="J710:J711" si="76">I710*1%+I710</f>
        <v>0</v>
      </c>
      <c r="K710" s="710" t="s">
        <v>1098</v>
      </c>
      <c r="L710" s="712" t="s">
        <v>1099</v>
      </c>
      <c r="M710" s="730">
        <v>6500</v>
      </c>
      <c r="N710" s="730">
        <v>6500</v>
      </c>
      <c r="O710" s="730">
        <v>6500</v>
      </c>
      <c r="P710" s="730">
        <v>6500</v>
      </c>
      <c r="Q710" s="730">
        <v>6500</v>
      </c>
    </row>
    <row r="711" spans="2:17" s="395" customFormat="1" ht="60" x14ac:dyDescent="0.25">
      <c r="B711" s="733"/>
      <c r="C711" s="636"/>
      <c r="D711" s="636"/>
      <c r="E711" s="710" t="s">
        <v>1100</v>
      </c>
      <c r="F711" s="734">
        <v>123817.8</v>
      </c>
      <c r="G711" s="734">
        <v>10740</v>
      </c>
      <c r="H711" s="734"/>
      <c r="I711" s="734"/>
      <c r="J711" s="734">
        <f t="shared" si="76"/>
        <v>0</v>
      </c>
      <c r="K711" s="710" t="s">
        <v>1101</v>
      </c>
      <c r="L711" s="712" t="s">
        <v>1102</v>
      </c>
      <c r="M711" s="735">
        <v>600</v>
      </c>
      <c r="N711" s="735">
        <v>600</v>
      </c>
      <c r="O711" s="735">
        <v>600</v>
      </c>
      <c r="P711" s="735">
        <v>600</v>
      </c>
      <c r="Q711" s="735">
        <v>600</v>
      </c>
    </row>
    <row r="712" spans="2:17" s="395" customFormat="1" ht="75" x14ac:dyDescent="0.25">
      <c r="B712" s="725"/>
      <c r="C712" s="718">
        <v>4</v>
      </c>
      <c r="D712" s="718"/>
      <c r="E712" s="710" t="s">
        <v>1103</v>
      </c>
      <c r="F712" s="736">
        <v>207249.8</v>
      </c>
      <c r="G712" s="736">
        <v>223209.8</v>
      </c>
      <c r="H712" s="736">
        <v>296234.5</v>
      </c>
      <c r="I712" s="736">
        <v>219637.9</v>
      </c>
      <c r="J712" s="736">
        <v>229392.2</v>
      </c>
      <c r="K712" s="710" t="s">
        <v>1104</v>
      </c>
      <c r="L712" s="712" t="s">
        <v>14</v>
      </c>
      <c r="M712" s="737">
        <v>0.42</v>
      </c>
      <c r="N712" s="737">
        <v>0.42</v>
      </c>
      <c r="O712" s="738">
        <v>0.45</v>
      </c>
      <c r="P712" s="737">
        <v>0.45</v>
      </c>
      <c r="Q712" s="737">
        <v>0.45</v>
      </c>
    </row>
    <row r="713" spans="2:17" s="395" customFormat="1" ht="30" customHeight="1" x14ac:dyDescent="0.25">
      <c r="B713" s="2429"/>
      <c r="C713" s="2329">
        <v>5</v>
      </c>
      <c r="D713" s="2329"/>
      <c r="E713" s="2410" t="s">
        <v>1105</v>
      </c>
      <c r="F713" s="2423">
        <v>219115.9</v>
      </c>
      <c r="G713" s="2423">
        <v>221343</v>
      </c>
      <c r="H713" s="2423">
        <v>222174</v>
      </c>
      <c r="I713" s="2423">
        <v>221344</v>
      </c>
      <c r="J713" s="2423">
        <v>221344</v>
      </c>
      <c r="K713" s="710" t="s">
        <v>1106</v>
      </c>
      <c r="L713" s="712" t="s">
        <v>14</v>
      </c>
      <c r="M713" s="737">
        <v>0.16</v>
      </c>
      <c r="N713" s="737">
        <v>0.16</v>
      </c>
      <c r="O713" s="737">
        <v>0.16</v>
      </c>
      <c r="P713" s="737">
        <v>0.16</v>
      </c>
      <c r="Q713" s="737">
        <v>0.16</v>
      </c>
    </row>
    <row r="714" spans="2:17" s="395" customFormat="1" ht="45" x14ac:dyDescent="0.25">
      <c r="B714" s="2429"/>
      <c r="C714" s="2329"/>
      <c r="D714" s="2329"/>
      <c r="E714" s="2410"/>
      <c r="F714" s="2423"/>
      <c r="G714" s="2423"/>
      <c r="H714" s="2423"/>
      <c r="I714" s="2423"/>
      <c r="J714" s="2423"/>
      <c r="K714" s="710" t="s">
        <v>1107</v>
      </c>
      <c r="L714" s="712" t="s">
        <v>14</v>
      </c>
      <c r="M714" s="737">
        <v>0.3</v>
      </c>
      <c r="N714" s="737">
        <v>0.3</v>
      </c>
      <c r="O714" s="737">
        <v>0.3</v>
      </c>
      <c r="P714" s="737">
        <v>0.4</v>
      </c>
      <c r="Q714" s="737">
        <v>0.5</v>
      </c>
    </row>
    <row r="715" spans="2:17" s="395" customFormat="1" ht="45" x14ac:dyDescent="0.25">
      <c r="B715" s="2429"/>
      <c r="C715" s="2329"/>
      <c r="D715" s="2329"/>
      <c r="E715" s="2410"/>
      <c r="F715" s="2424"/>
      <c r="G715" s="2424"/>
      <c r="H715" s="2424"/>
      <c r="I715" s="2424"/>
      <c r="J715" s="2424"/>
      <c r="K715" s="710" t="s">
        <v>1108</v>
      </c>
      <c r="L715" s="712" t="s">
        <v>14</v>
      </c>
      <c r="M715" s="737">
        <v>0.4</v>
      </c>
      <c r="N715" s="737">
        <v>0.4</v>
      </c>
      <c r="O715" s="738">
        <v>0.4</v>
      </c>
      <c r="P715" s="737">
        <v>0.5</v>
      </c>
      <c r="Q715" s="737">
        <v>0.6</v>
      </c>
    </row>
    <row r="716" spans="2:17" s="395" customFormat="1" hidden="1" x14ac:dyDescent="0.25">
      <c r="B716" s="2429"/>
      <c r="C716" s="2329"/>
      <c r="D716" s="2329"/>
      <c r="E716" s="2410"/>
      <c r="F716" s="2424"/>
      <c r="G716" s="2424"/>
      <c r="H716" s="2424"/>
      <c r="I716" s="2424"/>
      <c r="J716" s="2424"/>
      <c r="K716" s="2410"/>
      <c r="L716" s="2411"/>
      <c r="M716" s="2416"/>
      <c r="N716" s="2416"/>
      <c r="O716" s="2416"/>
      <c r="P716" s="2416"/>
      <c r="Q716" s="2416"/>
    </row>
    <row r="717" spans="2:17" s="395" customFormat="1" hidden="1" x14ac:dyDescent="0.25">
      <c r="B717" s="2429"/>
      <c r="C717" s="2329"/>
      <c r="D717" s="2329"/>
      <c r="E717" s="2410"/>
      <c r="F717" s="2424"/>
      <c r="G717" s="2424"/>
      <c r="H717" s="2424"/>
      <c r="I717" s="2424"/>
      <c r="J717" s="2424"/>
      <c r="K717" s="2410"/>
      <c r="L717" s="2411"/>
      <c r="M717" s="2419"/>
      <c r="N717" s="2419"/>
      <c r="O717" s="2419"/>
      <c r="P717" s="2419"/>
      <c r="Q717" s="2419"/>
    </row>
    <row r="718" spans="2:17" s="395" customFormat="1" hidden="1" x14ac:dyDescent="0.25">
      <c r="B718" s="725"/>
      <c r="C718" s="718"/>
      <c r="D718" s="718"/>
      <c r="E718" s="705" t="s">
        <v>1060</v>
      </c>
      <c r="F718" s="665">
        <f>F708+F710+F711+F712+F713</f>
        <v>2186629.9</v>
      </c>
      <c r="G718" s="665">
        <f>G708+G710+G711+G712+G713</f>
        <v>1724403.7</v>
      </c>
      <c r="H718" s="665">
        <f>H708+H710+H711+H712+H713</f>
        <v>1944688.8</v>
      </c>
      <c r="I718" s="665">
        <f>I708+I710+I711+I712+I713</f>
        <v>1657570.2999999998</v>
      </c>
      <c r="J718" s="665">
        <f>J708+J710+J711+J712+J713</f>
        <v>1715156.5</v>
      </c>
      <c r="K718" s="710"/>
      <c r="L718" s="739"/>
      <c r="M718" s="699"/>
      <c r="N718" s="699"/>
      <c r="O718" s="700"/>
      <c r="P718" s="699"/>
      <c r="Q718" s="699"/>
    </row>
    <row r="719" spans="2:17" s="395" customFormat="1" ht="45" customHeight="1" x14ac:dyDescent="0.25">
      <c r="B719" s="2429">
        <v>4</v>
      </c>
      <c r="C719" s="2329"/>
      <c r="D719" s="2329"/>
      <c r="E719" s="2431" t="s">
        <v>1109</v>
      </c>
      <c r="F719" s="2430">
        <f>F721+F723</f>
        <v>4285146.4000000004</v>
      </c>
      <c r="G719" s="2430">
        <f t="shared" ref="G719:J719" si="77">G721+G723</f>
        <v>4427469.0999999996</v>
      </c>
      <c r="H719" s="2430">
        <f>H721+H723</f>
        <v>5105584.4000000004</v>
      </c>
      <c r="I719" s="2430">
        <f t="shared" si="77"/>
        <v>4420353.4000000004</v>
      </c>
      <c r="J719" s="2430">
        <f t="shared" si="77"/>
        <v>4494155.0999999996</v>
      </c>
      <c r="K719" s="710" t="s">
        <v>1110</v>
      </c>
      <c r="L719" s="739" t="s">
        <v>14</v>
      </c>
      <c r="M719" s="699">
        <v>72</v>
      </c>
      <c r="N719" s="699">
        <v>75</v>
      </c>
      <c r="O719" s="700">
        <v>78</v>
      </c>
      <c r="P719" s="699">
        <v>80</v>
      </c>
      <c r="Q719" s="699">
        <v>80</v>
      </c>
    </row>
    <row r="720" spans="2:17" s="395" customFormat="1" ht="60" x14ac:dyDescent="0.25">
      <c r="B720" s="2429"/>
      <c r="C720" s="2329"/>
      <c r="D720" s="2329"/>
      <c r="E720" s="2431"/>
      <c r="F720" s="2430"/>
      <c r="G720" s="2430"/>
      <c r="H720" s="2430"/>
      <c r="I720" s="2430"/>
      <c r="J720" s="2430"/>
      <c r="K720" s="710" t="s">
        <v>1111</v>
      </c>
      <c r="L720" s="712" t="s">
        <v>14</v>
      </c>
      <c r="M720" s="699">
        <v>75</v>
      </c>
      <c r="N720" s="699">
        <v>76</v>
      </c>
      <c r="O720" s="700">
        <v>77</v>
      </c>
      <c r="P720" s="699">
        <v>78</v>
      </c>
      <c r="Q720" s="716">
        <v>79</v>
      </c>
    </row>
    <row r="721" spans="1:17" s="395" customFormat="1" ht="75" x14ac:dyDescent="0.25">
      <c r="B721" s="2429"/>
      <c r="C721" s="2329">
        <v>1</v>
      </c>
      <c r="D721" s="2329"/>
      <c r="E721" s="2410" t="s">
        <v>1112</v>
      </c>
      <c r="F721" s="2423">
        <v>3716776.4</v>
      </c>
      <c r="G721" s="2423">
        <v>3859099</v>
      </c>
      <c r="H721" s="2423">
        <v>4518839.7</v>
      </c>
      <c r="I721" s="2423">
        <v>3860040.1</v>
      </c>
      <c r="J721" s="2423">
        <v>3910040.1</v>
      </c>
      <c r="K721" s="710" t="s">
        <v>1113</v>
      </c>
      <c r="L721" s="712" t="s">
        <v>14</v>
      </c>
      <c r="M721" s="737">
        <v>0.8</v>
      </c>
      <c r="N721" s="737">
        <v>0.85</v>
      </c>
      <c r="O721" s="738">
        <v>0.85</v>
      </c>
      <c r="P721" s="737">
        <v>0.85</v>
      </c>
      <c r="Q721" s="737">
        <v>0.85</v>
      </c>
    </row>
    <row r="722" spans="1:17" s="395" customFormat="1" ht="62.25" customHeight="1" x14ac:dyDescent="0.25">
      <c r="B722" s="2429"/>
      <c r="C722" s="2329"/>
      <c r="D722" s="2329"/>
      <c r="E722" s="2410"/>
      <c r="F722" s="2423"/>
      <c r="G722" s="2423"/>
      <c r="H722" s="2423"/>
      <c r="I722" s="2423"/>
      <c r="J722" s="2423"/>
      <c r="K722" s="710" t="s">
        <v>1114</v>
      </c>
      <c r="L722" s="712" t="s">
        <v>14</v>
      </c>
      <c r="M722" s="737">
        <v>0.5</v>
      </c>
      <c r="N722" s="737">
        <v>0.55000000000000004</v>
      </c>
      <c r="O722" s="738">
        <v>0.55000000000000004</v>
      </c>
      <c r="P722" s="737">
        <v>0.55000000000000004</v>
      </c>
      <c r="Q722" s="737">
        <v>0.55000000000000004</v>
      </c>
    </row>
    <row r="723" spans="1:17" s="395" customFormat="1" ht="15" customHeight="1" x14ac:dyDescent="0.25">
      <c r="B723" s="2429"/>
      <c r="C723" s="2329">
        <v>2</v>
      </c>
      <c r="D723" s="2329"/>
      <c r="E723" s="2410" t="s">
        <v>1321</v>
      </c>
      <c r="F723" s="2423">
        <v>568370</v>
      </c>
      <c r="G723" s="2423">
        <v>568370.1</v>
      </c>
      <c r="H723" s="2423">
        <v>586744.69999999995</v>
      </c>
      <c r="I723" s="2423">
        <v>560313.30000000005</v>
      </c>
      <c r="J723" s="2423">
        <v>584115</v>
      </c>
      <c r="K723" s="2410" t="s">
        <v>1115</v>
      </c>
      <c r="L723" s="2411" t="s">
        <v>14</v>
      </c>
      <c r="M723" s="2432">
        <v>0.3</v>
      </c>
      <c r="N723" s="2432">
        <v>0.3</v>
      </c>
      <c r="O723" s="2432">
        <v>0.32</v>
      </c>
      <c r="P723" s="2432">
        <v>0.32</v>
      </c>
      <c r="Q723" s="2432">
        <v>0.32</v>
      </c>
    </row>
    <row r="724" spans="1:17" s="395" customFormat="1" ht="33.75" customHeight="1" x14ac:dyDescent="0.25">
      <c r="B724" s="2429"/>
      <c r="C724" s="2329"/>
      <c r="D724" s="2329"/>
      <c r="E724" s="2410"/>
      <c r="F724" s="2423"/>
      <c r="G724" s="2423"/>
      <c r="H724" s="2423"/>
      <c r="I724" s="2423"/>
      <c r="J724" s="2423"/>
      <c r="K724" s="2410"/>
      <c r="L724" s="2411"/>
      <c r="M724" s="2433"/>
      <c r="N724" s="2433"/>
      <c r="O724" s="2433"/>
      <c r="P724" s="2433"/>
      <c r="Q724" s="2433"/>
    </row>
    <row r="725" spans="1:17" s="395" customFormat="1" hidden="1" x14ac:dyDescent="0.25">
      <c r="B725" s="93"/>
      <c r="C725" s="93"/>
      <c r="D725" s="93"/>
      <c r="E725" s="705" t="s">
        <v>1060</v>
      </c>
      <c r="F725" s="665">
        <f>F721+F723</f>
        <v>4285146.4000000004</v>
      </c>
      <c r="G725" s="665">
        <f>G721+G723</f>
        <v>4427469.0999999996</v>
      </c>
      <c r="H725" s="665">
        <f>H721+H723</f>
        <v>5105584.4000000004</v>
      </c>
      <c r="I725" s="665">
        <f>I721+I723</f>
        <v>4420353.4000000004</v>
      </c>
      <c r="J725" s="665">
        <f>J721+J723</f>
        <v>4494155.0999999996</v>
      </c>
      <c r="K725" s="710"/>
      <c r="L725" s="712"/>
      <c r="M725" s="698"/>
      <c r="N725" s="698"/>
      <c r="O725" s="714"/>
      <c r="P725" s="698"/>
      <c r="Q725" s="698"/>
    </row>
    <row r="726" spans="1:17" s="395" customFormat="1" ht="15" customHeight="1" x14ac:dyDescent="0.25">
      <c r="B726" s="2429">
        <v>5</v>
      </c>
      <c r="C726" s="2329"/>
      <c r="D726" s="2329"/>
      <c r="E726" s="2431" t="s">
        <v>1116</v>
      </c>
      <c r="F726" s="2430">
        <f>F728+F732</f>
        <v>57351.4</v>
      </c>
      <c r="G726" s="2430">
        <f t="shared" ref="G726:J726" si="78">G728+G732</f>
        <v>57208.9</v>
      </c>
      <c r="H726" s="2430">
        <f t="shared" si="78"/>
        <v>83138.099999999991</v>
      </c>
      <c r="I726" s="2430">
        <f t="shared" si="78"/>
        <v>56549.4</v>
      </c>
      <c r="J726" s="2430">
        <f t="shared" si="78"/>
        <v>58663.1</v>
      </c>
      <c r="K726" s="2410" t="s">
        <v>1117</v>
      </c>
      <c r="L726" s="2414" t="s">
        <v>14</v>
      </c>
      <c r="M726" s="2426">
        <v>100</v>
      </c>
      <c r="N726" s="2428">
        <v>100</v>
      </c>
      <c r="O726" s="2426">
        <v>100</v>
      </c>
      <c r="P726" s="2426">
        <v>100</v>
      </c>
      <c r="Q726" s="2426">
        <v>100</v>
      </c>
    </row>
    <row r="727" spans="1:17" s="395" customFormat="1" ht="123.75" customHeight="1" x14ac:dyDescent="0.25">
      <c r="B727" s="2429"/>
      <c r="C727" s="2329"/>
      <c r="D727" s="2329"/>
      <c r="E727" s="2431"/>
      <c r="F727" s="2430"/>
      <c r="G727" s="2430"/>
      <c r="H727" s="2430"/>
      <c r="I727" s="2430"/>
      <c r="J727" s="2430"/>
      <c r="K727" s="2410"/>
      <c r="L727" s="2415"/>
      <c r="M727" s="2434"/>
      <c r="N727" s="2435"/>
      <c r="O727" s="2434"/>
      <c r="P727" s="2434"/>
      <c r="Q727" s="2434"/>
    </row>
    <row r="728" spans="1:17" s="395" customFormat="1" ht="30" customHeight="1" x14ac:dyDescent="0.25">
      <c r="B728" s="2429"/>
      <c r="C728" s="2329">
        <v>1</v>
      </c>
      <c r="D728" s="2329"/>
      <c r="E728" s="2410" t="s">
        <v>1118</v>
      </c>
      <c r="F728" s="2436">
        <v>48233.8</v>
      </c>
      <c r="G728" s="2436">
        <v>48233.8</v>
      </c>
      <c r="H728" s="2436">
        <v>74814.899999999994</v>
      </c>
      <c r="I728" s="2436">
        <v>47463</v>
      </c>
      <c r="J728" s="2436">
        <v>49576.7</v>
      </c>
      <c r="K728" s="710" t="s">
        <v>1119</v>
      </c>
      <c r="L728" s="712" t="s">
        <v>968</v>
      </c>
      <c r="M728" s="698">
        <v>9</v>
      </c>
      <c r="N728" s="698" t="s">
        <v>1050</v>
      </c>
      <c r="O728" s="698" t="s">
        <v>1050</v>
      </c>
      <c r="P728" s="698" t="s">
        <v>1050</v>
      </c>
      <c r="Q728" s="698" t="s">
        <v>1050</v>
      </c>
    </row>
    <row r="729" spans="1:17" s="395" customFormat="1" ht="30" x14ac:dyDescent="0.25">
      <c r="A729" s="394"/>
      <c r="B729" s="2429"/>
      <c r="C729" s="2329"/>
      <c r="D729" s="2329"/>
      <c r="E729" s="2410"/>
      <c r="F729" s="2436"/>
      <c r="G729" s="2436"/>
      <c r="H729" s="2436"/>
      <c r="I729" s="2436"/>
      <c r="J729" s="2436"/>
      <c r="K729" s="710" t="s">
        <v>1120</v>
      </c>
      <c r="L729" s="712" t="s">
        <v>975</v>
      </c>
      <c r="M729" s="698">
        <v>2551</v>
      </c>
      <c r="N729" s="698" t="s">
        <v>1050</v>
      </c>
      <c r="O729" s="698" t="s">
        <v>1050</v>
      </c>
      <c r="P729" s="698" t="s">
        <v>1050</v>
      </c>
      <c r="Q729" s="698" t="s">
        <v>1050</v>
      </c>
    </row>
    <row r="730" spans="1:17" s="395" customFormat="1" ht="30" x14ac:dyDescent="0.25">
      <c r="A730" s="394"/>
      <c r="B730" s="2429"/>
      <c r="C730" s="2329"/>
      <c r="D730" s="2329"/>
      <c r="E730" s="2410"/>
      <c r="F730" s="2436"/>
      <c r="G730" s="2436"/>
      <c r="H730" s="2436"/>
      <c r="I730" s="2436"/>
      <c r="J730" s="2436"/>
      <c r="K730" s="710" t="s">
        <v>1121</v>
      </c>
      <c r="L730" s="712" t="s">
        <v>968</v>
      </c>
      <c r="M730" s="698">
        <v>42</v>
      </c>
      <c r="N730" s="698" t="s">
        <v>1050</v>
      </c>
      <c r="O730" s="698" t="s">
        <v>1050</v>
      </c>
      <c r="P730" s="698" t="s">
        <v>1050</v>
      </c>
      <c r="Q730" s="698" t="s">
        <v>1050</v>
      </c>
    </row>
    <row r="731" spans="1:17" s="395" customFormat="1" ht="42.75" customHeight="1" x14ac:dyDescent="0.25">
      <c r="A731" s="394"/>
      <c r="B731" s="2429"/>
      <c r="C731" s="2329"/>
      <c r="D731" s="2329"/>
      <c r="E731" s="2410"/>
      <c r="F731" s="2436"/>
      <c r="G731" s="2436"/>
      <c r="H731" s="2436"/>
      <c r="I731" s="2436"/>
      <c r="J731" s="2436"/>
      <c r="K731" s="710" t="s">
        <v>1322</v>
      </c>
      <c r="L731" s="712" t="s">
        <v>975</v>
      </c>
      <c r="M731" s="698">
        <v>4427</v>
      </c>
      <c r="N731" s="698" t="s">
        <v>1050</v>
      </c>
      <c r="O731" s="698" t="s">
        <v>1050</v>
      </c>
      <c r="P731" s="698" t="s">
        <v>1050</v>
      </c>
      <c r="Q731" s="698" t="s">
        <v>1050</v>
      </c>
    </row>
    <row r="732" spans="1:17" s="395" customFormat="1" ht="45" x14ac:dyDescent="0.25">
      <c r="A732" s="394"/>
      <c r="B732" s="2429"/>
      <c r="C732" s="2329">
        <v>3</v>
      </c>
      <c r="D732" s="2329"/>
      <c r="E732" s="2410" t="s">
        <v>1122</v>
      </c>
      <c r="F732" s="2423">
        <v>9117.6</v>
      </c>
      <c r="G732" s="2423">
        <f>8967.1+8</f>
        <v>8975.1</v>
      </c>
      <c r="H732" s="2423">
        <v>8323.2000000000007</v>
      </c>
      <c r="I732" s="2423">
        <v>9086.4</v>
      </c>
      <c r="J732" s="2423">
        <v>9086.4</v>
      </c>
      <c r="K732" s="710" t="s">
        <v>1123</v>
      </c>
      <c r="L732" s="712" t="s">
        <v>968</v>
      </c>
      <c r="M732" s="698" t="s">
        <v>1050</v>
      </c>
      <c r="N732" s="698" t="s">
        <v>1050</v>
      </c>
      <c r="O732" s="698" t="s">
        <v>1050</v>
      </c>
      <c r="P732" s="698" t="s">
        <v>1050</v>
      </c>
      <c r="Q732" s="698" t="s">
        <v>1050</v>
      </c>
    </row>
    <row r="733" spans="1:17" s="395" customFormat="1" ht="45" x14ac:dyDescent="0.25">
      <c r="A733" s="394"/>
      <c r="B733" s="2429"/>
      <c r="C733" s="2329"/>
      <c r="D733" s="2329"/>
      <c r="E733" s="2410"/>
      <c r="F733" s="2423"/>
      <c r="G733" s="2423"/>
      <c r="H733" s="2423"/>
      <c r="I733" s="2423"/>
      <c r="J733" s="2423"/>
      <c r="K733" s="710" t="s">
        <v>1124</v>
      </c>
      <c r="L733" s="712" t="s">
        <v>968</v>
      </c>
      <c r="M733" s="698" t="s">
        <v>1050</v>
      </c>
      <c r="N733" s="698" t="s">
        <v>1050</v>
      </c>
      <c r="O733" s="698" t="s">
        <v>1050</v>
      </c>
      <c r="P733" s="698" t="s">
        <v>1050</v>
      </c>
      <c r="Q733" s="698" t="s">
        <v>1050</v>
      </c>
    </row>
    <row r="734" spans="1:17" s="395" customFormat="1" ht="27.75" customHeight="1" x14ac:dyDescent="0.25">
      <c r="A734" s="394"/>
      <c r="B734" s="725"/>
      <c r="C734" s="725"/>
      <c r="D734" s="725"/>
      <c r="E734" s="705" t="s">
        <v>1125</v>
      </c>
      <c r="F734" s="665">
        <f>F728+F732</f>
        <v>57351.4</v>
      </c>
      <c r="G734" s="665">
        <f>G728+G732</f>
        <v>57208.9</v>
      </c>
      <c r="H734" s="665">
        <f>H728+H732</f>
        <v>83138.099999999991</v>
      </c>
      <c r="I734" s="665">
        <f>I728+I732</f>
        <v>56549.4</v>
      </c>
      <c r="J734" s="665">
        <f>J728+J732</f>
        <v>58663.1</v>
      </c>
      <c r="K734" s="710"/>
      <c r="L734" s="739"/>
      <c r="M734" s="699"/>
      <c r="N734" s="699"/>
      <c r="O734" s="700"/>
      <c r="P734" s="699"/>
      <c r="Q734" s="699"/>
    </row>
    <row r="735" spans="1:17" s="395" customFormat="1" ht="104.25" x14ac:dyDescent="0.25">
      <c r="A735" s="394"/>
      <c r="B735" s="725"/>
      <c r="C735" s="718"/>
      <c r="D735" s="718"/>
      <c r="E735" s="705" t="s">
        <v>1126</v>
      </c>
      <c r="F735" s="726">
        <f>F736+F737</f>
        <v>155655.5</v>
      </c>
      <c r="G735" s="726">
        <f t="shared" ref="G735:J735" si="79">G736+G737</f>
        <v>155655.5</v>
      </c>
      <c r="H735" s="726">
        <f>H736+H737</f>
        <v>160001.19999999998</v>
      </c>
      <c r="I735" s="726">
        <f t="shared" si="79"/>
        <v>153217.69999999998</v>
      </c>
      <c r="J735" s="726">
        <f t="shared" si="79"/>
        <v>159942.79999999999</v>
      </c>
      <c r="K735" s="710" t="s">
        <v>1127</v>
      </c>
      <c r="L735" s="712" t="s">
        <v>14</v>
      </c>
      <c r="M735" s="740">
        <v>0.5</v>
      </c>
      <c r="N735" s="740">
        <v>0.5</v>
      </c>
      <c r="O735" s="741">
        <v>1</v>
      </c>
      <c r="P735" s="740">
        <v>1</v>
      </c>
      <c r="Q735" s="740">
        <v>1</v>
      </c>
    </row>
    <row r="736" spans="1:17" s="395" customFormat="1" ht="60" x14ac:dyDescent="0.25">
      <c r="A736" s="394"/>
      <c r="B736" s="725">
        <v>6</v>
      </c>
      <c r="C736" s="718">
        <v>1</v>
      </c>
      <c r="D736" s="718"/>
      <c r="E736" s="710" t="s">
        <v>1128</v>
      </c>
      <c r="F736" s="736">
        <v>153855.5</v>
      </c>
      <c r="G736" s="736">
        <v>153855.4</v>
      </c>
      <c r="H736" s="736">
        <f>158309.3</f>
        <v>158309.29999999999</v>
      </c>
      <c r="I736" s="736">
        <v>151393.79999999999</v>
      </c>
      <c r="J736" s="736">
        <v>158118.9</v>
      </c>
      <c r="K736" s="710" t="s">
        <v>1129</v>
      </c>
      <c r="L736" s="712" t="s">
        <v>1130</v>
      </c>
      <c r="M736" s="740">
        <v>11</v>
      </c>
      <c r="N736" s="740">
        <v>12</v>
      </c>
      <c r="O736" s="741">
        <v>13</v>
      </c>
      <c r="P736" s="740">
        <v>14</v>
      </c>
      <c r="Q736" s="740">
        <v>15</v>
      </c>
    </row>
    <row r="737" spans="1:17" s="395" customFormat="1" ht="15" customHeight="1" x14ac:dyDescent="0.25">
      <c r="A737" s="394"/>
      <c r="B737" s="2429"/>
      <c r="C737" s="2329">
        <v>2</v>
      </c>
      <c r="D737" s="2329"/>
      <c r="E737" s="2441" t="s">
        <v>1131</v>
      </c>
      <c r="F737" s="2423">
        <v>1800</v>
      </c>
      <c r="G737" s="2423">
        <v>1800.1</v>
      </c>
      <c r="H737" s="2423">
        <v>1691.9</v>
      </c>
      <c r="I737" s="2423">
        <v>1823.9</v>
      </c>
      <c r="J737" s="2423">
        <v>1823.9</v>
      </c>
      <c r="K737" s="2410" t="s">
        <v>1132</v>
      </c>
      <c r="L737" s="2411" t="s">
        <v>14</v>
      </c>
      <c r="M737" s="2437" t="s">
        <v>1133</v>
      </c>
      <c r="N737" s="2437" t="s">
        <v>1133</v>
      </c>
      <c r="O737" s="2437" t="s">
        <v>1133</v>
      </c>
      <c r="P737" s="2437" t="s">
        <v>1133</v>
      </c>
      <c r="Q737" s="2437" t="s">
        <v>1133</v>
      </c>
    </row>
    <row r="738" spans="1:17" s="395" customFormat="1" ht="62.25" customHeight="1" x14ac:dyDescent="0.25">
      <c r="A738" s="394"/>
      <c r="B738" s="2429"/>
      <c r="C738" s="2329"/>
      <c r="D738" s="2329"/>
      <c r="E738" s="2441"/>
      <c r="F738" s="2423"/>
      <c r="G738" s="2423"/>
      <c r="H738" s="2423"/>
      <c r="I738" s="2423"/>
      <c r="J738" s="2423"/>
      <c r="K738" s="2410"/>
      <c r="L738" s="2411"/>
      <c r="M738" s="2104"/>
      <c r="N738" s="2104"/>
      <c r="O738" s="2104"/>
      <c r="P738" s="2104"/>
      <c r="Q738" s="2104"/>
    </row>
    <row r="739" spans="1:17" ht="0.75" customHeight="1" x14ac:dyDescent="0.25">
      <c r="B739" s="72"/>
      <c r="C739" s="72"/>
      <c r="D739" s="72"/>
      <c r="E739" s="742" t="s">
        <v>1060</v>
      </c>
      <c r="F739" s="588">
        <f>F736+F737</f>
        <v>155655.5</v>
      </c>
      <c r="G739" s="588">
        <f>G736+G737</f>
        <v>155655.5</v>
      </c>
      <c r="H739" s="588">
        <f>H736+H737</f>
        <v>160001.19999999998</v>
      </c>
      <c r="I739" s="588">
        <f>I736+I737</f>
        <v>153217.69999999998</v>
      </c>
      <c r="J739" s="588">
        <f>J736+J737</f>
        <v>159942.79999999999</v>
      </c>
      <c r="K739" s="859"/>
      <c r="L739" s="743"/>
      <c r="M739" s="744"/>
      <c r="N739" s="744"/>
      <c r="O739" s="744"/>
      <c r="P739" s="744"/>
      <c r="Q739" s="744"/>
    </row>
    <row r="740" spans="1:17" x14ac:dyDescent="0.25">
      <c r="A740" s="2438" t="s">
        <v>291</v>
      </c>
      <c r="B740" s="2438"/>
      <c r="C740" s="2438"/>
      <c r="D740" s="2438"/>
      <c r="E740" s="2439"/>
      <c r="F740" s="746">
        <f>F680+F705+F718+F725+F734+F739</f>
        <v>27685738.999999993</v>
      </c>
      <c r="G740" s="746">
        <f>G680+G705+G718+G725+G734+G739</f>
        <v>26811992.899999999</v>
      </c>
      <c r="H740" s="746">
        <f>H672+H681+H706+H719+H726+H735</f>
        <v>34253769.800000004</v>
      </c>
      <c r="I740" s="746">
        <f>I680+I705+I718+I725+I734+I739</f>
        <v>27415375.289999995</v>
      </c>
      <c r="J740" s="746">
        <f>J680+J705+J718+J725+J734+J739</f>
        <v>27245447.300000001</v>
      </c>
      <c r="K740" s="860"/>
      <c r="L740" s="747"/>
      <c r="M740" s="748"/>
      <c r="N740" s="749"/>
      <c r="O740" s="750"/>
      <c r="P740" s="749"/>
      <c r="Q740" s="749"/>
    </row>
    <row r="741" spans="1:17" s="751" customFormat="1" ht="15" customHeight="1" x14ac:dyDescent="0.25">
      <c r="A741" s="2440" t="s">
        <v>1134</v>
      </c>
      <c r="B741" s="2440"/>
      <c r="C741" s="2440"/>
      <c r="D741" s="2440"/>
      <c r="E741" s="2440"/>
      <c r="F741" s="2440"/>
      <c r="G741" s="2440"/>
      <c r="H741" s="2440"/>
      <c r="I741" s="2440"/>
      <c r="J741" s="2440"/>
      <c r="K741" s="2440"/>
      <c r="L741" s="2440"/>
      <c r="M741" s="2440"/>
      <c r="N741" s="2440"/>
      <c r="O741" s="2440"/>
      <c r="P741" s="2440"/>
      <c r="Q741" s="2440"/>
    </row>
    <row r="742" spans="1:17" s="395" customFormat="1" ht="89.25" x14ac:dyDescent="0.25">
      <c r="A742" s="394"/>
      <c r="B742" s="752">
        <v>1</v>
      </c>
      <c r="C742" s="753"/>
      <c r="D742" s="754"/>
      <c r="E742" s="755" t="s">
        <v>1135</v>
      </c>
      <c r="F742" s="756">
        <f>F743+F744+F746+F747+F749+F752+F753</f>
        <v>72873.2</v>
      </c>
      <c r="G742" s="756">
        <f t="shared" ref="G742:J742" si="80">G743+G744+G746+G747+G749+G752+G753</f>
        <v>47759.6</v>
      </c>
      <c r="H742" s="756">
        <f>H743+H744+H746+H747+H749+H752+H753</f>
        <v>70796.099999999991</v>
      </c>
      <c r="I742" s="756">
        <f t="shared" si="80"/>
        <v>65294.399999999994</v>
      </c>
      <c r="J742" s="756">
        <f t="shared" si="80"/>
        <v>65142</v>
      </c>
      <c r="K742" s="589" t="s">
        <v>1009</v>
      </c>
      <c r="L742" s="757" t="s">
        <v>14</v>
      </c>
      <c r="M742" s="724">
        <v>30</v>
      </c>
      <c r="N742" s="724">
        <v>34.700000000000003</v>
      </c>
      <c r="O742" s="724">
        <v>43.7</v>
      </c>
      <c r="P742" s="724">
        <v>46.8</v>
      </c>
      <c r="Q742" s="724">
        <v>46.9</v>
      </c>
    </row>
    <row r="743" spans="1:17" s="395" customFormat="1" x14ac:dyDescent="0.25">
      <c r="A743" s="394"/>
      <c r="B743" s="763"/>
      <c r="C743" s="655" t="s">
        <v>2</v>
      </c>
      <c r="D743" s="758"/>
      <c r="E743" s="769" t="s">
        <v>140</v>
      </c>
      <c r="F743" s="760">
        <v>4048.5</v>
      </c>
      <c r="G743" s="760">
        <v>3971</v>
      </c>
      <c r="H743" s="760">
        <f>1937.9+1334.8</f>
        <v>3272.7</v>
      </c>
      <c r="I743" s="760">
        <v>3304.7</v>
      </c>
      <c r="J743" s="761">
        <v>3377.3</v>
      </c>
      <c r="K743" s="764" t="s">
        <v>501</v>
      </c>
      <c r="L743" s="757" t="s">
        <v>15</v>
      </c>
      <c r="M743" s="698">
        <v>34.5</v>
      </c>
      <c r="N743" s="699">
        <v>32.6</v>
      </c>
      <c r="O743" s="699">
        <v>32.6</v>
      </c>
      <c r="P743" s="699">
        <v>32.6</v>
      </c>
      <c r="Q743" s="762">
        <v>0</v>
      </c>
    </row>
    <row r="744" spans="1:17" s="395" customFormat="1" x14ac:dyDescent="0.25">
      <c r="A744" s="394"/>
      <c r="B744" s="2442"/>
      <c r="C744" s="2444" t="s">
        <v>3</v>
      </c>
      <c r="D744" s="2446"/>
      <c r="E744" s="2389" t="s">
        <v>997</v>
      </c>
      <c r="F744" s="2448">
        <v>1349.5</v>
      </c>
      <c r="G744" s="2448">
        <v>927.5</v>
      </c>
      <c r="H744" s="2448">
        <f>725.1+701.4</f>
        <v>1426.5</v>
      </c>
      <c r="I744" s="2448">
        <v>1429.8</v>
      </c>
      <c r="J744" s="2448">
        <v>1437.6</v>
      </c>
      <c r="K744" s="764" t="s">
        <v>1136</v>
      </c>
      <c r="L744" s="757" t="s">
        <v>14</v>
      </c>
      <c r="M744" s="698">
        <v>100</v>
      </c>
      <c r="N744" s="698">
        <v>100</v>
      </c>
      <c r="O744" s="698">
        <v>100</v>
      </c>
      <c r="P744" s="698">
        <v>100</v>
      </c>
      <c r="Q744" s="762">
        <v>0</v>
      </c>
    </row>
    <row r="745" spans="1:17" s="395" customFormat="1" x14ac:dyDescent="0.25">
      <c r="B745" s="2443"/>
      <c r="C745" s="2445"/>
      <c r="D745" s="2447"/>
      <c r="E745" s="2389"/>
      <c r="F745" s="2449"/>
      <c r="G745" s="2449"/>
      <c r="H745" s="2449"/>
      <c r="I745" s="2449"/>
      <c r="J745" s="2449"/>
      <c r="K745" s="589" t="s">
        <v>1137</v>
      </c>
      <c r="L745" s="757" t="s">
        <v>1073</v>
      </c>
      <c r="M745" s="698">
        <v>53</v>
      </c>
      <c r="N745" s="699">
        <v>97</v>
      </c>
      <c r="O745" s="699">
        <v>100</v>
      </c>
      <c r="P745" s="699">
        <v>100</v>
      </c>
      <c r="Q745" s="762">
        <v>0</v>
      </c>
    </row>
    <row r="746" spans="1:17" s="395" customFormat="1" ht="37.5" customHeight="1" x14ac:dyDescent="0.25">
      <c r="B746" s="763"/>
      <c r="C746" s="767" t="s">
        <v>4</v>
      </c>
      <c r="D746" s="765"/>
      <c r="E746" s="666" t="s">
        <v>262</v>
      </c>
      <c r="F746" s="766">
        <v>9446.5</v>
      </c>
      <c r="G746" s="766">
        <v>6383.1</v>
      </c>
      <c r="H746" s="766">
        <f>2332.2+2387.8</f>
        <v>4720</v>
      </c>
      <c r="I746" s="766">
        <v>4723.5</v>
      </c>
      <c r="J746" s="761">
        <v>4731.3</v>
      </c>
      <c r="K746" s="764" t="s">
        <v>1138</v>
      </c>
      <c r="L746" s="757" t="s">
        <v>1073</v>
      </c>
      <c r="M746" s="698">
        <v>25</v>
      </c>
      <c r="N746" s="698">
        <v>25</v>
      </c>
      <c r="O746" s="698">
        <v>25</v>
      </c>
      <c r="P746" s="698">
        <v>25</v>
      </c>
      <c r="Q746" s="762">
        <v>0</v>
      </c>
    </row>
    <row r="747" spans="1:17" s="395" customFormat="1" ht="30" customHeight="1" x14ac:dyDescent="0.25">
      <c r="B747" s="2442"/>
      <c r="C747" s="1848" t="s">
        <v>5</v>
      </c>
      <c r="D747" s="2446"/>
      <c r="E747" s="2389" t="s">
        <v>241</v>
      </c>
      <c r="F747" s="2448">
        <v>4048.5</v>
      </c>
      <c r="G747" s="2448">
        <v>2929.2</v>
      </c>
      <c r="H747" s="2448">
        <f>2770.6+2763.2</f>
        <v>5533.7999999999993</v>
      </c>
      <c r="I747" s="2448">
        <v>8392.5</v>
      </c>
      <c r="J747" s="2448">
        <v>8128.5</v>
      </c>
      <c r="K747" s="764" t="s">
        <v>1139</v>
      </c>
      <c r="L747" s="757" t="s">
        <v>1073</v>
      </c>
      <c r="M747" s="698">
        <v>25</v>
      </c>
      <c r="N747" s="699">
        <v>5</v>
      </c>
      <c r="O747" s="699">
        <v>5</v>
      </c>
      <c r="P747" s="699">
        <v>5</v>
      </c>
      <c r="Q747" s="762">
        <v>0</v>
      </c>
    </row>
    <row r="748" spans="1:17" s="395" customFormat="1" ht="30" customHeight="1" x14ac:dyDescent="0.25">
      <c r="B748" s="2443"/>
      <c r="C748" s="1849"/>
      <c r="D748" s="2447"/>
      <c r="E748" s="2389"/>
      <c r="F748" s="2449"/>
      <c r="G748" s="2449"/>
      <c r="H748" s="2449"/>
      <c r="I748" s="2449"/>
      <c r="J748" s="2449"/>
      <c r="K748" s="628" t="s">
        <v>1140</v>
      </c>
      <c r="L748" s="757" t="s">
        <v>1073</v>
      </c>
      <c r="M748" s="698">
        <v>30</v>
      </c>
      <c r="N748" s="699">
        <v>4</v>
      </c>
      <c r="O748" s="699">
        <v>4</v>
      </c>
      <c r="P748" s="699">
        <v>4</v>
      </c>
      <c r="Q748" s="762">
        <v>0</v>
      </c>
    </row>
    <row r="749" spans="1:17" s="395" customFormat="1" ht="45" customHeight="1" x14ac:dyDescent="0.25">
      <c r="B749" s="2442"/>
      <c r="C749" s="1848" t="s">
        <v>49</v>
      </c>
      <c r="D749" s="2452"/>
      <c r="E749" s="2389" t="s">
        <v>1141</v>
      </c>
      <c r="F749" s="2448">
        <v>14844.6</v>
      </c>
      <c r="G749" s="2448">
        <v>9929.7999999999993</v>
      </c>
      <c r="H749" s="2448">
        <f>4072.8+4117.8</f>
        <v>8190.6</v>
      </c>
      <c r="I749" s="2448">
        <v>8194</v>
      </c>
      <c r="J749" s="2448">
        <v>8201.7999999999993</v>
      </c>
      <c r="K749" s="589" t="s">
        <v>1142</v>
      </c>
      <c r="L749" s="757" t="s">
        <v>1073</v>
      </c>
      <c r="M749" s="762">
        <v>44</v>
      </c>
      <c r="N749" s="762">
        <v>2</v>
      </c>
      <c r="O749" s="762">
        <v>3</v>
      </c>
      <c r="P749" s="762">
        <v>3</v>
      </c>
      <c r="Q749" s="762">
        <v>0</v>
      </c>
    </row>
    <row r="750" spans="1:17" s="395" customFormat="1" ht="45" x14ac:dyDescent="0.25">
      <c r="B750" s="2451"/>
      <c r="C750" s="2067"/>
      <c r="D750" s="2453"/>
      <c r="E750" s="2389"/>
      <c r="F750" s="2455"/>
      <c r="G750" s="2455"/>
      <c r="H750" s="2455"/>
      <c r="I750" s="2455"/>
      <c r="J750" s="2455"/>
      <c r="K750" s="764" t="s">
        <v>1143</v>
      </c>
      <c r="L750" s="757" t="s">
        <v>1073</v>
      </c>
      <c r="M750" s="698">
        <v>250</v>
      </c>
      <c r="N750" s="698">
        <v>250</v>
      </c>
      <c r="O750" s="698">
        <v>250</v>
      </c>
      <c r="P750" s="698">
        <v>250</v>
      </c>
      <c r="Q750" s="762">
        <v>0</v>
      </c>
    </row>
    <row r="751" spans="1:17" s="395" customFormat="1" ht="60" customHeight="1" x14ac:dyDescent="0.25">
      <c r="B751" s="2443"/>
      <c r="C751" s="1849"/>
      <c r="D751" s="2454"/>
      <c r="E751" s="2389"/>
      <c r="F751" s="2449"/>
      <c r="G751" s="2449"/>
      <c r="H751" s="2449"/>
      <c r="I751" s="2449"/>
      <c r="J751" s="2449"/>
      <c r="K751" s="764" t="s">
        <v>1144</v>
      </c>
      <c r="L751" s="757" t="s">
        <v>1073</v>
      </c>
      <c r="M751" s="698">
        <v>2</v>
      </c>
      <c r="N751" s="698">
        <v>2</v>
      </c>
      <c r="O751" s="698">
        <v>2</v>
      </c>
      <c r="P751" s="698">
        <v>2</v>
      </c>
      <c r="Q751" s="762">
        <v>0</v>
      </c>
    </row>
    <row r="752" spans="1:17" s="395" customFormat="1" ht="45" x14ac:dyDescent="0.25">
      <c r="B752" s="763"/>
      <c r="C752" s="594" t="s">
        <v>50</v>
      </c>
      <c r="D752" s="758"/>
      <c r="E752" s="666" t="s">
        <v>998</v>
      </c>
      <c r="F752" s="761">
        <v>33737.599999999999</v>
      </c>
      <c r="G752" s="761">
        <v>19959.599999999999</v>
      </c>
      <c r="H752" s="761">
        <f>16158.7+24536</f>
        <v>40694.699999999997</v>
      </c>
      <c r="I752" s="761">
        <v>32288.7</v>
      </c>
      <c r="J752" s="761">
        <v>32296.5</v>
      </c>
      <c r="K752" s="764" t="s">
        <v>1145</v>
      </c>
      <c r="L752" s="757" t="s">
        <v>14</v>
      </c>
      <c r="M752" s="698">
        <v>25</v>
      </c>
      <c r="N752" s="698">
        <v>25</v>
      </c>
      <c r="O752" s="698">
        <v>25</v>
      </c>
      <c r="P752" s="698">
        <v>25</v>
      </c>
      <c r="Q752" s="762">
        <v>0</v>
      </c>
    </row>
    <row r="753" spans="1:17" s="395" customFormat="1" ht="65.25" customHeight="1" x14ac:dyDescent="0.25">
      <c r="B753" s="763"/>
      <c r="C753" s="592" t="s">
        <v>51</v>
      </c>
      <c r="D753" s="771"/>
      <c r="E753" s="769" t="s">
        <v>1146</v>
      </c>
      <c r="F753" s="761">
        <v>5398</v>
      </c>
      <c r="G753" s="761">
        <v>3659.4</v>
      </c>
      <c r="H753" s="761">
        <f>3493.8+3464</f>
        <v>6957.8</v>
      </c>
      <c r="I753" s="761">
        <v>6961.2</v>
      </c>
      <c r="J753" s="761">
        <v>6969</v>
      </c>
      <c r="K753" s="589" t="s">
        <v>1147</v>
      </c>
      <c r="L753" s="540" t="s">
        <v>14</v>
      </c>
      <c r="M753" s="762">
        <v>93</v>
      </c>
      <c r="N753" s="762">
        <v>93</v>
      </c>
      <c r="O753" s="762">
        <v>93</v>
      </c>
      <c r="P753" s="762">
        <v>93</v>
      </c>
      <c r="Q753" s="762">
        <v>0</v>
      </c>
    </row>
    <row r="754" spans="1:17" s="395" customFormat="1" ht="103.5" x14ac:dyDescent="0.25">
      <c r="B754" s="763">
        <v>2</v>
      </c>
      <c r="C754" s="348"/>
      <c r="D754" s="348"/>
      <c r="E754" s="772" t="s">
        <v>1148</v>
      </c>
      <c r="F754" s="773">
        <f>F755+F758+F769+F771</f>
        <v>152493.6</v>
      </c>
      <c r="G754" s="773">
        <f t="shared" ref="G754:J754" si="81">G755+G758+G769+G771</f>
        <v>79195.600000000006</v>
      </c>
      <c r="H754" s="773">
        <f>H755+H758+H769+H771+H757</f>
        <v>56417</v>
      </c>
      <c r="I754" s="773">
        <f t="shared" si="81"/>
        <v>61609</v>
      </c>
      <c r="J754" s="773">
        <f t="shared" si="81"/>
        <v>61609</v>
      </c>
      <c r="K754" s="861"/>
      <c r="L754" s="1548"/>
      <c r="M754" s="774"/>
      <c r="N754" s="774"/>
      <c r="O754" s="774"/>
      <c r="P754" s="774"/>
      <c r="Q754" s="775"/>
    </row>
    <row r="755" spans="1:17" s="395" customFormat="1" ht="15" customHeight="1" x14ac:dyDescent="0.25">
      <c r="B755" s="2456"/>
      <c r="C755" s="1853" t="s">
        <v>2</v>
      </c>
      <c r="D755" s="2457"/>
      <c r="E755" s="2093" t="s">
        <v>1149</v>
      </c>
      <c r="F755" s="2458">
        <v>45883</v>
      </c>
      <c r="G755" s="2458">
        <v>23810.1</v>
      </c>
      <c r="H755" s="2458">
        <f>13428.6+13448.2</f>
        <v>26876.800000000003</v>
      </c>
      <c r="I755" s="2458">
        <v>24035.599999999999</v>
      </c>
      <c r="J755" s="2458">
        <v>24012.2</v>
      </c>
      <c r="K755" s="497" t="s">
        <v>1150</v>
      </c>
      <c r="L755" s="511" t="s">
        <v>1073</v>
      </c>
      <c r="M755" s="778">
        <v>5</v>
      </c>
      <c r="N755" s="778">
        <v>5</v>
      </c>
      <c r="O755" s="778">
        <v>5</v>
      </c>
      <c r="P755" s="778">
        <v>5</v>
      </c>
      <c r="Q755" s="779">
        <v>0</v>
      </c>
    </row>
    <row r="756" spans="1:17" s="395" customFormat="1" ht="30" x14ac:dyDescent="0.25">
      <c r="B756" s="2456"/>
      <c r="C756" s="1853"/>
      <c r="D756" s="2457"/>
      <c r="E756" s="2095"/>
      <c r="F756" s="2459"/>
      <c r="G756" s="2459"/>
      <c r="H756" s="2459"/>
      <c r="I756" s="2459"/>
      <c r="J756" s="2459"/>
      <c r="K756" s="497" t="s">
        <v>1151</v>
      </c>
      <c r="L756" s="511" t="s">
        <v>1073</v>
      </c>
      <c r="M756" s="778">
        <v>3</v>
      </c>
      <c r="N756" s="778">
        <v>4</v>
      </c>
      <c r="O756" s="778">
        <v>5</v>
      </c>
      <c r="P756" s="778">
        <v>6</v>
      </c>
      <c r="Q756" s="779">
        <v>0</v>
      </c>
    </row>
    <row r="757" spans="1:17" s="395" customFormat="1" ht="60" x14ac:dyDescent="0.25">
      <c r="B757" s="763"/>
      <c r="C757" s="780" t="s">
        <v>3</v>
      </c>
      <c r="D757" s="781"/>
      <c r="E757" s="777" t="s">
        <v>1152</v>
      </c>
      <c r="F757" s="782"/>
      <c r="G757" s="782"/>
      <c r="H757" s="782">
        <v>81.099999999999994</v>
      </c>
      <c r="I757" s="782"/>
      <c r="J757" s="782"/>
      <c r="K757" s="589"/>
      <c r="L757" s="778"/>
      <c r="M757" s="778"/>
      <c r="N757" s="778"/>
      <c r="O757" s="778"/>
      <c r="P757" s="778"/>
      <c r="Q757" s="779"/>
    </row>
    <row r="758" spans="1:17" s="395" customFormat="1" ht="15" customHeight="1" x14ac:dyDescent="0.25">
      <c r="B758" s="2442"/>
      <c r="C758" s="2469" t="s">
        <v>4</v>
      </c>
      <c r="D758" s="2457"/>
      <c r="E758" s="1669" t="s">
        <v>1153</v>
      </c>
      <c r="F758" s="2458">
        <v>85018.6</v>
      </c>
      <c r="G758" s="2458">
        <v>39533.300000000003</v>
      </c>
      <c r="H758" s="2458">
        <f>11742.9+13305.7</f>
        <v>25048.6</v>
      </c>
      <c r="I758" s="2458">
        <v>33461.5</v>
      </c>
      <c r="J758" s="2458">
        <v>33469.300000000003</v>
      </c>
      <c r="K758" s="628" t="s">
        <v>1154</v>
      </c>
      <c r="L758" s="511" t="s">
        <v>1073</v>
      </c>
      <c r="M758" s="778">
        <v>23</v>
      </c>
      <c r="N758" s="778">
        <v>2</v>
      </c>
      <c r="O758" s="778">
        <v>2</v>
      </c>
      <c r="P758" s="778">
        <v>2</v>
      </c>
      <c r="Q758" s="779">
        <v>0</v>
      </c>
    </row>
    <row r="759" spans="1:17" s="395" customFormat="1" ht="45" x14ac:dyDescent="0.25">
      <c r="B759" s="2451"/>
      <c r="C759" s="2470"/>
      <c r="D759" s="2457"/>
      <c r="E759" s="1669"/>
      <c r="F759" s="2472"/>
      <c r="G759" s="2472"/>
      <c r="H759" s="2472"/>
      <c r="I759" s="2472"/>
      <c r="J759" s="2472"/>
      <c r="K759" s="628" t="s">
        <v>1155</v>
      </c>
      <c r="L759" s="511" t="s">
        <v>1073</v>
      </c>
      <c r="M759" s="778">
        <v>12</v>
      </c>
      <c r="N759" s="778">
        <v>18</v>
      </c>
      <c r="O759" s="778">
        <v>4</v>
      </c>
      <c r="P759" s="778">
        <v>4</v>
      </c>
      <c r="Q759" s="779">
        <v>0</v>
      </c>
    </row>
    <row r="760" spans="1:17" s="395" customFormat="1" ht="45" customHeight="1" x14ac:dyDescent="0.25">
      <c r="B760" s="2451"/>
      <c r="C760" s="2470"/>
      <c r="D760" s="2457"/>
      <c r="E760" s="1669"/>
      <c r="F760" s="2472"/>
      <c r="G760" s="2472"/>
      <c r="H760" s="2472"/>
      <c r="I760" s="2472"/>
      <c r="J760" s="2472"/>
      <c r="K760" s="628" t="s">
        <v>1156</v>
      </c>
      <c r="L760" s="511" t="s">
        <v>1073</v>
      </c>
      <c r="M760" s="778">
        <v>500</v>
      </c>
      <c r="N760" s="778">
        <v>500</v>
      </c>
      <c r="O760" s="778">
        <v>500</v>
      </c>
      <c r="P760" s="778">
        <v>500</v>
      </c>
      <c r="Q760" s="779">
        <v>0</v>
      </c>
    </row>
    <row r="761" spans="1:17" s="395" customFormat="1" ht="45" customHeight="1" x14ac:dyDescent="0.25">
      <c r="B761" s="2451"/>
      <c r="C761" s="2470"/>
      <c r="D761" s="2457"/>
      <c r="E761" s="1669"/>
      <c r="F761" s="2472"/>
      <c r="G761" s="2472"/>
      <c r="H761" s="2472"/>
      <c r="I761" s="2472"/>
      <c r="J761" s="2472"/>
      <c r="K761" s="628" t="s">
        <v>1157</v>
      </c>
      <c r="L761" s="511" t="s">
        <v>1073</v>
      </c>
      <c r="M761" s="778">
        <v>49</v>
      </c>
      <c r="N761" s="778">
        <v>25</v>
      </c>
      <c r="O761" s="778">
        <v>26</v>
      </c>
      <c r="P761" s="778">
        <v>100</v>
      </c>
      <c r="Q761" s="779">
        <v>0</v>
      </c>
    </row>
    <row r="762" spans="1:17" s="395" customFormat="1" ht="30" customHeight="1" x14ac:dyDescent="0.25">
      <c r="A762" s="394"/>
      <c r="B762" s="2451"/>
      <c r="C762" s="2470"/>
      <c r="D762" s="2457"/>
      <c r="E762" s="1669"/>
      <c r="F762" s="2472"/>
      <c r="G762" s="2472"/>
      <c r="H762" s="2472"/>
      <c r="I762" s="2472"/>
      <c r="J762" s="2472"/>
      <c r="K762" s="628" t="s">
        <v>1158</v>
      </c>
      <c r="L762" s="511" t="s">
        <v>14</v>
      </c>
      <c r="M762" s="778">
        <v>10</v>
      </c>
      <c r="N762" s="778">
        <v>10</v>
      </c>
      <c r="O762" s="778">
        <v>10</v>
      </c>
      <c r="P762" s="778">
        <v>10</v>
      </c>
      <c r="Q762" s="779">
        <v>0</v>
      </c>
    </row>
    <row r="763" spans="1:17" s="395" customFormat="1" ht="60" x14ac:dyDescent="0.25">
      <c r="A763" s="394"/>
      <c r="B763" s="2451"/>
      <c r="C763" s="2470"/>
      <c r="D763" s="2457"/>
      <c r="E763" s="1669"/>
      <c r="F763" s="2472"/>
      <c r="G763" s="2472"/>
      <c r="H763" s="2472"/>
      <c r="I763" s="2472"/>
      <c r="J763" s="2472"/>
      <c r="K763" s="628" t="s">
        <v>1159</v>
      </c>
      <c r="L763" s="778" t="s">
        <v>968</v>
      </c>
      <c r="M763" s="778">
        <v>2</v>
      </c>
      <c r="N763" s="778">
        <v>2</v>
      </c>
      <c r="O763" s="778">
        <v>2</v>
      </c>
      <c r="P763" s="778">
        <v>2</v>
      </c>
      <c r="Q763" s="779">
        <v>0</v>
      </c>
    </row>
    <row r="764" spans="1:17" s="395" customFormat="1" ht="30" x14ac:dyDescent="0.25">
      <c r="A764" s="394"/>
      <c r="B764" s="2451"/>
      <c r="C764" s="2470"/>
      <c r="D764" s="2457"/>
      <c r="E764" s="1669"/>
      <c r="F764" s="2472"/>
      <c r="G764" s="2472"/>
      <c r="H764" s="2472"/>
      <c r="I764" s="2472"/>
      <c r="J764" s="2472"/>
      <c r="K764" s="628" t="s">
        <v>1160</v>
      </c>
      <c r="L764" s="778" t="s">
        <v>968</v>
      </c>
      <c r="M764" s="778">
        <v>2</v>
      </c>
      <c r="N764" s="778">
        <v>2</v>
      </c>
      <c r="O764" s="778">
        <v>2</v>
      </c>
      <c r="P764" s="778">
        <v>0</v>
      </c>
      <c r="Q764" s="779">
        <v>0</v>
      </c>
    </row>
    <row r="765" spans="1:17" s="395" customFormat="1" ht="30" x14ac:dyDescent="0.25">
      <c r="A765" s="394"/>
      <c r="B765" s="2451"/>
      <c r="C765" s="2470"/>
      <c r="D765" s="2457"/>
      <c r="E765" s="1669"/>
      <c r="F765" s="2472"/>
      <c r="G765" s="2472"/>
      <c r="H765" s="2472"/>
      <c r="I765" s="2472"/>
      <c r="J765" s="2472"/>
      <c r="K765" s="628" t="s">
        <v>1161</v>
      </c>
      <c r="L765" s="778" t="s">
        <v>14</v>
      </c>
      <c r="M765" s="783" t="s">
        <v>1162</v>
      </c>
      <c r="N765" s="783" t="s">
        <v>1162</v>
      </c>
      <c r="O765" s="783" t="s">
        <v>1162</v>
      </c>
      <c r="P765" s="783" t="s">
        <v>1162</v>
      </c>
      <c r="Q765" s="779">
        <v>0</v>
      </c>
    </row>
    <row r="766" spans="1:17" s="395" customFormat="1" ht="30" x14ac:dyDescent="0.25">
      <c r="A766" s="394"/>
      <c r="B766" s="2451"/>
      <c r="C766" s="2470"/>
      <c r="D766" s="2457"/>
      <c r="E766" s="1669"/>
      <c r="F766" s="2472"/>
      <c r="G766" s="2472"/>
      <c r="H766" s="2472"/>
      <c r="I766" s="2472"/>
      <c r="J766" s="2472"/>
      <c r="K766" s="628" t="s">
        <v>1163</v>
      </c>
      <c r="L766" s="511" t="s">
        <v>1073</v>
      </c>
      <c r="M766" s="784">
        <v>4</v>
      </c>
      <c r="N766" s="784">
        <v>4</v>
      </c>
      <c r="O766" s="784">
        <v>4</v>
      </c>
      <c r="P766" s="784">
        <v>4</v>
      </c>
      <c r="Q766" s="785">
        <v>0</v>
      </c>
    </row>
    <row r="767" spans="1:17" s="395" customFormat="1" ht="45" x14ac:dyDescent="0.25">
      <c r="A767" s="394"/>
      <c r="B767" s="2451"/>
      <c r="C767" s="2470"/>
      <c r="D767" s="2457"/>
      <c r="E767" s="1669"/>
      <c r="F767" s="2472"/>
      <c r="G767" s="2472"/>
      <c r="H767" s="2472"/>
      <c r="I767" s="2472"/>
      <c r="J767" s="2472"/>
      <c r="K767" s="628" t="s">
        <v>1164</v>
      </c>
      <c r="L767" s="511" t="s">
        <v>1073</v>
      </c>
      <c r="M767" s="778">
        <v>1</v>
      </c>
      <c r="N767" s="778">
        <v>1</v>
      </c>
      <c r="O767" s="778">
        <v>1</v>
      </c>
      <c r="P767" s="778">
        <v>2</v>
      </c>
      <c r="Q767" s="779">
        <v>0</v>
      </c>
    </row>
    <row r="768" spans="1:17" s="395" customFormat="1" ht="30" customHeight="1" x14ac:dyDescent="0.25">
      <c r="A768" s="394"/>
      <c r="B768" s="2443"/>
      <c r="C768" s="2471"/>
      <c r="D768" s="2457"/>
      <c r="E768" s="1669"/>
      <c r="F768" s="2459"/>
      <c r="G768" s="2459"/>
      <c r="H768" s="2459"/>
      <c r="I768" s="2459"/>
      <c r="J768" s="2459"/>
      <c r="K768" s="589" t="s">
        <v>1165</v>
      </c>
      <c r="L768" s="778" t="s">
        <v>968</v>
      </c>
      <c r="M768" s="778">
        <v>3</v>
      </c>
      <c r="N768" s="778">
        <v>1</v>
      </c>
      <c r="O768" s="778">
        <v>1</v>
      </c>
      <c r="P768" s="778">
        <v>0</v>
      </c>
      <c r="Q768" s="779">
        <v>0</v>
      </c>
    </row>
    <row r="769" spans="1:17" s="395" customFormat="1" ht="27" customHeight="1" x14ac:dyDescent="0.25">
      <c r="A769" s="394"/>
      <c r="B769" s="2442"/>
      <c r="C769" s="1848" t="s">
        <v>51</v>
      </c>
      <c r="D769" s="2452"/>
      <c r="E769" s="1808" t="s">
        <v>1166</v>
      </c>
      <c r="F769" s="2458">
        <v>2699</v>
      </c>
      <c r="G769" s="2458">
        <v>5813.4</v>
      </c>
      <c r="H769" s="2458">
        <f>610.1+664</f>
        <v>1274.0999999999999</v>
      </c>
      <c r="I769" s="2458">
        <v>1277.4000000000001</v>
      </c>
      <c r="J769" s="2458">
        <v>1285.2</v>
      </c>
      <c r="K769" s="628" t="s">
        <v>1323</v>
      </c>
      <c r="L769" s="778" t="s">
        <v>14</v>
      </c>
      <c r="M769" s="786">
        <v>50</v>
      </c>
      <c r="N769" s="786">
        <v>100</v>
      </c>
      <c r="O769" s="786">
        <v>100</v>
      </c>
      <c r="P769" s="786">
        <v>100</v>
      </c>
      <c r="Q769" s="787">
        <v>0</v>
      </c>
    </row>
    <row r="770" spans="1:17" s="395" customFormat="1" ht="30" customHeight="1" x14ac:dyDescent="0.25">
      <c r="A770" s="394"/>
      <c r="B770" s="2443"/>
      <c r="C770" s="1849"/>
      <c r="D770" s="2454"/>
      <c r="E770" s="1808"/>
      <c r="F770" s="2459"/>
      <c r="G770" s="2459"/>
      <c r="H770" s="2459"/>
      <c r="I770" s="2459"/>
      <c r="J770" s="2459"/>
      <c r="K770" s="628" t="s">
        <v>1167</v>
      </c>
      <c r="L770" s="789" t="s">
        <v>14</v>
      </c>
      <c r="M770" s="789">
        <v>4</v>
      </c>
      <c r="N770" s="789">
        <v>6</v>
      </c>
      <c r="O770" s="789">
        <v>8</v>
      </c>
      <c r="P770" s="789">
        <v>10</v>
      </c>
      <c r="Q770" s="788">
        <v>0</v>
      </c>
    </row>
    <row r="771" spans="1:17" s="395" customFormat="1" ht="15" customHeight="1" x14ac:dyDescent="0.25">
      <c r="A771" s="394"/>
      <c r="B771" s="2456"/>
      <c r="C771" s="2291" t="s">
        <v>54</v>
      </c>
      <c r="D771" s="2452"/>
      <c r="E771" s="1843" t="s">
        <v>1324</v>
      </c>
      <c r="F771" s="2458">
        <v>18893</v>
      </c>
      <c r="G771" s="2458">
        <v>10038.799999999999</v>
      </c>
      <c r="H771" s="2458">
        <f>1647.9+1488.5</f>
        <v>3136.4</v>
      </c>
      <c r="I771" s="2458">
        <v>2834.5</v>
      </c>
      <c r="J771" s="2458">
        <v>2842.3</v>
      </c>
      <c r="K771" s="1669" t="s">
        <v>1325</v>
      </c>
      <c r="L771" s="2450" t="s">
        <v>968</v>
      </c>
      <c r="M771" s="2109">
        <v>1</v>
      </c>
      <c r="N771" s="2109">
        <v>1</v>
      </c>
      <c r="O771" s="2109">
        <v>1</v>
      </c>
      <c r="P771" s="2109">
        <v>1</v>
      </c>
      <c r="Q771" s="2461">
        <v>0</v>
      </c>
    </row>
    <row r="772" spans="1:17" s="395" customFormat="1" ht="48" customHeight="1" x14ac:dyDescent="0.25">
      <c r="A772" s="394"/>
      <c r="B772" s="2456"/>
      <c r="C772" s="2292"/>
      <c r="D772" s="2454"/>
      <c r="E772" s="1843"/>
      <c r="F772" s="2459"/>
      <c r="G772" s="2459"/>
      <c r="H772" s="2459"/>
      <c r="I772" s="2459"/>
      <c r="J772" s="2459"/>
      <c r="K772" s="1669"/>
      <c r="L772" s="2450"/>
      <c r="M772" s="2110"/>
      <c r="N772" s="2110"/>
      <c r="O772" s="2110"/>
      <c r="P772" s="2110"/>
      <c r="Q772" s="2462"/>
    </row>
    <row r="773" spans="1:17" s="395" customFormat="1" ht="103.5" x14ac:dyDescent="0.25">
      <c r="A773" s="394"/>
      <c r="B773" s="763">
        <v>3</v>
      </c>
      <c r="C773" s="32"/>
      <c r="D773" s="32"/>
      <c r="E773" s="772" t="s">
        <v>1148</v>
      </c>
      <c r="F773" s="790">
        <f>F774+F775</f>
        <v>6747.5</v>
      </c>
      <c r="G773" s="790">
        <f t="shared" ref="G773:J773" si="82">G774+G775</f>
        <v>3636.8</v>
      </c>
      <c r="H773" s="790">
        <f t="shared" si="82"/>
        <v>2978.8999999999996</v>
      </c>
      <c r="I773" s="790">
        <f t="shared" si="82"/>
        <v>3059.8999999999996</v>
      </c>
      <c r="J773" s="790">
        <f t="shared" si="82"/>
        <v>3059.8999999999996</v>
      </c>
      <c r="K773" s="845"/>
      <c r="L773" s="540"/>
      <c r="M773" s="562"/>
      <c r="N773" s="562"/>
      <c r="O773" s="562"/>
      <c r="P773" s="791"/>
      <c r="Q773" s="792"/>
    </row>
    <row r="774" spans="1:17" s="395" customFormat="1" ht="30" x14ac:dyDescent="0.25">
      <c r="A774" s="394"/>
      <c r="B774" s="763"/>
      <c r="C774" s="594" t="s">
        <v>2</v>
      </c>
      <c r="D774" s="793"/>
      <c r="E774" s="777" t="s">
        <v>1149</v>
      </c>
      <c r="F774" s="760">
        <v>4048.5</v>
      </c>
      <c r="G774" s="760">
        <v>1859.5</v>
      </c>
      <c r="H774" s="760">
        <f>879.3+984.3</f>
        <v>1863.6</v>
      </c>
      <c r="I774" s="760">
        <v>1860.1</v>
      </c>
      <c r="J774" s="760">
        <v>1852.3</v>
      </c>
      <c r="K774" s="497" t="s">
        <v>1150</v>
      </c>
      <c r="L774" s="511" t="s">
        <v>1073</v>
      </c>
      <c r="M774" s="794">
        <v>0</v>
      </c>
      <c r="N774" s="794">
        <v>0</v>
      </c>
      <c r="O774" s="794">
        <v>1</v>
      </c>
      <c r="P774" s="795">
        <v>0</v>
      </c>
      <c r="Q774" s="92">
        <v>0</v>
      </c>
    </row>
    <row r="775" spans="1:17" s="395" customFormat="1" ht="60" x14ac:dyDescent="0.25">
      <c r="A775" s="394"/>
      <c r="B775" s="796"/>
      <c r="C775" s="655" t="s">
        <v>3</v>
      </c>
      <c r="D775" s="797"/>
      <c r="E775" s="777" t="s">
        <v>1152</v>
      </c>
      <c r="F775" s="761">
        <v>2699</v>
      </c>
      <c r="G775" s="761">
        <v>1777.3</v>
      </c>
      <c r="H775" s="761">
        <f>470.4+644.9</f>
        <v>1115.3</v>
      </c>
      <c r="I775" s="761">
        <v>1199.8</v>
      </c>
      <c r="J775" s="761">
        <v>1207.5999999999999</v>
      </c>
      <c r="K775" s="497" t="s">
        <v>1151</v>
      </c>
      <c r="L775" s="511" t="s">
        <v>1073</v>
      </c>
      <c r="M775" s="798">
        <v>4</v>
      </c>
      <c r="N775" s="798">
        <v>4</v>
      </c>
      <c r="O775" s="798">
        <v>4</v>
      </c>
      <c r="P775" s="799">
        <v>4</v>
      </c>
      <c r="Q775" s="728">
        <v>0</v>
      </c>
    </row>
    <row r="776" spans="1:17" x14ac:dyDescent="0.25">
      <c r="A776" s="27"/>
      <c r="B776" s="2463" t="s">
        <v>291</v>
      </c>
      <c r="C776" s="2464"/>
      <c r="D776" s="2464"/>
      <c r="E776" s="2465"/>
      <c r="F776" s="800">
        <f>F742+F754+F773</f>
        <v>232114.3</v>
      </c>
      <c r="G776" s="800">
        <f t="shared" ref="G776:J776" si="83">G742+G754+G773</f>
        <v>130592.00000000001</v>
      </c>
      <c r="H776" s="800">
        <f t="shared" si="83"/>
        <v>130191.99999999999</v>
      </c>
      <c r="I776" s="800">
        <f t="shared" si="83"/>
        <v>129963.29999999999</v>
      </c>
      <c r="J776" s="800">
        <f t="shared" si="83"/>
        <v>129810.9</v>
      </c>
      <c r="K776" s="575"/>
      <c r="L776" s="1549"/>
      <c r="M776" s="801"/>
      <c r="N776" s="801"/>
      <c r="O776" s="801"/>
      <c r="P776" s="802"/>
      <c r="Q776" s="77"/>
    </row>
    <row r="777" spans="1:17" x14ac:dyDescent="0.25">
      <c r="A777" s="2099" t="s">
        <v>1326</v>
      </c>
      <c r="B777" s="2099"/>
      <c r="C777" s="2099"/>
      <c r="D777" s="2099"/>
      <c r="E777" s="2099"/>
      <c r="F777" s="2099"/>
      <c r="G777" s="2099"/>
      <c r="H777" s="2099"/>
      <c r="I777" s="2099"/>
      <c r="J777" s="2099"/>
      <c r="K777" s="2099"/>
      <c r="L777" s="2099"/>
      <c r="M777" s="2099"/>
      <c r="N777" s="2099"/>
      <c r="O777" s="2099"/>
      <c r="P777" s="2099"/>
      <c r="Q777" s="2099"/>
    </row>
    <row r="778" spans="1:17" ht="88.5" x14ac:dyDescent="0.25">
      <c r="A778" s="395"/>
      <c r="B778" s="439" t="s">
        <v>102</v>
      </c>
      <c r="C778" s="439"/>
      <c r="D778" s="439"/>
      <c r="E778" s="582" t="s">
        <v>1327</v>
      </c>
      <c r="F778" s="863">
        <v>546211</v>
      </c>
      <c r="G778" s="863">
        <v>612172</v>
      </c>
      <c r="H778" s="863">
        <f>H779+H780+H781+H782</f>
        <v>586066.4</v>
      </c>
      <c r="I778" s="863">
        <f t="shared" ref="I778:J778" si="84">I779+I780+I781+I782</f>
        <v>590389.19999999995</v>
      </c>
      <c r="J778" s="863">
        <f t="shared" si="84"/>
        <v>590389.19999999995</v>
      </c>
      <c r="K778" s="864"/>
      <c r="L778" s="41"/>
      <c r="M778" s="41"/>
      <c r="N778" s="41"/>
      <c r="O778" s="41"/>
      <c r="P778" s="41"/>
      <c r="Q778" s="41"/>
    </row>
    <row r="779" spans="1:17" x14ac:dyDescent="0.25">
      <c r="A779" s="394"/>
      <c r="B779" s="655"/>
      <c r="C779" s="655" t="s">
        <v>2</v>
      </c>
      <c r="D779" s="41"/>
      <c r="E779" s="589" t="s">
        <v>140</v>
      </c>
      <c r="F779" s="865">
        <v>44361.7</v>
      </c>
      <c r="G779" s="865">
        <v>46032</v>
      </c>
      <c r="H779" s="865">
        <v>50382.6</v>
      </c>
      <c r="I779" s="865">
        <v>50382.6</v>
      </c>
      <c r="J779" s="865">
        <v>50382.6</v>
      </c>
      <c r="K779" s="864"/>
      <c r="L779" s="41"/>
      <c r="M779" s="41"/>
      <c r="N779" s="41"/>
      <c r="O779" s="41"/>
      <c r="P779" s="41"/>
      <c r="Q779" s="41"/>
    </row>
    <row r="780" spans="1:17" x14ac:dyDescent="0.25">
      <c r="A780" s="394"/>
      <c r="B780" s="655"/>
      <c r="C780" s="655" t="s">
        <v>50</v>
      </c>
      <c r="D780" s="41"/>
      <c r="E780" s="589" t="s">
        <v>998</v>
      </c>
      <c r="F780" s="865">
        <v>80552.5</v>
      </c>
      <c r="G780" s="865">
        <v>14300</v>
      </c>
      <c r="H780" s="865">
        <v>11826.8</v>
      </c>
      <c r="I780" s="865">
        <v>16149.6</v>
      </c>
      <c r="J780" s="865">
        <v>16149.6</v>
      </c>
      <c r="K780" s="864"/>
      <c r="L780" s="41"/>
      <c r="M780" s="41"/>
      <c r="N780" s="41"/>
      <c r="O780" s="41"/>
      <c r="P780" s="540"/>
      <c r="Q780" s="540"/>
    </row>
    <row r="781" spans="1:17" ht="90" x14ac:dyDescent="0.25">
      <c r="A781" s="394"/>
      <c r="B781" s="655"/>
      <c r="C781" s="655" t="s">
        <v>1328</v>
      </c>
      <c r="D781" s="41"/>
      <c r="E781" s="589" t="s">
        <v>1329</v>
      </c>
      <c r="F781" s="865">
        <v>16557.3</v>
      </c>
      <c r="G781" s="865">
        <v>21581.7</v>
      </c>
      <c r="H781" s="865">
        <f>22077.8+500</f>
        <v>22577.8</v>
      </c>
      <c r="I781" s="865">
        <v>22577.800000000003</v>
      </c>
      <c r="J781" s="865">
        <v>22577.800000000003</v>
      </c>
      <c r="K781" s="41"/>
      <c r="L781" s="41"/>
      <c r="M781" s="41"/>
      <c r="N781" s="41"/>
      <c r="O781" s="41"/>
      <c r="P781" s="41"/>
      <c r="Q781" s="41"/>
    </row>
    <row r="782" spans="1:17" ht="90" x14ac:dyDescent="0.25">
      <c r="A782" s="394"/>
      <c r="B782" s="655"/>
      <c r="C782" s="655" t="s">
        <v>1330</v>
      </c>
      <c r="D782" s="41"/>
      <c r="E782" s="589" t="s">
        <v>1331</v>
      </c>
      <c r="F782" s="866">
        <v>404739.5</v>
      </c>
      <c r="G782" s="866">
        <v>530258.30000000005</v>
      </c>
      <c r="H782" s="866">
        <v>501279.2</v>
      </c>
      <c r="I782" s="866">
        <v>501279.2</v>
      </c>
      <c r="J782" s="866">
        <v>501279.2</v>
      </c>
      <c r="K782" s="540"/>
      <c r="L782" s="41"/>
      <c r="M782" s="41"/>
      <c r="N782" s="41"/>
      <c r="O782" s="41"/>
      <c r="P782" s="41"/>
      <c r="Q782" s="41"/>
    </row>
    <row r="783" spans="1:17" ht="193.5" x14ac:dyDescent="0.25">
      <c r="A783" s="394"/>
      <c r="B783" s="433" t="s">
        <v>91</v>
      </c>
      <c r="C783" s="664"/>
      <c r="D783" s="828"/>
      <c r="E783" s="582" t="s">
        <v>1332</v>
      </c>
      <c r="F783" s="420">
        <v>6564372.1000000006</v>
      </c>
      <c r="G783" s="420">
        <v>8806642.9000000004</v>
      </c>
      <c r="H783" s="420">
        <f>H784+H787+H790+H791+H792+H794+H796+H798+H799</f>
        <v>7539177.2000000002</v>
      </c>
      <c r="I783" s="420">
        <f t="shared" ref="I783:J783" si="85">I784+I787+I790+I791+I792+I794+I796+I798+I799</f>
        <v>7559397.5</v>
      </c>
      <c r="J783" s="420">
        <f t="shared" si="85"/>
        <v>7578764.2000000002</v>
      </c>
      <c r="K783" s="828"/>
      <c r="L783" s="789"/>
      <c r="M783" s="828"/>
      <c r="N783" s="828"/>
      <c r="O783" s="828"/>
      <c r="P783" s="828"/>
      <c r="Q783" s="828"/>
    </row>
    <row r="784" spans="1:17" ht="45" x14ac:dyDescent="0.25">
      <c r="A784" s="394"/>
      <c r="B784" s="2107"/>
      <c r="C784" s="2103" t="s">
        <v>2</v>
      </c>
      <c r="D784" s="2109"/>
      <c r="E784" s="1808" t="s">
        <v>1333</v>
      </c>
      <c r="F784" s="1649">
        <v>3584775.2</v>
      </c>
      <c r="G784" s="1649">
        <v>5314824.4000000004</v>
      </c>
      <c r="H784" s="1649">
        <f>4068747.3</f>
        <v>4068747.3</v>
      </c>
      <c r="I784" s="1649">
        <v>4068747.3</v>
      </c>
      <c r="J784" s="1649">
        <v>4068747.3</v>
      </c>
      <c r="K784" s="495" t="s">
        <v>1334</v>
      </c>
      <c r="L784" s="789" t="s">
        <v>14</v>
      </c>
      <c r="M784" s="828" t="s">
        <v>1335</v>
      </c>
      <c r="N784" s="828">
        <v>48</v>
      </c>
      <c r="O784" s="828">
        <v>48</v>
      </c>
      <c r="P784" s="828">
        <v>48</v>
      </c>
      <c r="Q784" s="828">
        <v>48</v>
      </c>
    </row>
    <row r="785" spans="1:17" ht="45" x14ac:dyDescent="0.25">
      <c r="A785" s="394"/>
      <c r="B785" s="2116"/>
      <c r="C785" s="2112"/>
      <c r="D785" s="2117"/>
      <c r="E785" s="1808"/>
      <c r="F785" s="2033"/>
      <c r="G785" s="2033"/>
      <c r="H785" s="2033"/>
      <c r="I785" s="2033"/>
      <c r="J785" s="2033"/>
      <c r="K785" s="562" t="s">
        <v>1336</v>
      </c>
      <c r="L785" s="540" t="s">
        <v>14</v>
      </c>
      <c r="M785" s="540" t="s">
        <v>1337</v>
      </c>
      <c r="N785" s="540" t="s">
        <v>1338</v>
      </c>
      <c r="O785" s="540" t="s">
        <v>1338</v>
      </c>
      <c r="P785" s="540" t="s">
        <v>1338</v>
      </c>
      <c r="Q785" s="540" t="s">
        <v>1338</v>
      </c>
    </row>
    <row r="786" spans="1:17" ht="75" x14ac:dyDescent="0.25">
      <c r="A786" s="394"/>
      <c r="B786" s="2108"/>
      <c r="C786" s="2104"/>
      <c r="D786" s="2110"/>
      <c r="E786" s="1808"/>
      <c r="F786" s="1650"/>
      <c r="G786" s="1650"/>
      <c r="H786" s="1650"/>
      <c r="I786" s="1650"/>
      <c r="J786" s="1650"/>
      <c r="K786" s="495" t="s">
        <v>1339</v>
      </c>
      <c r="L786" s="540" t="s">
        <v>14</v>
      </c>
      <c r="M786" s="540" t="s">
        <v>1340</v>
      </c>
      <c r="N786" s="540">
        <v>100</v>
      </c>
      <c r="O786" s="540">
        <v>100</v>
      </c>
      <c r="P786" s="540">
        <v>100</v>
      </c>
      <c r="Q786" s="540">
        <v>100</v>
      </c>
    </row>
    <row r="787" spans="1:17" ht="30" x14ac:dyDescent="0.25">
      <c r="A787" s="394"/>
      <c r="B787" s="2107"/>
      <c r="C787" s="2103" t="s">
        <v>3</v>
      </c>
      <c r="D787" s="2109"/>
      <c r="E787" s="1808" t="s">
        <v>1341</v>
      </c>
      <c r="F787" s="1649">
        <v>2940582.2</v>
      </c>
      <c r="G787" s="1649">
        <v>3438424.5</v>
      </c>
      <c r="H787" s="1649">
        <v>3398895.7</v>
      </c>
      <c r="I787" s="1649">
        <f>3433116</f>
        <v>3433116</v>
      </c>
      <c r="J787" s="1649">
        <f>3452482.7</f>
        <v>3452482.7</v>
      </c>
      <c r="K787" s="562" t="s">
        <v>1342</v>
      </c>
      <c r="L787" s="540" t="s">
        <v>14</v>
      </c>
      <c r="M787" s="540">
        <v>168.5</v>
      </c>
      <c r="N787" s="540">
        <v>168.5</v>
      </c>
      <c r="O787" s="540">
        <v>224.7</v>
      </c>
      <c r="P787" s="540">
        <v>224.7</v>
      </c>
      <c r="Q787" s="540">
        <v>224.7</v>
      </c>
    </row>
    <row r="788" spans="1:17" ht="30" x14ac:dyDescent="0.25">
      <c r="A788" s="394"/>
      <c r="B788" s="2116"/>
      <c r="C788" s="2112"/>
      <c r="D788" s="2117"/>
      <c r="E788" s="1808"/>
      <c r="F788" s="2033"/>
      <c r="G788" s="2033"/>
      <c r="H788" s="2033"/>
      <c r="I788" s="2033"/>
      <c r="J788" s="2033"/>
      <c r="K788" s="628" t="s">
        <v>1343</v>
      </c>
      <c r="L788" s="540" t="s">
        <v>14</v>
      </c>
      <c r="M788" s="540" t="s">
        <v>1344</v>
      </c>
      <c r="N788" s="540" t="s">
        <v>1345</v>
      </c>
      <c r="O788" s="540" t="s">
        <v>1345</v>
      </c>
      <c r="P788" s="540" t="s">
        <v>1345</v>
      </c>
      <c r="Q788" s="540" t="s">
        <v>1345</v>
      </c>
    </row>
    <row r="789" spans="1:17" ht="30" x14ac:dyDescent="0.25">
      <c r="A789" s="394"/>
      <c r="B789" s="2108"/>
      <c r="C789" s="2104"/>
      <c r="D789" s="2110"/>
      <c r="E789" s="1808"/>
      <c r="F789" s="1650"/>
      <c r="G789" s="1650"/>
      <c r="H789" s="1650"/>
      <c r="I789" s="1650"/>
      <c r="J789" s="1650"/>
      <c r="K789" s="628" t="s">
        <v>1346</v>
      </c>
      <c r="L789" s="540" t="s">
        <v>14</v>
      </c>
      <c r="M789" s="540">
        <v>56.2</v>
      </c>
      <c r="N789" s="540">
        <v>56.2</v>
      </c>
      <c r="O789" s="540">
        <v>56.2</v>
      </c>
      <c r="P789" s="540">
        <v>56.2</v>
      </c>
      <c r="Q789" s="540">
        <v>56.2</v>
      </c>
    </row>
    <row r="790" spans="1:17" ht="75" x14ac:dyDescent="0.25">
      <c r="A790" s="395"/>
      <c r="B790" s="867"/>
      <c r="C790" s="664" t="s">
        <v>4</v>
      </c>
      <c r="D790" s="828"/>
      <c r="E790" s="628" t="s">
        <v>1347</v>
      </c>
      <c r="F790" s="1649">
        <v>25238.7</v>
      </c>
      <c r="G790" s="729">
        <v>25346.1</v>
      </c>
      <c r="H790" s="729">
        <v>38557.599999999999</v>
      </c>
      <c r="I790" s="729">
        <v>24557.600000000002</v>
      </c>
      <c r="J790" s="729">
        <v>24557.600000000002</v>
      </c>
      <c r="K790" s="628" t="s">
        <v>1348</v>
      </c>
      <c r="L790" s="511" t="s">
        <v>1349</v>
      </c>
      <c r="M790" s="540">
        <v>37</v>
      </c>
      <c r="N790" s="540">
        <v>37</v>
      </c>
      <c r="O790" s="540">
        <v>37</v>
      </c>
      <c r="P790" s="540">
        <v>37</v>
      </c>
      <c r="Q790" s="540">
        <v>37</v>
      </c>
    </row>
    <row r="791" spans="1:17" ht="75" x14ac:dyDescent="0.25">
      <c r="A791" s="395"/>
      <c r="B791" s="867"/>
      <c r="C791" s="664" t="s">
        <v>5</v>
      </c>
      <c r="D791" s="828"/>
      <c r="E791" s="628" t="s">
        <v>1350</v>
      </c>
      <c r="F791" s="1650"/>
      <c r="G791" s="729">
        <v>1213.8</v>
      </c>
      <c r="H791" s="729">
        <v>1214.3999999999999</v>
      </c>
      <c r="I791" s="729">
        <v>1214.3999999999999</v>
      </c>
      <c r="J791" s="729">
        <v>1214.3999999999999</v>
      </c>
      <c r="K791" s="628" t="s">
        <v>1351</v>
      </c>
      <c r="L791" s="511" t="s">
        <v>1352</v>
      </c>
      <c r="M791" s="540">
        <v>37</v>
      </c>
      <c r="N791" s="540">
        <v>37</v>
      </c>
      <c r="O791" s="540">
        <v>37</v>
      </c>
      <c r="P791" s="540">
        <v>37</v>
      </c>
      <c r="Q791" s="540">
        <v>37</v>
      </c>
    </row>
    <row r="792" spans="1:17" ht="30" x14ac:dyDescent="0.25">
      <c r="A792" s="395"/>
      <c r="B792" s="2107"/>
      <c r="C792" s="2103" t="s">
        <v>49</v>
      </c>
      <c r="D792" s="2109"/>
      <c r="E792" s="2115" t="s">
        <v>1353</v>
      </c>
      <c r="F792" s="1649">
        <v>7346.1</v>
      </c>
      <c r="G792" s="1649">
        <v>16600</v>
      </c>
      <c r="H792" s="1649">
        <v>18500</v>
      </c>
      <c r="I792" s="1649">
        <v>18500</v>
      </c>
      <c r="J792" s="1649">
        <v>18500</v>
      </c>
      <c r="K792" s="495" t="s">
        <v>1354</v>
      </c>
      <c r="L792" s="511" t="s">
        <v>1355</v>
      </c>
      <c r="M792" s="540">
        <v>7</v>
      </c>
      <c r="N792" s="540">
        <v>7</v>
      </c>
      <c r="O792" s="540">
        <v>7</v>
      </c>
      <c r="P792" s="540">
        <v>7</v>
      </c>
      <c r="Q792" s="540">
        <v>7</v>
      </c>
    </row>
    <row r="793" spans="1:17" ht="30" x14ac:dyDescent="0.25">
      <c r="A793" s="395"/>
      <c r="B793" s="2108"/>
      <c r="C793" s="2104"/>
      <c r="D793" s="2110"/>
      <c r="E793" s="2115"/>
      <c r="F793" s="1650"/>
      <c r="G793" s="1650"/>
      <c r="H793" s="1650"/>
      <c r="I793" s="1650"/>
      <c r="J793" s="1650"/>
      <c r="K793" s="495" t="s">
        <v>1356</v>
      </c>
      <c r="L793" s="511" t="s">
        <v>1355</v>
      </c>
      <c r="M793" s="540">
        <v>10</v>
      </c>
      <c r="N793" s="540">
        <v>12</v>
      </c>
      <c r="O793" s="540">
        <v>12</v>
      </c>
      <c r="P793" s="540">
        <v>12</v>
      </c>
      <c r="Q793" s="540">
        <v>12</v>
      </c>
    </row>
    <row r="794" spans="1:17" ht="45" x14ac:dyDescent="0.25">
      <c r="A794" s="395"/>
      <c r="B794" s="2107"/>
      <c r="C794" s="2103" t="s">
        <v>50</v>
      </c>
      <c r="D794" s="2109"/>
      <c r="E794" s="1850" t="s">
        <v>1357</v>
      </c>
      <c r="F794" s="1649">
        <v>1998.8</v>
      </c>
      <c r="G794" s="1649">
        <v>2000</v>
      </c>
      <c r="H794" s="1649">
        <v>2600</v>
      </c>
      <c r="I794" s="1649">
        <v>2600</v>
      </c>
      <c r="J794" s="1649">
        <v>2600</v>
      </c>
      <c r="K794" s="495" t="s">
        <v>1358</v>
      </c>
      <c r="L794" s="511" t="s">
        <v>975</v>
      </c>
      <c r="M794" s="540">
        <v>100</v>
      </c>
      <c r="N794" s="540">
        <v>100</v>
      </c>
      <c r="O794" s="540">
        <v>100</v>
      </c>
      <c r="P794" s="540">
        <v>100</v>
      </c>
      <c r="Q794" s="540">
        <v>100</v>
      </c>
    </row>
    <row r="795" spans="1:17" ht="45" x14ac:dyDescent="0.25">
      <c r="A795" s="395"/>
      <c r="B795" s="2108"/>
      <c r="C795" s="2104"/>
      <c r="D795" s="2110"/>
      <c r="E795" s="1851"/>
      <c r="F795" s="1650"/>
      <c r="G795" s="1650"/>
      <c r="H795" s="1650"/>
      <c r="I795" s="1650"/>
      <c r="J795" s="1650"/>
      <c r="K795" s="562" t="s">
        <v>1359</v>
      </c>
      <c r="L795" s="540" t="s">
        <v>975</v>
      </c>
      <c r="M795" s="540">
        <v>36</v>
      </c>
      <c r="N795" s="540">
        <v>35</v>
      </c>
      <c r="O795" s="540">
        <v>35</v>
      </c>
      <c r="P795" s="540">
        <v>35</v>
      </c>
      <c r="Q795" s="540">
        <v>35</v>
      </c>
    </row>
    <row r="796" spans="1:17" ht="30" x14ac:dyDescent="0.25">
      <c r="A796" s="395"/>
      <c r="B796" s="2107"/>
      <c r="C796" s="2103" t="s">
        <v>53</v>
      </c>
      <c r="D796" s="2109"/>
      <c r="E796" s="2115" t="s">
        <v>1360</v>
      </c>
      <c r="F796" s="1649">
        <v>1241.4000000000001</v>
      </c>
      <c r="G796" s="1649">
        <v>4050</v>
      </c>
      <c r="H796" s="1649">
        <v>6409.4</v>
      </c>
      <c r="I796" s="1649">
        <v>6409.4</v>
      </c>
      <c r="J796" s="1649">
        <v>6409.4</v>
      </c>
      <c r="K796" s="495" t="s">
        <v>1361</v>
      </c>
      <c r="L796" s="511" t="s">
        <v>975</v>
      </c>
      <c r="M796" s="540">
        <v>35</v>
      </c>
      <c r="N796" s="540">
        <v>60</v>
      </c>
      <c r="O796" s="540">
        <v>60</v>
      </c>
      <c r="P796" s="540">
        <v>60</v>
      </c>
      <c r="Q796" s="540">
        <v>60</v>
      </c>
    </row>
    <row r="797" spans="1:17" ht="30" x14ac:dyDescent="0.25">
      <c r="A797" s="395"/>
      <c r="B797" s="2108"/>
      <c r="C797" s="2104"/>
      <c r="D797" s="2110"/>
      <c r="E797" s="2115"/>
      <c r="F797" s="1650"/>
      <c r="G797" s="1650"/>
      <c r="H797" s="1650"/>
      <c r="I797" s="1650"/>
      <c r="J797" s="1650"/>
      <c r="K797" s="495" t="s">
        <v>1362</v>
      </c>
      <c r="L797" s="511" t="s">
        <v>975</v>
      </c>
      <c r="M797" s="540">
        <v>30</v>
      </c>
      <c r="N797" s="540">
        <v>40</v>
      </c>
      <c r="O797" s="540">
        <v>60</v>
      </c>
      <c r="P797" s="540">
        <v>60</v>
      </c>
      <c r="Q797" s="540">
        <v>60</v>
      </c>
    </row>
    <row r="798" spans="1:17" ht="45" x14ac:dyDescent="0.25">
      <c r="A798" s="395"/>
      <c r="B798" s="867"/>
      <c r="C798" s="664" t="s">
        <v>54</v>
      </c>
      <c r="D798" s="828"/>
      <c r="E798" s="868" t="s">
        <v>1363</v>
      </c>
      <c r="F798" s="729">
        <v>834.4</v>
      </c>
      <c r="G798" s="729">
        <v>1200</v>
      </c>
      <c r="H798" s="729">
        <v>1204.2</v>
      </c>
      <c r="I798" s="729">
        <v>1204.2</v>
      </c>
      <c r="J798" s="729">
        <v>1204.2</v>
      </c>
      <c r="K798" s="495" t="s">
        <v>1364</v>
      </c>
      <c r="L798" s="416" t="s">
        <v>975</v>
      </c>
      <c r="M798" s="540">
        <v>16</v>
      </c>
      <c r="N798" s="540">
        <v>18</v>
      </c>
      <c r="O798" s="540">
        <v>18</v>
      </c>
      <c r="P798" s="540">
        <v>18</v>
      </c>
      <c r="Q798" s="540">
        <v>18</v>
      </c>
    </row>
    <row r="799" spans="1:17" ht="45" x14ac:dyDescent="0.25">
      <c r="A799" s="395"/>
      <c r="B799" s="867"/>
      <c r="C799" s="664" t="s">
        <v>90</v>
      </c>
      <c r="D799" s="828"/>
      <c r="E799" s="868" t="s">
        <v>1365</v>
      </c>
      <c r="F799" s="729">
        <v>2355.3000000000002</v>
      </c>
      <c r="G799" s="729">
        <v>2984.1</v>
      </c>
      <c r="H799" s="729">
        <v>3048.6</v>
      </c>
      <c r="I799" s="729">
        <v>3048.6</v>
      </c>
      <c r="J799" s="729">
        <v>3048.6</v>
      </c>
      <c r="K799" s="562" t="s">
        <v>1366</v>
      </c>
      <c r="L799" s="540" t="s">
        <v>1367</v>
      </c>
      <c r="M799" s="540">
        <v>745</v>
      </c>
      <c r="N799" s="540">
        <v>1220</v>
      </c>
      <c r="O799" s="540">
        <v>1220</v>
      </c>
      <c r="P799" s="540">
        <v>1220</v>
      </c>
      <c r="Q799" s="540">
        <v>1220</v>
      </c>
    </row>
    <row r="800" spans="1:17" x14ac:dyDescent="0.25">
      <c r="A800" s="395"/>
      <c r="B800" s="869"/>
      <c r="C800" s="870"/>
      <c r="D800" s="395"/>
      <c r="E800" s="871"/>
      <c r="F800" s="722"/>
      <c r="G800" s="722"/>
      <c r="H800" s="722"/>
      <c r="I800" s="722"/>
      <c r="J800" s="722"/>
      <c r="K800" s="716"/>
      <c r="L800" s="1550"/>
      <c r="M800" s="395"/>
      <c r="N800" s="395"/>
      <c r="O800" s="395"/>
      <c r="P800" s="395"/>
      <c r="Q800" s="395"/>
    </row>
    <row r="801" spans="1:17" ht="133.5" x14ac:dyDescent="0.25">
      <c r="A801" s="395"/>
      <c r="B801" s="433" t="s">
        <v>98</v>
      </c>
      <c r="C801" s="664"/>
      <c r="D801" s="828"/>
      <c r="E801" s="589" t="s">
        <v>1368</v>
      </c>
      <c r="F801" s="420">
        <v>534576.6</v>
      </c>
      <c r="G801" s="420">
        <v>550106.39999999991</v>
      </c>
      <c r="H801" s="420">
        <f>H802+H804+H805+H808+H812+H815+H816</f>
        <v>1090348.2999999998</v>
      </c>
      <c r="I801" s="420">
        <f t="shared" ref="I801:J801" si="86">I802+I804+I805+I808+I812+I815+I816</f>
        <v>1090375.3999999999</v>
      </c>
      <c r="J801" s="420">
        <f t="shared" si="86"/>
        <v>1090532.3999999999</v>
      </c>
      <c r="K801" s="562"/>
      <c r="L801" s="789"/>
      <c r="M801" s="828"/>
      <c r="N801" s="828"/>
      <c r="O801" s="828"/>
      <c r="P801" s="828"/>
      <c r="Q801" s="828"/>
    </row>
    <row r="802" spans="1:17" ht="30" x14ac:dyDescent="0.25">
      <c r="A802" s="395"/>
      <c r="B802" s="2101"/>
      <c r="C802" s="2103" t="s">
        <v>2</v>
      </c>
      <c r="D802" s="1834"/>
      <c r="E802" s="2113" t="s">
        <v>1369</v>
      </c>
      <c r="F802" s="1649">
        <v>40554.5</v>
      </c>
      <c r="G802" s="1649">
        <v>48539.1</v>
      </c>
      <c r="H802" s="1649">
        <v>54615</v>
      </c>
      <c r="I802" s="1649">
        <v>54615</v>
      </c>
      <c r="J802" s="1649">
        <v>54615</v>
      </c>
      <c r="K802" s="495" t="s">
        <v>1370</v>
      </c>
      <c r="L802" s="416" t="s">
        <v>1371</v>
      </c>
      <c r="M802" s="540">
        <v>0</v>
      </c>
      <c r="N802" s="540">
        <v>1</v>
      </c>
      <c r="O802" s="540">
        <v>1</v>
      </c>
      <c r="P802" s="540">
        <v>1</v>
      </c>
      <c r="Q802" s="540">
        <v>1</v>
      </c>
    </row>
    <row r="803" spans="1:17" ht="30" x14ac:dyDescent="0.25">
      <c r="A803" s="395"/>
      <c r="B803" s="2102"/>
      <c r="C803" s="2104"/>
      <c r="D803" s="1835"/>
      <c r="E803" s="2114"/>
      <c r="F803" s="1650"/>
      <c r="G803" s="1650"/>
      <c r="H803" s="1650"/>
      <c r="I803" s="1650"/>
      <c r="J803" s="1650"/>
      <c r="K803" s="495" t="s">
        <v>1372</v>
      </c>
      <c r="L803" s="416" t="s">
        <v>975</v>
      </c>
      <c r="M803" s="540">
        <v>10</v>
      </c>
      <c r="N803" s="540">
        <v>10</v>
      </c>
      <c r="O803" s="540">
        <v>10</v>
      </c>
      <c r="P803" s="540">
        <v>10</v>
      </c>
      <c r="Q803" s="540">
        <v>10</v>
      </c>
    </row>
    <row r="804" spans="1:17" ht="30" x14ac:dyDescent="0.25">
      <c r="A804" s="395"/>
      <c r="B804" s="432"/>
      <c r="C804" s="664" t="s">
        <v>3</v>
      </c>
      <c r="D804" s="562"/>
      <c r="E804" s="495" t="s">
        <v>1373</v>
      </c>
      <c r="F804" s="729">
        <v>10647.8</v>
      </c>
      <c r="G804" s="729">
        <v>11181</v>
      </c>
      <c r="H804" s="729">
        <v>10481</v>
      </c>
      <c r="I804" s="729">
        <v>10481</v>
      </c>
      <c r="J804" s="729">
        <v>10481</v>
      </c>
      <c r="K804" s="628" t="s">
        <v>1374</v>
      </c>
      <c r="L804" s="416" t="s">
        <v>975</v>
      </c>
      <c r="M804" s="540">
        <v>581</v>
      </c>
      <c r="N804" s="540">
        <v>600</v>
      </c>
      <c r="O804" s="540">
        <v>600</v>
      </c>
      <c r="P804" s="540">
        <v>600</v>
      </c>
      <c r="Q804" s="540">
        <v>600</v>
      </c>
    </row>
    <row r="805" spans="1:17" x14ac:dyDescent="0.25">
      <c r="A805" s="395"/>
      <c r="B805" s="2101"/>
      <c r="C805" s="2103" t="s">
        <v>4</v>
      </c>
      <c r="D805" s="1834"/>
      <c r="E805" s="1808" t="s">
        <v>1375</v>
      </c>
      <c r="F805" s="1649">
        <v>355514.7</v>
      </c>
      <c r="G805" s="1649">
        <v>381876.3</v>
      </c>
      <c r="H805" s="1649">
        <f>383092.9+9699.1</f>
        <v>392792</v>
      </c>
      <c r="I805" s="1649">
        <v>392819.10000000003</v>
      </c>
      <c r="J805" s="1649">
        <v>392976.10000000003</v>
      </c>
      <c r="K805" s="628" t="s">
        <v>1376</v>
      </c>
      <c r="L805" s="416" t="s">
        <v>975</v>
      </c>
      <c r="M805" s="540">
        <v>2406</v>
      </c>
      <c r="N805" s="540">
        <v>2621</v>
      </c>
      <c r="O805" s="540">
        <v>2621</v>
      </c>
      <c r="P805" s="540">
        <v>2621</v>
      </c>
      <c r="Q805" s="540">
        <v>2621</v>
      </c>
    </row>
    <row r="806" spans="1:17" ht="45" x14ac:dyDescent="0.25">
      <c r="A806" s="394"/>
      <c r="B806" s="2111"/>
      <c r="C806" s="2112"/>
      <c r="D806" s="2057"/>
      <c r="E806" s="1808"/>
      <c r="F806" s="2033"/>
      <c r="G806" s="2033"/>
      <c r="H806" s="2033"/>
      <c r="I806" s="2033"/>
      <c r="J806" s="2033"/>
      <c r="K806" s="628" t="s">
        <v>1377</v>
      </c>
      <c r="L806" s="416" t="s">
        <v>977</v>
      </c>
      <c r="M806" s="540">
        <v>346985.3</v>
      </c>
      <c r="N806" s="540">
        <v>372385</v>
      </c>
      <c r="O806" s="540">
        <v>383092.9</v>
      </c>
      <c r="P806" s="540">
        <v>383092.9</v>
      </c>
      <c r="Q806" s="540">
        <v>383092.9</v>
      </c>
    </row>
    <row r="807" spans="1:17" ht="45" x14ac:dyDescent="0.25">
      <c r="A807" s="394"/>
      <c r="B807" s="2102"/>
      <c r="C807" s="2104"/>
      <c r="D807" s="1835"/>
      <c r="E807" s="1808"/>
      <c r="F807" s="1650"/>
      <c r="G807" s="1650"/>
      <c r="H807" s="1650"/>
      <c r="I807" s="1650"/>
      <c r="J807" s="1650"/>
      <c r="K807" s="628" t="s">
        <v>1378</v>
      </c>
      <c r="L807" s="416" t="s">
        <v>977</v>
      </c>
      <c r="M807" s="540">
        <v>12.018055555555556</v>
      </c>
      <c r="N807" s="540">
        <v>11.839787612870404</v>
      </c>
      <c r="O807" s="540">
        <v>12.180239730382807</v>
      </c>
      <c r="P807" s="540">
        <v>12.180239730382807</v>
      </c>
      <c r="Q807" s="540">
        <v>12.180239730382807</v>
      </c>
    </row>
    <row r="808" spans="1:17" ht="45" x14ac:dyDescent="0.25">
      <c r="A808" s="394"/>
      <c r="B808" s="2101"/>
      <c r="C808" s="2103" t="s">
        <v>5</v>
      </c>
      <c r="D808" s="1834"/>
      <c r="E808" s="1850" t="s">
        <v>1379</v>
      </c>
      <c r="F808" s="1649">
        <v>7061</v>
      </c>
      <c r="G808" s="1649">
        <v>14500</v>
      </c>
      <c r="H808" s="1649">
        <v>22394.2</v>
      </c>
      <c r="I808" s="1649">
        <v>22394.199999999997</v>
      </c>
      <c r="J808" s="1649">
        <v>22394.199999999997</v>
      </c>
      <c r="K808" s="628" t="s">
        <v>1380</v>
      </c>
      <c r="L808" s="540" t="s">
        <v>1371</v>
      </c>
      <c r="M808" s="540">
        <v>1</v>
      </c>
      <c r="N808" s="540">
        <v>0</v>
      </c>
      <c r="O808" s="540">
        <v>0</v>
      </c>
      <c r="P808" s="540">
        <v>1</v>
      </c>
      <c r="Q808" s="540">
        <v>0</v>
      </c>
    </row>
    <row r="809" spans="1:17" ht="45" x14ac:dyDescent="0.25">
      <c r="A809" s="394"/>
      <c r="B809" s="2111"/>
      <c r="C809" s="2112"/>
      <c r="D809" s="2057"/>
      <c r="E809" s="1978"/>
      <c r="F809" s="2033"/>
      <c r="G809" s="2033"/>
      <c r="H809" s="2033"/>
      <c r="I809" s="2033"/>
      <c r="J809" s="2033"/>
      <c r="K809" s="828" t="s">
        <v>1381</v>
      </c>
      <c r="L809" s="540" t="s">
        <v>1371</v>
      </c>
      <c r="M809" s="540">
        <v>0</v>
      </c>
      <c r="N809" s="540">
        <v>1</v>
      </c>
      <c r="O809" s="540">
        <v>0</v>
      </c>
      <c r="P809" s="540">
        <v>0</v>
      </c>
      <c r="Q809" s="540">
        <v>0</v>
      </c>
    </row>
    <row r="810" spans="1:17" ht="45" x14ac:dyDescent="0.25">
      <c r="A810" s="394"/>
      <c r="B810" s="2111"/>
      <c r="C810" s="2112"/>
      <c r="D810" s="2057"/>
      <c r="E810" s="1978"/>
      <c r="F810" s="2033"/>
      <c r="G810" s="2033"/>
      <c r="H810" s="2033"/>
      <c r="I810" s="2033"/>
      <c r="J810" s="2033"/>
      <c r="K810" s="628" t="s">
        <v>1382</v>
      </c>
      <c r="L810" s="540" t="s">
        <v>975</v>
      </c>
      <c r="M810" s="540">
        <v>500</v>
      </c>
      <c r="N810" s="540">
        <v>600</v>
      </c>
      <c r="O810" s="540">
        <v>600</v>
      </c>
      <c r="P810" s="540">
        <v>600</v>
      </c>
      <c r="Q810" s="540">
        <v>600</v>
      </c>
    </row>
    <row r="811" spans="1:17" ht="60" x14ac:dyDescent="0.25">
      <c r="A811" s="394"/>
      <c r="B811" s="2102"/>
      <c r="C811" s="2104"/>
      <c r="D811" s="1835"/>
      <c r="E811" s="1851"/>
      <c r="F811" s="1650"/>
      <c r="G811" s="1650"/>
      <c r="H811" s="1650"/>
      <c r="I811" s="1650"/>
      <c r="J811" s="1650"/>
      <c r="K811" s="628" t="s">
        <v>1383</v>
      </c>
      <c r="L811" s="540" t="s">
        <v>975</v>
      </c>
      <c r="M811" s="540">
        <v>200</v>
      </c>
      <c r="N811" s="540">
        <v>400</v>
      </c>
      <c r="O811" s="540">
        <v>500</v>
      </c>
      <c r="P811" s="540">
        <v>500</v>
      </c>
      <c r="Q811" s="540">
        <v>500</v>
      </c>
    </row>
    <row r="812" spans="1:17" ht="45" x14ac:dyDescent="0.25">
      <c r="A812" s="394"/>
      <c r="B812" s="2101"/>
      <c r="C812" s="2103" t="s">
        <v>49</v>
      </c>
      <c r="D812" s="1834"/>
      <c r="E812" s="1808" t="s">
        <v>1384</v>
      </c>
      <c r="F812" s="1649">
        <v>69225.5</v>
      </c>
      <c r="G812" s="1649">
        <v>69010</v>
      </c>
      <c r="H812" s="1649">
        <v>93974</v>
      </c>
      <c r="I812" s="1649">
        <v>93974</v>
      </c>
      <c r="J812" s="1649">
        <v>93974</v>
      </c>
      <c r="K812" s="628" t="s">
        <v>1385</v>
      </c>
      <c r="L812" s="416" t="s">
        <v>979</v>
      </c>
      <c r="M812" s="540">
        <v>992</v>
      </c>
      <c r="N812" s="540">
        <v>2444</v>
      </c>
      <c r="O812" s="540">
        <v>2796</v>
      </c>
      <c r="P812" s="540">
        <v>2740</v>
      </c>
      <c r="Q812" s="540">
        <v>2740</v>
      </c>
    </row>
    <row r="813" spans="1:17" x14ac:dyDescent="0.25">
      <c r="A813" s="394"/>
      <c r="B813" s="2111"/>
      <c r="C813" s="2112"/>
      <c r="D813" s="2057"/>
      <c r="E813" s="1808"/>
      <c r="F813" s="2033"/>
      <c r="G813" s="2033"/>
      <c r="H813" s="2033"/>
      <c r="I813" s="2033"/>
      <c r="J813" s="2033"/>
      <c r="K813" s="628" t="s">
        <v>1386</v>
      </c>
      <c r="L813" s="416" t="s">
        <v>975</v>
      </c>
      <c r="M813" s="540">
        <v>0</v>
      </c>
      <c r="N813" s="540">
        <v>3</v>
      </c>
      <c r="O813" s="540">
        <v>4</v>
      </c>
      <c r="P813" s="540">
        <v>4</v>
      </c>
      <c r="Q813" s="540">
        <v>4</v>
      </c>
    </row>
    <row r="814" spans="1:17" ht="45" x14ac:dyDescent="0.25">
      <c r="A814" s="394"/>
      <c r="B814" s="2102"/>
      <c r="C814" s="2104"/>
      <c r="D814" s="1835"/>
      <c r="E814" s="1808"/>
      <c r="F814" s="1650"/>
      <c r="G814" s="1650"/>
      <c r="H814" s="1650"/>
      <c r="I814" s="1650"/>
      <c r="J814" s="1650"/>
      <c r="K814" s="628" t="s">
        <v>1387</v>
      </c>
      <c r="L814" s="416" t="s">
        <v>979</v>
      </c>
      <c r="M814" s="540">
        <v>13534</v>
      </c>
      <c r="N814" s="540">
        <v>13000</v>
      </c>
      <c r="O814" s="540">
        <v>15000</v>
      </c>
      <c r="P814" s="540">
        <v>14100</v>
      </c>
      <c r="Q814" s="540">
        <v>13900</v>
      </c>
    </row>
    <row r="815" spans="1:17" ht="45" x14ac:dyDescent="0.25">
      <c r="A815" s="394"/>
      <c r="B815" s="432"/>
      <c r="C815" s="664" t="s">
        <v>50</v>
      </c>
      <c r="D815" s="562"/>
      <c r="E815" s="628" t="s">
        <v>1388</v>
      </c>
      <c r="F815" s="729">
        <v>51573.1</v>
      </c>
      <c r="G815" s="729">
        <v>25000</v>
      </c>
      <c r="H815" s="729">
        <v>90000</v>
      </c>
      <c r="I815" s="729">
        <v>90000</v>
      </c>
      <c r="J815" s="729">
        <v>90000</v>
      </c>
      <c r="K815" s="628" t="s">
        <v>1389</v>
      </c>
      <c r="L815" s="416" t="s">
        <v>975</v>
      </c>
      <c r="M815" s="540">
        <v>4217</v>
      </c>
      <c r="N815" s="540">
        <v>8696</v>
      </c>
      <c r="O815" s="540">
        <v>4500</v>
      </c>
      <c r="P815" s="540">
        <v>4500</v>
      </c>
      <c r="Q815" s="540">
        <v>4500</v>
      </c>
    </row>
    <row r="816" spans="1:17" ht="30" x14ac:dyDescent="0.25">
      <c r="A816" s="394"/>
      <c r="B816" s="2101"/>
      <c r="C816" s="2103" t="s">
        <v>51</v>
      </c>
      <c r="D816" s="1834"/>
      <c r="E816" s="1850" t="s">
        <v>1390</v>
      </c>
      <c r="F816" s="1649"/>
      <c r="G816" s="1649"/>
      <c r="H816" s="1649">
        <v>426092.1</v>
      </c>
      <c r="I816" s="1649">
        <v>426092.1</v>
      </c>
      <c r="J816" s="1649">
        <v>426092.1</v>
      </c>
      <c r="K816" s="562" t="s">
        <v>1391</v>
      </c>
      <c r="L816" s="540" t="s">
        <v>1371</v>
      </c>
      <c r="M816" s="540">
        <v>1</v>
      </c>
      <c r="N816" s="540">
        <v>1</v>
      </c>
      <c r="O816" s="540">
        <v>1</v>
      </c>
      <c r="P816" s="540">
        <v>0</v>
      </c>
      <c r="Q816" s="540">
        <v>0</v>
      </c>
    </row>
    <row r="817" spans="1:17" ht="30" x14ac:dyDescent="0.25">
      <c r="A817" s="394"/>
      <c r="B817" s="2102"/>
      <c r="C817" s="2104"/>
      <c r="D817" s="1835"/>
      <c r="E817" s="1851"/>
      <c r="F817" s="1650"/>
      <c r="G817" s="1650"/>
      <c r="H817" s="1650"/>
      <c r="I817" s="1650"/>
      <c r="J817" s="1650"/>
      <c r="K817" s="562" t="s">
        <v>1392</v>
      </c>
      <c r="L817" s="540" t="s">
        <v>975</v>
      </c>
      <c r="M817" s="415">
        <v>0</v>
      </c>
      <c r="N817" s="415">
        <v>6000</v>
      </c>
      <c r="O817" s="415">
        <v>6000</v>
      </c>
      <c r="P817" s="415">
        <v>6000</v>
      </c>
      <c r="Q817" s="415">
        <v>6000</v>
      </c>
    </row>
    <row r="818" spans="1:17" x14ac:dyDescent="0.25">
      <c r="A818" s="872"/>
      <c r="B818" s="873"/>
      <c r="C818" s="655"/>
      <c r="D818" s="93"/>
      <c r="E818" s="828"/>
      <c r="F818" s="723"/>
      <c r="G818" s="723"/>
      <c r="H818" s="723"/>
      <c r="I818" s="723"/>
      <c r="J818" s="723"/>
      <c r="K818" s="728"/>
      <c r="L818" s="781"/>
      <c r="M818" s="41"/>
      <c r="N818" s="41"/>
      <c r="O818" s="41"/>
      <c r="P818" s="41"/>
      <c r="Q818" s="41"/>
    </row>
    <row r="819" spans="1:17" ht="163.5" x14ac:dyDescent="0.25">
      <c r="A819" s="872"/>
      <c r="B819" s="433" t="s">
        <v>101</v>
      </c>
      <c r="C819" s="664"/>
      <c r="D819" s="828"/>
      <c r="E819" s="628" t="s">
        <v>1393</v>
      </c>
      <c r="F819" s="420">
        <v>1169484.4000000001</v>
      </c>
      <c r="G819" s="420">
        <v>1108408.3999999999</v>
      </c>
      <c r="H819" s="420">
        <f>H820+H821+H822+H823+H824</f>
        <v>1105028.9000000001</v>
      </c>
      <c r="I819" s="420">
        <f t="shared" ref="I819:J819" si="87">I820+I821+I822+I823+I824</f>
        <v>1075921.7000000002</v>
      </c>
      <c r="J819" s="420">
        <f t="shared" si="87"/>
        <v>1058920.5</v>
      </c>
      <c r="K819" s="562"/>
      <c r="L819" s="789"/>
      <c r="M819" s="540"/>
      <c r="N819" s="540"/>
      <c r="O819" s="540"/>
      <c r="P819" s="540"/>
      <c r="Q819" s="540"/>
    </row>
    <row r="820" spans="1:17" ht="45" x14ac:dyDescent="0.25">
      <c r="A820" s="872"/>
      <c r="B820" s="867"/>
      <c r="C820" s="664" t="s">
        <v>2</v>
      </c>
      <c r="D820" s="828"/>
      <c r="E820" s="628" t="s">
        <v>1394</v>
      </c>
      <c r="F820" s="729">
        <v>1068222.7000000002</v>
      </c>
      <c r="G820" s="729">
        <v>1056431.8999999999</v>
      </c>
      <c r="H820" s="729">
        <v>1037926.9</v>
      </c>
      <c r="I820" s="729">
        <v>1020312.6000000001</v>
      </c>
      <c r="J820" s="729">
        <v>1009377.1</v>
      </c>
      <c r="K820" s="628" t="s">
        <v>1395</v>
      </c>
      <c r="L820" s="540" t="s">
        <v>71</v>
      </c>
      <c r="M820" s="540" t="s">
        <v>1396</v>
      </c>
      <c r="N820" s="540" t="s">
        <v>1396</v>
      </c>
      <c r="O820" s="540" t="s">
        <v>1396</v>
      </c>
      <c r="P820" s="540" t="s">
        <v>1396</v>
      </c>
      <c r="Q820" s="540" t="s">
        <v>1396</v>
      </c>
    </row>
    <row r="821" spans="1:17" ht="45" x14ac:dyDescent="0.25">
      <c r="A821" s="872"/>
      <c r="B821" s="867"/>
      <c r="C821" s="664" t="s">
        <v>3</v>
      </c>
      <c r="D821" s="828"/>
      <c r="E821" s="628" t="s">
        <v>1397</v>
      </c>
      <c r="F821" s="729">
        <v>479.9</v>
      </c>
      <c r="G821" s="729">
        <v>374.1</v>
      </c>
      <c r="H821" s="729">
        <v>309.39999999999998</v>
      </c>
      <c r="I821" s="729">
        <v>267.79999999999995</v>
      </c>
      <c r="J821" s="729">
        <v>231.5</v>
      </c>
      <c r="K821" s="628" t="s">
        <v>1398</v>
      </c>
      <c r="L821" s="540" t="s">
        <v>71</v>
      </c>
      <c r="M821" s="540" t="s">
        <v>1399</v>
      </c>
      <c r="N821" s="540" t="s">
        <v>1399</v>
      </c>
      <c r="O821" s="540" t="s">
        <v>1399</v>
      </c>
      <c r="P821" s="540" t="s">
        <v>1399</v>
      </c>
      <c r="Q821" s="540" t="s">
        <v>1399</v>
      </c>
    </row>
    <row r="822" spans="1:17" ht="45" x14ac:dyDescent="0.25">
      <c r="A822" s="872"/>
      <c r="B822" s="867"/>
      <c r="C822" s="664" t="s">
        <v>4</v>
      </c>
      <c r="D822" s="828"/>
      <c r="E822" s="628" t="s">
        <v>1400</v>
      </c>
      <c r="F822" s="729">
        <v>35840</v>
      </c>
      <c r="G822" s="729">
        <v>26976.2</v>
      </c>
      <c r="H822" s="729">
        <v>22858.3</v>
      </c>
      <c r="I822" s="729">
        <v>20128.899999999998</v>
      </c>
      <c r="J822" s="729">
        <v>17803.5</v>
      </c>
      <c r="K822" s="628" t="s">
        <v>1401</v>
      </c>
      <c r="L822" s="540" t="s">
        <v>71</v>
      </c>
      <c r="M822" s="540" t="s">
        <v>1402</v>
      </c>
      <c r="N822" s="540" t="s">
        <v>1402</v>
      </c>
      <c r="O822" s="540" t="s">
        <v>1402</v>
      </c>
      <c r="P822" s="540" t="s">
        <v>1402</v>
      </c>
      <c r="Q822" s="540" t="s">
        <v>1402</v>
      </c>
    </row>
    <row r="823" spans="1:17" ht="45" x14ac:dyDescent="0.25">
      <c r="A823" s="872"/>
      <c r="B823" s="867"/>
      <c r="C823" s="664" t="s">
        <v>5</v>
      </c>
      <c r="D823" s="828"/>
      <c r="E823" s="628" t="s">
        <v>1403</v>
      </c>
      <c r="F823" s="729">
        <v>54029.2</v>
      </c>
      <c r="G823" s="729">
        <v>12326.2</v>
      </c>
      <c r="H823" s="729">
        <v>32084.3</v>
      </c>
      <c r="I823" s="729">
        <v>23362.400000000001</v>
      </c>
      <c r="J823" s="729">
        <v>19658.400000000001</v>
      </c>
      <c r="K823" s="628" t="s">
        <v>1404</v>
      </c>
      <c r="L823" s="540" t="s">
        <v>71</v>
      </c>
      <c r="M823" s="540">
        <v>3000</v>
      </c>
      <c r="N823" s="540">
        <v>3000</v>
      </c>
      <c r="O823" s="540">
        <v>3000</v>
      </c>
      <c r="P823" s="540">
        <v>3000</v>
      </c>
      <c r="Q823" s="540">
        <v>3000</v>
      </c>
    </row>
    <row r="824" spans="1:17" ht="45" x14ac:dyDescent="0.25">
      <c r="A824" s="872"/>
      <c r="B824" s="867"/>
      <c r="C824" s="664" t="s">
        <v>49</v>
      </c>
      <c r="D824" s="828"/>
      <c r="E824" s="628" t="s">
        <v>1405</v>
      </c>
      <c r="F824" s="729">
        <v>10912.6</v>
      </c>
      <c r="G824" s="729">
        <v>12300</v>
      </c>
      <c r="H824" s="729">
        <v>11850</v>
      </c>
      <c r="I824" s="729">
        <v>11850</v>
      </c>
      <c r="J824" s="729">
        <v>11850</v>
      </c>
      <c r="K824" s="628" t="s">
        <v>1406</v>
      </c>
      <c r="L824" s="540" t="s">
        <v>14</v>
      </c>
      <c r="M824" s="540">
        <v>48.9</v>
      </c>
      <c r="N824" s="540">
        <v>49.4</v>
      </c>
      <c r="O824" s="540">
        <v>49.9</v>
      </c>
      <c r="P824" s="540">
        <v>50</v>
      </c>
      <c r="Q824" s="540">
        <v>48.3</v>
      </c>
    </row>
    <row r="825" spans="1:17" x14ac:dyDescent="0.25">
      <c r="A825" s="872"/>
      <c r="B825" s="867"/>
      <c r="C825" s="664"/>
      <c r="D825" s="828"/>
      <c r="E825" s="828"/>
      <c r="F825" s="729"/>
      <c r="G825" s="729"/>
      <c r="H825" s="729"/>
      <c r="I825" s="729"/>
      <c r="J825" s="729"/>
      <c r="K825" s="562"/>
      <c r="L825" s="789"/>
      <c r="M825" s="828"/>
      <c r="N825" s="828"/>
      <c r="O825" s="828"/>
      <c r="P825" s="828"/>
      <c r="Q825" s="828"/>
    </row>
    <row r="826" spans="1:17" ht="225" x14ac:dyDescent="0.25">
      <c r="A826" s="872"/>
      <c r="B826" s="433" t="s">
        <v>110</v>
      </c>
      <c r="C826" s="664"/>
      <c r="D826" s="828"/>
      <c r="E826" s="589" t="s">
        <v>1407</v>
      </c>
      <c r="F826" s="420">
        <v>481812.6</v>
      </c>
      <c r="G826" s="420">
        <v>662180.9</v>
      </c>
      <c r="H826" s="420">
        <f>H827+H828+H829+H831+H833</f>
        <v>515376.80000000005</v>
      </c>
      <c r="I826" s="420">
        <f t="shared" ref="I826:J826" si="88">I827+I828+I829+I831+I833</f>
        <v>515376.8</v>
      </c>
      <c r="J826" s="420">
        <f t="shared" si="88"/>
        <v>515376.80000000005</v>
      </c>
      <c r="K826" s="562"/>
      <c r="L826" s="789"/>
      <c r="M826" s="828"/>
      <c r="N826" s="828"/>
      <c r="O826" s="828"/>
      <c r="P826" s="828"/>
      <c r="Q826" s="828"/>
    </row>
    <row r="827" spans="1:17" ht="45" x14ac:dyDescent="0.25">
      <c r="A827" s="872"/>
      <c r="B827" s="867"/>
      <c r="C827" s="664" t="s">
        <v>2</v>
      </c>
      <c r="D827" s="828"/>
      <c r="E827" s="628" t="s">
        <v>1408</v>
      </c>
      <c r="F827" s="1649">
        <v>82496.899999999994</v>
      </c>
      <c r="G827" s="729">
        <v>5046.6000000000004</v>
      </c>
      <c r="H827" s="729">
        <v>5068.5999999999995</v>
      </c>
      <c r="I827" s="729">
        <v>5068.5999999999995</v>
      </c>
      <c r="J827" s="729">
        <v>5068.5999999999995</v>
      </c>
      <c r="K827" s="628" t="s">
        <v>1409</v>
      </c>
      <c r="L827" s="540" t="s">
        <v>975</v>
      </c>
      <c r="M827" s="540">
        <v>50</v>
      </c>
      <c r="N827" s="540">
        <v>500</v>
      </c>
      <c r="O827" s="540">
        <v>500</v>
      </c>
      <c r="P827" s="540">
        <v>500</v>
      </c>
      <c r="Q827" s="540">
        <v>500</v>
      </c>
    </row>
    <row r="828" spans="1:17" ht="60" x14ac:dyDescent="0.25">
      <c r="A828" s="872"/>
      <c r="B828" s="867"/>
      <c r="C828" s="664" t="s">
        <v>3</v>
      </c>
      <c r="D828" s="828"/>
      <c r="E828" s="628" t="s">
        <v>1410</v>
      </c>
      <c r="F828" s="2033"/>
      <c r="G828" s="729">
        <v>37098.1</v>
      </c>
      <c r="H828" s="729">
        <v>39123.700000000012</v>
      </c>
      <c r="I828" s="729">
        <v>39123.699999999997</v>
      </c>
      <c r="J828" s="729">
        <v>39123.699999999997</v>
      </c>
      <c r="K828" s="628" t="s">
        <v>1411</v>
      </c>
      <c r="L828" s="540" t="s">
        <v>14</v>
      </c>
      <c r="M828" s="540">
        <v>69</v>
      </c>
      <c r="N828" s="540">
        <v>70</v>
      </c>
      <c r="O828" s="540">
        <v>70</v>
      </c>
      <c r="P828" s="540">
        <v>70</v>
      </c>
      <c r="Q828" s="540">
        <v>70</v>
      </c>
    </row>
    <row r="829" spans="1:17" ht="45" x14ac:dyDescent="0.25">
      <c r="A829" s="872"/>
      <c r="B829" s="867"/>
      <c r="C829" s="664" t="s">
        <v>4</v>
      </c>
      <c r="D829" s="828"/>
      <c r="E829" s="628" t="s">
        <v>1412</v>
      </c>
      <c r="F829" s="1650"/>
      <c r="G829" s="729">
        <v>44546.7</v>
      </c>
      <c r="H829" s="729">
        <v>47052.699999999983</v>
      </c>
      <c r="I829" s="729">
        <v>47052.699999999983</v>
      </c>
      <c r="J829" s="729">
        <v>47052.700000000012</v>
      </c>
      <c r="K829" s="628" t="s">
        <v>1413</v>
      </c>
      <c r="L829" s="540" t="s">
        <v>1414</v>
      </c>
      <c r="M829" s="540">
        <v>17.8</v>
      </c>
      <c r="N829" s="540">
        <v>15</v>
      </c>
      <c r="O829" s="540">
        <v>17.8</v>
      </c>
      <c r="P829" s="540">
        <v>18.600000000000001</v>
      </c>
      <c r="Q829" s="540">
        <v>19.600000000000001</v>
      </c>
    </row>
    <row r="830" spans="1:17" ht="45" x14ac:dyDescent="0.25">
      <c r="A830" s="872"/>
      <c r="B830" s="867"/>
      <c r="C830" s="664" t="s">
        <v>5</v>
      </c>
      <c r="D830" s="828"/>
      <c r="E830" s="589" t="s">
        <v>1415</v>
      </c>
      <c r="F830" s="729">
        <v>0</v>
      </c>
      <c r="G830" s="729">
        <v>0</v>
      </c>
      <c r="H830" s="729">
        <v>0</v>
      </c>
      <c r="I830" s="729">
        <v>0</v>
      </c>
      <c r="J830" s="729">
        <v>0</v>
      </c>
      <c r="K830" s="628" t="s">
        <v>1416</v>
      </c>
      <c r="L830" s="540" t="s">
        <v>975</v>
      </c>
      <c r="M830" s="540">
        <v>0</v>
      </c>
      <c r="N830" s="540">
        <v>0</v>
      </c>
      <c r="O830" s="540">
        <v>0</v>
      </c>
      <c r="P830" s="540">
        <v>0</v>
      </c>
      <c r="Q830" s="540">
        <v>0</v>
      </c>
    </row>
    <row r="831" spans="1:17" ht="45" x14ac:dyDescent="0.25">
      <c r="A831" s="872"/>
      <c r="B831" s="2107"/>
      <c r="C831" s="2103" t="s">
        <v>49</v>
      </c>
      <c r="D831" s="2109"/>
      <c r="E831" s="1808" t="s">
        <v>1417</v>
      </c>
      <c r="F831" s="1649">
        <v>28112.900000000005</v>
      </c>
      <c r="G831" s="1649">
        <v>21790.2</v>
      </c>
      <c r="H831" s="1649">
        <v>21349.399999999998</v>
      </c>
      <c r="I831" s="1649">
        <v>21349.399999999998</v>
      </c>
      <c r="J831" s="1649">
        <v>21349.399999999998</v>
      </c>
      <c r="K831" s="628" t="s">
        <v>1416</v>
      </c>
      <c r="L831" s="540" t="s">
        <v>975</v>
      </c>
      <c r="M831" s="540">
        <v>502</v>
      </c>
      <c r="N831" s="540">
        <v>500</v>
      </c>
      <c r="O831" s="540">
        <v>500</v>
      </c>
      <c r="P831" s="540">
        <v>500</v>
      </c>
      <c r="Q831" s="540">
        <v>500</v>
      </c>
    </row>
    <row r="832" spans="1:17" x14ac:dyDescent="0.25">
      <c r="A832" s="872"/>
      <c r="B832" s="2108"/>
      <c r="C832" s="2104"/>
      <c r="D832" s="2110"/>
      <c r="E832" s="1808"/>
      <c r="F832" s="1650"/>
      <c r="G832" s="1650"/>
      <c r="H832" s="1650"/>
      <c r="I832" s="1650"/>
      <c r="J832" s="1650"/>
      <c r="K832" s="628" t="s">
        <v>1418</v>
      </c>
      <c r="L832" s="540" t="s">
        <v>14</v>
      </c>
      <c r="M832" s="540">
        <v>38.4</v>
      </c>
      <c r="N832" s="540">
        <v>40</v>
      </c>
      <c r="O832" s="540">
        <v>40</v>
      </c>
      <c r="P832" s="540">
        <v>40</v>
      </c>
      <c r="Q832" s="540">
        <v>40</v>
      </c>
    </row>
    <row r="833" spans="1:17" ht="45" x14ac:dyDescent="0.25">
      <c r="A833" s="872"/>
      <c r="B833" s="867"/>
      <c r="C833" s="664" t="s">
        <v>51</v>
      </c>
      <c r="D833" s="828"/>
      <c r="E833" s="628" t="s">
        <v>1419</v>
      </c>
      <c r="F833" s="729">
        <v>371202.8</v>
      </c>
      <c r="G833" s="729">
        <v>553699.30000000005</v>
      </c>
      <c r="H833" s="729">
        <v>402782.4</v>
      </c>
      <c r="I833" s="729">
        <v>402782.4</v>
      </c>
      <c r="J833" s="729">
        <v>402782.4</v>
      </c>
      <c r="K833" s="628" t="s">
        <v>1420</v>
      </c>
      <c r="L833" s="540" t="s">
        <v>14</v>
      </c>
      <c r="M833" s="540">
        <v>11.6</v>
      </c>
      <c r="N833" s="540">
        <v>11.3</v>
      </c>
      <c r="O833" s="540">
        <v>11</v>
      </c>
      <c r="P833" s="540">
        <v>14.2</v>
      </c>
      <c r="Q833" s="540">
        <v>13.8</v>
      </c>
    </row>
    <row r="834" spans="1:17" x14ac:dyDescent="0.25">
      <c r="A834" s="872"/>
      <c r="B834" s="867"/>
      <c r="C834" s="664"/>
      <c r="D834" s="828"/>
      <c r="E834" s="828"/>
      <c r="F834" s="729"/>
      <c r="G834" s="729"/>
      <c r="H834" s="729"/>
      <c r="I834" s="729"/>
      <c r="J834" s="729"/>
      <c r="K834" s="562"/>
      <c r="L834" s="789"/>
      <c r="M834" s="828"/>
      <c r="N834" s="828"/>
      <c r="O834" s="828"/>
      <c r="P834" s="828"/>
      <c r="Q834" s="828"/>
    </row>
    <row r="835" spans="1:17" ht="177.75" x14ac:dyDescent="0.25">
      <c r="A835" s="872"/>
      <c r="B835" s="433" t="s">
        <v>1421</v>
      </c>
      <c r="C835" s="664"/>
      <c r="D835" s="828"/>
      <c r="E835" s="589" t="s">
        <v>1422</v>
      </c>
      <c r="F835" s="420">
        <v>1399.4</v>
      </c>
      <c r="G835" s="420">
        <v>6960.4000000000005</v>
      </c>
      <c r="H835" s="420">
        <f>H836+H837</f>
        <v>7863.3</v>
      </c>
      <c r="I835" s="420">
        <f t="shared" ref="I835:J835" si="89">I836+I837</f>
        <v>7863.3</v>
      </c>
      <c r="J835" s="420">
        <f t="shared" si="89"/>
        <v>7863.3000000000011</v>
      </c>
      <c r="K835" s="562"/>
      <c r="L835" s="789"/>
      <c r="M835" s="828"/>
      <c r="N835" s="828"/>
      <c r="O835" s="828"/>
      <c r="P835" s="828"/>
      <c r="Q835" s="828"/>
    </row>
    <row r="836" spans="1:17" ht="90" x14ac:dyDescent="0.25">
      <c r="A836" s="872"/>
      <c r="B836" s="867"/>
      <c r="C836" s="664" t="s">
        <v>2</v>
      </c>
      <c r="D836" s="828"/>
      <c r="E836" s="868" t="s">
        <v>1423</v>
      </c>
      <c r="F836" s="1649">
        <v>1399.4</v>
      </c>
      <c r="G836" s="1649">
        <v>6960.4000000000005</v>
      </c>
      <c r="H836" s="729">
        <v>680</v>
      </c>
      <c r="I836" s="729">
        <v>680</v>
      </c>
      <c r="J836" s="729">
        <v>680</v>
      </c>
      <c r="K836" s="628" t="s">
        <v>1424</v>
      </c>
      <c r="L836" s="540" t="s">
        <v>14</v>
      </c>
      <c r="M836" s="540">
        <v>48.3</v>
      </c>
      <c r="N836" s="540">
        <v>49.5</v>
      </c>
      <c r="O836" s="540">
        <v>49.5</v>
      </c>
      <c r="P836" s="540">
        <v>50.5</v>
      </c>
      <c r="Q836" s="540">
        <v>51</v>
      </c>
    </row>
    <row r="837" spans="1:17" ht="90" x14ac:dyDescent="0.25">
      <c r="A837" s="872"/>
      <c r="B837" s="867"/>
      <c r="C837" s="664" t="s">
        <v>3</v>
      </c>
      <c r="D837" s="828"/>
      <c r="E837" s="868" t="s">
        <v>1425</v>
      </c>
      <c r="F837" s="1650"/>
      <c r="G837" s="1650"/>
      <c r="H837" s="729">
        <v>7183.3</v>
      </c>
      <c r="I837" s="729">
        <v>7183.3</v>
      </c>
      <c r="J837" s="729">
        <v>7183.3000000000011</v>
      </c>
      <c r="K837" s="495" t="s">
        <v>1426</v>
      </c>
      <c r="L837" s="540" t="s">
        <v>1073</v>
      </c>
      <c r="M837" s="540">
        <v>0</v>
      </c>
      <c r="N837" s="540">
        <v>8</v>
      </c>
      <c r="O837" s="540">
        <v>9</v>
      </c>
      <c r="P837" s="540">
        <v>10</v>
      </c>
      <c r="Q837" s="540">
        <v>11</v>
      </c>
    </row>
    <row r="838" spans="1:17" x14ac:dyDescent="0.25">
      <c r="A838" s="75"/>
      <c r="B838" s="874"/>
      <c r="C838" s="875"/>
      <c r="D838" s="85"/>
      <c r="E838" s="85"/>
      <c r="F838" s="87"/>
      <c r="G838" s="87"/>
      <c r="H838" s="87"/>
      <c r="I838" s="87"/>
      <c r="J838" s="87"/>
      <c r="K838" s="85"/>
      <c r="L838" s="1551"/>
      <c r="M838" s="85"/>
      <c r="N838" s="85"/>
      <c r="O838" s="85"/>
      <c r="P838" s="85"/>
      <c r="Q838" s="85"/>
    </row>
    <row r="839" spans="1:17" x14ac:dyDescent="0.25">
      <c r="A839" s="2096" t="s">
        <v>1427</v>
      </c>
      <c r="B839" s="2097"/>
      <c r="C839" s="2097"/>
      <c r="D839" s="2097"/>
      <c r="E839" s="2098"/>
      <c r="F839" s="205">
        <f t="shared" ref="F839:G839" si="90">F778+F783+F801+F819+F826+F835</f>
        <v>9297856.0999999996</v>
      </c>
      <c r="G839" s="205">
        <f t="shared" si="90"/>
        <v>11746471.000000002</v>
      </c>
      <c r="H839" s="205">
        <f>H778+H783+H801+H819+H826+H835</f>
        <v>10843860.900000002</v>
      </c>
      <c r="I839" s="205">
        <f t="shared" ref="I839:J839" si="91">I778+I783+I801+I819+I826+I835</f>
        <v>10839323.900000002</v>
      </c>
      <c r="J839" s="205">
        <f t="shared" si="91"/>
        <v>10841846.400000002</v>
      </c>
      <c r="K839" s="876"/>
      <c r="L839" s="1552"/>
      <c r="M839" s="876"/>
      <c r="N839" s="876"/>
      <c r="O839" s="876"/>
      <c r="P839" s="876"/>
      <c r="Q839" s="876"/>
    </row>
    <row r="840" spans="1:17" x14ac:dyDescent="0.25">
      <c r="A840" s="2099" t="s">
        <v>1428</v>
      </c>
      <c r="B840" s="2099"/>
      <c r="C840" s="2099"/>
      <c r="D840" s="2099"/>
      <c r="E840" s="2099"/>
      <c r="F840" s="2099"/>
      <c r="G840" s="2099"/>
      <c r="H840" s="2099"/>
      <c r="I840" s="2099"/>
      <c r="J840" s="2099"/>
      <c r="K840" s="2099"/>
      <c r="L840" s="2099"/>
      <c r="M840" s="2099"/>
      <c r="N840" s="2099"/>
      <c r="O840" s="2099"/>
      <c r="P840" s="2099"/>
      <c r="Q840" s="2099"/>
    </row>
    <row r="841" spans="1:17" ht="88.5" x14ac:dyDescent="0.25">
      <c r="A841" s="394"/>
      <c r="B841" s="877">
        <v>1</v>
      </c>
      <c r="C841" s="762"/>
      <c r="D841" s="878"/>
      <c r="E841" s="486" t="s">
        <v>1429</v>
      </c>
      <c r="F841" s="420">
        <f>F842+F843+F844+F845+F846+F847+F848</f>
        <v>16126.099999999999</v>
      </c>
      <c r="G841" s="420">
        <f>G842+G843+G844+G845+G846+G847+G848</f>
        <v>21087.1</v>
      </c>
      <c r="H841" s="420">
        <f>H842+H843+H844+H845+H846+H847+H848</f>
        <v>23242.1</v>
      </c>
      <c r="I841" s="420">
        <f t="shared" ref="I841:J841" si="92">I842+I843+I844+I845+I846+I847+I848</f>
        <v>21129.3</v>
      </c>
      <c r="J841" s="420">
        <f t="shared" si="92"/>
        <v>21129.3</v>
      </c>
      <c r="K841" s="582" t="s">
        <v>655</v>
      </c>
      <c r="L841" s="660" t="s">
        <v>14</v>
      </c>
      <c r="M841" s="879">
        <v>4.6899999999999997E-2</v>
      </c>
      <c r="N841" s="879">
        <v>2.86E-2</v>
      </c>
      <c r="O841" s="879">
        <v>2.86E-2</v>
      </c>
      <c r="P841" s="879">
        <v>2.86E-2</v>
      </c>
      <c r="Q841" s="879">
        <v>2.86E-2</v>
      </c>
    </row>
    <row r="842" spans="1:17" x14ac:dyDescent="0.25">
      <c r="A842" s="394"/>
      <c r="B842" s="880"/>
      <c r="C842" s="709">
        <v>1</v>
      </c>
      <c r="D842" s="724"/>
      <c r="E842" s="197" t="s">
        <v>205</v>
      </c>
      <c r="F842" s="729">
        <v>2487.9</v>
      </c>
      <c r="G842" s="729">
        <v>4405.5</v>
      </c>
      <c r="H842" s="729">
        <f>721.3+4473.69</f>
        <v>5194.99</v>
      </c>
      <c r="I842" s="729">
        <v>4447.7</v>
      </c>
      <c r="J842" s="729">
        <v>4447.7</v>
      </c>
      <c r="K842" s="589" t="s">
        <v>784</v>
      </c>
      <c r="L842" s="540" t="s">
        <v>15</v>
      </c>
      <c r="M842" s="540"/>
      <c r="N842" s="540"/>
      <c r="O842" s="540"/>
      <c r="P842" s="540"/>
      <c r="Q842" s="540"/>
    </row>
    <row r="843" spans="1:17" ht="30" x14ac:dyDescent="0.25">
      <c r="A843" s="394"/>
      <c r="B843" s="880"/>
      <c r="C843" s="881">
        <v>2</v>
      </c>
      <c r="D843" s="724"/>
      <c r="E843" s="527" t="s">
        <v>206</v>
      </c>
      <c r="F843" s="729">
        <v>1149.3</v>
      </c>
      <c r="G843" s="729">
        <v>2083.6999999999998</v>
      </c>
      <c r="H843" s="729">
        <f>718.2+1542.83</f>
        <v>2261.0299999999997</v>
      </c>
      <c r="I843" s="729">
        <v>2083.6999999999998</v>
      </c>
      <c r="J843" s="729">
        <v>2083.6999999999998</v>
      </c>
      <c r="K843" s="589" t="s">
        <v>502</v>
      </c>
      <c r="L843" s="540" t="s">
        <v>14</v>
      </c>
      <c r="M843" s="260">
        <v>1</v>
      </c>
      <c r="N843" s="260">
        <v>0</v>
      </c>
      <c r="O843" s="260">
        <v>0</v>
      </c>
      <c r="P843" s="260">
        <v>0</v>
      </c>
      <c r="Q843" s="260">
        <v>0</v>
      </c>
    </row>
    <row r="844" spans="1:17" ht="30" x14ac:dyDescent="0.25">
      <c r="A844" s="394"/>
      <c r="B844" s="880"/>
      <c r="C844" s="881">
        <v>3</v>
      </c>
      <c r="D844" s="724"/>
      <c r="E844" s="527" t="s">
        <v>142</v>
      </c>
      <c r="F844" s="729">
        <v>1150.0999999999999</v>
      </c>
      <c r="G844" s="729">
        <v>1733.8</v>
      </c>
      <c r="H844" s="729">
        <f>556.7+1339.73</f>
        <v>1896.43</v>
      </c>
      <c r="I844" s="729">
        <v>1733.8</v>
      </c>
      <c r="J844" s="729">
        <v>1733.8</v>
      </c>
      <c r="K844" s="589" t="s">
        <v>1430</v>
      </c>
      <c r="L844" s="540" t="s">
        <v>14</v>
      </c>
      <c r="M844" s="260">
        <v>0</v>
      </c>
      <c r="N844" s="260">
        <v>0</v>
      </c>
      <c r="O844" s="260">
        <v>0</v>
      </c>
      <c r="P844" s="260">
        <v>0</v>
      </c>
      <c r="Q844" s="260">
        <v>0</v>
      </c>
    </row>
    <row r="845" spans="1:17" ht="30" x14ac:dyDescent="0.25">
      <c r="A845" s="394"/>
      <c r="B845" s="880"/>
      <c r="C845" s="881">
        <v>4</v>
      </c>
      <c r="D845" s="724"/>
      <c r="E845" s="527" t="s">
        <v>143</v>
      </c>
      <c r="F845" s="729">
        <v>327.3</v>
      </c>
      <c r="G845" s="729">
        <v>513.79999999999995</v>
      </c>
      <c r="H845" s="729">
        <v>144.1</v>
      </c>
      <c r="I845" s="729">
        <v>513.79999999999995</v>
      </c>
      <c r="J845" s="729">
        <v>513.79999999999995</v>
      </c>
      <c r="K845" s="589" t="s">
        <v>1431</v>
      </c>
      <c r="L845" s="540" t="s">
        <v>1054</v>
      </c>
      <c r="M845" s="540">
        <v>0</v>
      </c>
      <c r="N845" s="540">
        <v>0</v>
      </c>
      <c r="O845" s="540">
        <v>0</v>
      </c>
      <c r="P845" s="540">
        <v>0</v>
      </c>
      <c r="Q845" s="540">
        <v>0</v>
      </c>
    </row>
    <row r="846" spans="1:17" ht="30" x14ac:dyDescent="0.25">
      <c r="A846" s="394"/>
      <c r="B846" s="880"/>
      <c r="C846" s="881">
        <v>5</v>
      </c>
      <c r="D846" s="724"/>
      <c r="E846" s="527" t="s">
        <v>207</v>
      </c>
      <c r="F846" s="729">
        <v>1365.8</v>
      </c>
      <c r="G846" s="729">
        <v>2853.9</v>
      </c>
      <c r="H846" s="729">
        <f>421.2+2096.43</f>
        <v>2517.6299999999997</v>
      </c>
      <c r="I846" s="729">
        <v>2853.9</v>
      </c>
      <c r="J846" s="729">
        <v>2853.9</v>
      </c>
      <c r="K846" s="589" t="s">
        <v>1056</v>
      </c>
      <c r="L846" s="540" t="s">
        <v>968</v>
      </c>
      <c r="M846" s="540"/>
      <c r="N846" s="540"/>
      <c r="O846" s="540"/>
      <c r="P846" s="540"/>
      <c r="Q846" s="540"/>
    </row>
    <row r="847" spans="1:17" ht="45" x14ac:dyDescent="0.25">
      <c r="A847" s="394"/>
      <c r="B847" s="880"/>
      <c r="C847" s="882">
        <v>6</v>
      </c>
      <c r="D847" s="724"/>
      <c r="E847" s="495" t="s">
        <v>1432</v>
      </c>
      <c r="F847" s="729">
        <v>7723.9</v>
      </c>
      <c r="G847" s="729">
        <v>7650.1</v>
      </c>
      <c r="H847" s="729">
        <f>2489.1+6721.59</f>
        <v>9210.69</v>
      </c>
      <c r="I847" s="729">
        <v>7650.1</v>
      </c>
      <c r="J847" s="729">
        <v>7650.1</v>
      </c>
      <c r="K847" s="589" t="s">
        <v>1433</v>
      </c>
      <c r="L847" s="540" t="s">
        <v>14</v>
      </c>
      <c r="M847" s="883">
        <v>0.34</v>
      </c>
      <c r="N847" s="884">
        <v>0.36199999999999999</v>
      </c>
      <c r="O847" s="884">
        <v>0.36199999999999999</v>
      </c>
      <c r="P847" s="884">
        <v>0.36199999999999999</v>
      </c>
      <c r="Q847" s="884">
        <v>0.36199999999999999</v>
      </c>
    </row>
    <row r="848" spans="1:17" ht="30" x14ac:dyDescent="0.25">
      <c r="A848" s="394"/>
      <c r="B848" s="880"/>
      <c r="C848" s="882">
        <v>7</v>
      </c>
      <c r="D848" s="724"/>
      <c r="E848" s="562" t="s">
        <v>1434</v>
      </c>
      <c r="F848" s="729">
        <v>1921.8</v>
      </c>
      <c r="G848" s="729">
        <v>1846.3</v>
      </c>
      <c r="H848" s="729">
        <f>700.9+1316.33</f>
        <v>2017.23</v>
      </c>
      <c r="I848" s="729">
        <v>1846.3</v>
      </c>
      <c r="J848" s="729">
        <v>1846.3</v>
      </c>
      <c r="K848" s="589" t="s">
        <v>1435</v>
      </c>
      <c r="L848" s="540"/>
      <c r="M848" s="540"/>
      <c r="N848" s="540"/>
      <c r="O848" s="540"/>
      <c r="P848" s="540"/>
      <c r="Q848" s="540"/>
    </row>
    <row r="849" spans="1:17" ht="102" x14ac:dyDescent="0.25">
      <c r="A849" s="394"/>
      <c r="B849" s="885">
        <v>2</v>
      </c>
      <c r="C849" s="797"/>
      <c r="D849" s="797"/>
      <c r="E849" s="582" t="s">
        <v>1436</v>
      </c>
      <c r="F849" s="420">
        <f>SUM(F850:F851)</f>
        <v>33478.6</v>
      </c>
      <c r="G849" s="420">
        <f>SUM(G850:G851)</f>
        <v>48252.799999999996</v>
      </c>
      <c r="H849" s="420">
        <f>SUM(H850:H851)</f>
        <v>38036.299999999996</v>
      </c>
      <c r="I849" s="420">
        <f>SUM(I850:I851)</f>
        <v>37108</v>
      </c>
      <c r="J849" s="420">
        <f>SUM(J850:J851)</f>
        <v>37108</v>
      </c>
      <c r="K849" s="486" t="s">
        <v>1437</v>
      </c>
      <c r="L849" s="540"/>
      <c r="M849" s="886">
        <v>0.30940000000000001</v>
      </c>
      <c r="N849" s="886">
        <v>0.3135</v>
      </c>
      <c r="O849" s="886">
        <v>0.3135</v>
      </c>
      <c r="P849" s="886">
        <v>0.3135</v>
      </c>
      <c r="Q849" s="886">
        <v>0.3135</v>
      </c>
    </row>
    <row r="850" spans="1:17" ht="30" x14ac:dyDescent="0.25">
      <c r="A850" s="394"/>
      <c r="B850" s="885"/>
      <c r="C850" s="655" t="s">
        <v>2</v>
      </c>
      <c r="D850" s="797"/>
      <c r="E850" s="562" t="s">
        <v>1438</v>
      </c>
      <c r="F850" s="729">
        <v>6955.8</v>
      </c>
      <c r="G850" s="729">
        <v>8687.1</v>
      </c>
      <c r="H850" s="729">
        <f>2094.1+7397.44</f>
        <v>9491.5399999999991</v>
      </c>
      <c r="I850" s="729">
        <v>8763.1</v>
      </c>
      <c r="J850" s="729">
        <v>8763.1</v>
      </c>
      <c r="K850" s="562" t="s">
        <v>1439</v>
      </c>
      <c r="L850" s="40"/>
      <c r="M850" s="40">
        <v>1274</v>
      </c>
      <c r="N850" s="40"/>
      <c r="O850" s="40"/>
      <c r="P850" s="40"/>
      <c r="Q850" s="40"/>
    </row>
    <row r="851" spans="1:17" ht="45" x14ac:dyDescent="0.25">
      <c r="A851" s="394"/>
      <c r="B851" s="880"/>
      <c r="C851" s="767" t="s">
        <v>3</v>
      </c>
      <c r="D851" s="111"/>
      <c r="E851" s="562" t="s">
        <v>1440</v>
      </c>
      <c r="F851" s="558">
        <v>26522.799999999999</v>
      </c>
      <c r="G851" s="558">
        <v>39565.699999999997</v>
      </c>
      <c r="H851" s="729">
        <f>2770.1+25774.66</f>
        <v>28544.76</v>
      </c>
      <c r="I851" s="729">
        <v>28344.9</v>
      </c>
      <c r="J851" s="729">
        <v>28344.9</v>
      </c>
      <c r="K851" s="562" t="s">
        <v>1441</v>
      </c>
      <c r="L851" s="540" t="s">
        <v>14</v>
      </c>
      <c r="M851" s="887"/>
      <c r="N851" s="106"/>
      <c r="O851" s="106"/>
      <c r="P851" s="106"/>
      <c r="Q851" s="106"/>
    </row>
    <row r="852" spans="1:17" ht="102.75" x14ac:dyDescent="0.25">
      <c r="A852" s="394"/>
      <c r="B852" s="880">
        <v>3</v>
      </c>
      <c r="C852" s="111"/>
      <c r="D852" s="111"/>
      <c r="E852" s="582" t="s">
        <v>1442</v>
      </c>
      <c r="F852" s="302">
        <f>F853</f>
        <v>2135.4</v>
      </c>
      <c r="G852" s="302">
        <v>9633.5</v>
      </c>
      <c r="H852" s="420">
        <f>H853</f>
        <v>10820.2</v>
      </c>
      <c r="I852" s="420">
        <f t="shared" ref="I852:J852" si="93">I853</f>
        <v>10705.9</v>
      </c>
      <c r="J852" s="420">
        <f t="shared" si="93"/>
        <v>10705.9</v>
      </c>
      <c r="K852" s="486" t="s">
        <v>1443</v>
      </c>
      <c r="L852" s="660"/>
      <c r="M852" s="888"/>
      <c r="N852" s="889"/>
      <c r="O852" s="889"/>
      <c r="P852" s="889"/>
      <c r="Q852" s="889"/>
    </row>
    <row r="853" spans="1:17" ht="30" x14ac:dyDescent="0.25">
      <c r="A853" s="394"/>
      <c r="B853" s="880"/>
      <c r="C853" s="767" t="s">
        <v>2</v>
      </c>
      <c r="D853" s="111"/>
      <c r="E853" s="562" t="s">
        <v>1444</v>
      </c>
      <c r="F853" s="558">
        <v>2135.4</v>
      </c>
      <c r="G853" s="558">
        <v>9633.5</v>
      </c>
      <c r="H853" s="729">
        <v>10820.2</v>
      </c>
      <c r="I853" s="729">
        <v>10705.9</v>
      </c>
      <c r="J853" s="729">
        <v>10705.9</v>
      </c>
      <c r="K853" s="562" t="s">
        <v>1445</v>
      </c>
      <c r="L853" s="540"/>
      <c r="M853" s="887"/>
      <c r="N853" s="106"/>
      <c r="O853" s="106"/>
      <c r="P853" s="106"/>
      <c r="Q853" s="106"/>
    </row>
    <row r="854" spans="1:17" ht="102" x14ac:dyDescent="0.25">
      <c r="A854" s="394"/>
      <c r="B854" s="880">
        <v>4</v>
      </c>
      <c r="C854" s="111"/>
      <c r="D854" s="111"/>
      <c r="E854" s="582" t="s">
        <v>1446</v>
      </c>
      <c r="F854" s="302">
        <f>F855</f>
        <v>51754.8</v>
      </c>
      <c r="G854" s="302">
        <v>57044</v>
      </c>
      <c r="H854" s="420">
        <f>H855</f>
        <v>59447.3</v>
      </c>
      <c r="I854" s="420">
        <f>I855</f>
        <v>62621.4</v>
      </c>
      <c r="J854" s="420">
        <f>J855</f>
        <v>62663.200000000004</v>
      </c>
      <c r="K854" s="486" t="s">
        <v>1447</v>
      </c>
      <c r="L854" s="540"/>
      <c r="M854" s="890"/>
      <c r="N854" s="93"/>
      <c r="O854" s="93"/>
      <c r="P854" s="93"/>
      <c r="Q854" s="93"/>
    </row>
    <row r="855" spans="1:17" ht="60" x14ac:dyDescent="0.25">
      <c r="A855" s="394"/>
      <c r="B855" s="880"/>
      <c r="C855" s="767" t="s">
        <v>2</v>
      </c>
      <c r="D855" s="111"/>
      <c r="E855" s="562" t="s">
        <v>1448</v>
      </c>
      <c r="F855" s="558">
        <v>51754.8</v>
      </c>
      <c r="G855" s="558">
        <v>57044</v>
      </c>
      <c r="H855" s="558">
        <v>59447.3</v>
      </c>
      <c r="I855" s="558">
        <f>60523.9+2097.5</f>
        <v>62621.4</v>
      </c>
      <c r="J855" s="558">
        <f>60523.9+2139.3</f>
        <v>62663.200000000004</v>
      </c>
      <c r="K855" s="562" t="s">
        <v>1449</v>
      </c>
      <c r="L855" s="415"/>
      <c r="M855" s="891"/>
      <c r="N855" s="362"/>
      <c r="O855" s="362"/>
      <c r="P855" s="362"/>
      <c r="Q855" s="362"/>
    </row>
    <row r="856" spans="1:17" x14ac:dyDescent="0.25">
      <c r="A856" s="2100" t="s">
        <v>1450</v>
      </c>
      <c r="B856" s="2100"/>
      <c r="C856" s="2100"/>
      <c r="D856" s="2100"/>
      <c r="E856" s="2100"/>
      <c r="F856" s="8">
        <f>F841+F849+F852+F854</f>
        <v>103494.9</v>
      </c>
      <c r="G856" s="8">
        <f>G841+G849+G852+G854</f>
        <v>136017.4</v>
      </c>
      <c r="H856" s="8">
        <f>H841+H849+H852+H854</f>
        <v>131545.9</v>
      </c>
      <c r="I856" s="8">
        <f>I841+I849+I852+I854</f>
        <v>131564.6</v>
      </c>
      <c r="J856" s="8">
        <f>J841+J849+J852+J854</f>
        <v>131606.39999999999</v>
      </c>
      <c r="K856" s="77"/>
      <c r="L856" s="686"/>
      <c r="M856" s="696"/>
      <c r="N856" s="696"/>
      <c r="O856" s="696"/>
      <c r="P856" s="696"/>
      <c r="Q856" s="696"/>
    </row>
    <row r="857" spans="1:17" x14ac:dyDescent="0.25">
      <c r="A857" s="892"/>
      <c r="B857" s="1589" t="s">
        <v>1451</v>
      </c>
      <c r="C857" s="1590"/>
      <c r="D857" s="1590"/>
      <c r="E857" s="1590"/>
      <c r="F857" s="1590"/>
      <c r="G857" s="1590"/>
      <c r="H857" s="1590"/>
      <c r="I857" s="1590"/>
      <c r="J857" s="1590"/>
      <c r="K857" s="1590"/>
      <c r="L857" s="1590"/>
      <c r="M857" s="1590"/>
      <c r="N857" s="1590"/>
      <c r="O857" s="1590"/>
      <c r="P857" s="1590"/>
      <c r="Q857" s="1590"/>
    </row>
    <row r="858" spans="1:17" ht="57" x14ac:dyDescent="0.25">
      <c r="A858" s="893"/>
      <c r="B858" s="433">
        <v>2</v>
      </c>
      <c r="C858" s="664"/>
      <c r="D858" s="349"/>
      <c r="E858" s="582" t="s">
        <v>1452</v>
      </c>
      <c r="F858" s="660">
        <f t="shared" ref="F858:J858" si="94">F859</f>
        <v>739.4</v>
      </c>
      <c r="G858" s="660">
        <f t="shared" si="94"/>
        <v>739.4</v>
      </c>
      <c r="H858" s="660">
        <f t="shared" si="94"/>
        <v>739.4</v>
      </c>
      <c r="I858" s="894">
        <f t="shared" si="94"/>
        <v>740</v>
      </c>
      <c r="J858" s="660">
        <f t="shared" si="94"/>
        <v>741.5</v>
      </c>
      <c r="K858" s="342"/>
      <c r="L858" s="41" t="s">
        <v>14</v>
      </c>
      <c r="M858" s="41">
        <v>739.4</v>
      </c>
      <c r="N858" s="41">
        <v>739.4</v>
      </c>
      <c r="O858" s="41">
        <v>739.4</v>
      </c>
      <c r="P858" s="41">
        <v>739.4</v>
      </c>
      <c r="Q858" s="41">
        <v>739.4</v>
      </c>
    </row>
    <row r="859" spans="1:17" x14ac:dyDescent="0.25">
      <c r="A859" s="893"/>
      <c r="B859" s="2101"/>
      <c r="C859" s="2103" t="s">
        <v>2</v>
      </c>
      <c r="D859" s="2103"/>
      <c r="E859" s="1850" t="s">
        <v>1453</v>
      </c>
      <c r="F859" s="1845">
        <v>739.4</v>
      </c>
      <c r="G859" s="1845">
        <v>739.4</v>
      </c>
      <c r="H859" s="2105">
        <v>739.4</v>
      </c>
      <c r="I859" s="2105">
        <v>740</v>
      </c>
      <c r="J859" s="2105">
        <v>741.5</v>
      </c>
      <c r="K859" s="895"/>
      <c r="L859" s="540"/>
      <c r="M859" s="41"/>
      <c r="N859" s="41"/>
      <c r="O859" s="41"/>
      <c r="P859" s="41"/>
      <c r="Q859" s="41"/>
    </row>
    <row r="860" spans="1:17" x14ac:dyDescent="0.25">
      <c r="A860" s="893"/>
      <c r="B860" s="2102"/>
      <c r="C860" s="2104"/>
      <c r="D860" s="2104"/>
      <c r="E860" s="1851"/>
      <c r="F860" s="1846"/>
      <c r="G860" s="1846"/>
      <c r="H860" s="2106"/>
      <c r="I860" s="2106"/>
      <c r="J860" s="2106"/>
      <c r="K860" s="97"/>
      <c r="L860" s="540"/>
      <c r="M860" s="41">
        <v>100</v>
      </c>
      <c r="N860" s="41">
        <v>100</v>
      </c>
      <c r="O860" s="41">
        <v>100</v>
      </c>
      <c r="P860" s="41">
        <v>100</v>
      </c>
      <c r="Q860" s="41">
        <v>100</v>
      </c>
    </row>
    <row r="861" spans="1:17" x14ac:dyDescent="0.25">
      <c r="A861" s="896"/>
      <c r="B861" s="1973" t="s">
        <v>1427</v>
      </c>
      <c r="C861" s="1973"/>
      <c r="D861" s="1973"/>
      <c r="E861" s="1973"/>
      <c r="F861" s="320">
        <f>F858</f>
        <v>739.4</v>
      </c>
      <c r="G861" s="320">
        <f t="shared" ref="G861:J861" si="95">G858</f>
        <v>739.4</v>
      </c>
      <c r="H861" s="320">
        <f t="shared" si="95"/>
        <v>739.4</v>
      </c>
      <c r="I861" s="320">
        <f t="shared" si="95"/>
        <v>740</v>
      </c>
      <c r="J861" s="320">
        <f t="shared" si="95"/>
        <v>741.5</v>
      </c>
      <c r="K861" s="567"/>
      <c r="L861" s="673"/>
      <c r="M861" s="673"/>
      <c r="N861" s="673"/>
      <c r="O861" s="673"/>
      <c r="P861" s="673"/>
      <c r="Q861" s="673"/>
    </row>
    <row r="862" spans="1:17" x14ac:dyDescent="0.25">
      <c r="A862" s="1589" t="s">
        <v>1454</v>
      </c>
      <c r="B862" s="1590"/>
      <c r="C862" s="1590"/>
      <c r="D862" s="1590"/>
      <c r="E862" s="1590"/>
      <c r="F862" s="1590"/>
      <c r="G862" s="1590"/>
      <c r="H862" s="1590"/>
      <c r="I862" s="1590"/>
      <c r="J862" s="1590"/>
      <c r="K862" s="1590"/>
      <c r="L862" s="1590"/>
      <c r="M862" s="1590"/>
      <c r="N862" s="1590"/>
      <c r="O862" s="1590"/>
      <c r="P862" s="1590"/>
      <c r="Q862" s="1591"/>
    </row>
    <row r="863" spans="1:17" ht="89.25" x14ac:dyDescent="0.25">
      <c r="A863" s="897"/>
      <c r="B863" s="898" t="s">
        <v>102</v>
      </c>
      <c r="C863" s="116"/>
      <c r="D863" s="116"/>
      <c r="E863" s="899" t="s">
        <v>1455</v>
      </c>
      <c r="F863" s="430">
        <f>F865+F876+F886+F892</f>
        <v>118477.59999999999</v>
      </c>
      <c r="G863" s="430">
        <f>G865+G876+G886+G892</f>
        <v>132784.40000000002</v>
      </c>
      <c r="H863" s="430">
        <f>H865+H876+H886+H892</f>
        <v>138701</v>
      </c>
      <c r="I863" s="430">
        <f>I865+I876+I886+I892</f>
        <v>140625.79999999999</v>
      </c>
      <c r="J863" s="430">
        <f>J865+J876+J886+J892</f>
        <v>140625.79999999999</v>
      </c>
      <c r="K863" s="589" t="s">
        <v>655</v>
      </c>
      <c r="L863" s="511" t="s">
        <v>14</v>
      </c>
      <c r="M863" s="540">
        <v>1.3</v>
      </c>
      <c r="N863" s="540">
        <v>1.4</v>
      </c>
      <c r="O863" s="540">
        <v>1.8</v>
      </c>
      <c r="P863" s="511">
        <v>1.9</v>
      </c>
      <c r="Q863" s="511">
        <v>1.9</v>
      </c>
    </row>
    <row r="864" spans="1:17" x14ac:dyDescent="0.25">
      <c r="A864" s="897"/>
      <c r="B864" s="898"/>
      <c r="C864" s="618" t="s">
        <v>2</v>
      </c>
      <c r="D864" s="900"/>
      <c r="E864" s="426" t="s">
        <v>205</v>
      </c>
      <c r="F864" s="901"/>
      <c r="G864" s="901"/>
      <c r="H864" s="559"/>
      <c r="I864" s="901"/>
      <c r="J864" s="901"/>
      <c r="K864" s="589"/>
      <c r="L864" s="511"/>
      <c r="M864" s="540"/>
      <c r="N864" s="540"/>
      <c r="O864" s="540"/>
      <c r="P864" s="511"/>
      <c r="Q864" s="511"/>
    </row>
    <row r="865" spans="1:17" ht="30" x14ac:dyDescent="0.25">
      <c r="A865" s="897"/>
      <c r="B865" s="1619"/>
      <c r="C865" s="1619" t="s">
        <v>1456</v>
      </c>
      <c r="D865" s="1739"/>
      <c r="E865" s="1611" t="s">
        <v>1457</v>
      </c>
      <c r="F865" s="1823">
        <v>20779.400000000001</v>
      </c>
      <c r="G865" s="1599">
        <v>21075.7</v>
      </c>
      <c r="H865" s="1599">
        <f>14235.8+2221.2+9308+279.2+200</f>
        <v>26244.2</v>
      </c>
      <c r="I865" s="1599">
        <f>29453-180.8</f>
        <v>29272.2</v>
      </c>
      <c r="J865" s="1599">
        <f>29453-180.8</f>
        <v>29272.2</v>
      </c>
      <c r="K865" s="628" t="s">
        <v>1458</v>
      </c>
      <c r="L865" s="511"/>
      <c r="M865" s="511"/>
      <c r="N865" s="511"/>
      <c r="O865" s="540"/>
      <c r="P865" s="511"/>
      <c r="Q865" s="511"/>
    </row>
    <row r="866" spans="1:17" x14ac:dyDescent="0.25">
      <c r="A866" s="897"/>
      <c r="B866" s="1745"/>
      <c r="C866" s="1745"/>
      <c r="D866" s="1821"/>
      <c r="E866" s="1612"/>
      <c r="F866" s="1824"/>
      <c r="G866" s="1610"/>
      <c r="H866" s="1610"/>
      <c r="I866" s="1610"/>
      <c r="J866" s="1610"/>
      <c r="K866" s="628" t="s">
        <v>1459</v>
      </c>
      <c r="L866" s="511" t="s">
        <v>1460</v>
      </c>
      <c r="M866" s="511">
        <v>203.8</v>
      </c>
      <c r="N866" s="416">
        <v>212.2</v>
      </c>
      <c r="O866" s="416">
        <v>222.6</v>
      </c>
      <c r="P866" s="416">
        <v>235.5</v>
      </c>
      <c r="Q866" s="416">
        <v>250.9</v>
      </c>
    </row>
    <row r="867" spans="1:17" ht="30" x14ac:dyDescent="0.25">
      <c r="A867" s="897"/>
      <c r="B867" s="1745"/>
      <c r="C867" s="1745"/>
      <c r="D867" s="1821"/>
      <c r="E867" s="1612"/>
      <c r="F867" s="1824"/>
      <c r="G867" s="1610"/>
      <c r="H867" s="1610"/>
      <c r="I867" s="1610"/>
      <c r="J867" s="1610"/>
      <c r="K867" s="628" t="s">
        <v>1461</v>
      </c>
      <c r="L867" s="511" t="s">
        <v>14</v>
      </c>
      <c r="M867" s="511">
        <v>102.7</v>
      </c>
      <c r="N867" s="416">
        <v>103</v>
      </c>
      <c r="O867" s="416">
        <v>103.1</v>
      </c>
      <c r="P867" s="416">
        <v>103.3</v>
      </c>
      <c r="Q867" s="416">
        <v>103.5</v>
      </c>
    </row>
    <row r="868" spans="1:17" x14ac:dyDescent="0.25">
      <c r="A868" s="897"/>
      <c r="B868" s="1745"/>
      <c r="C868" s="1745"/>
      <c r="D868" s="1821"/>
      <c r="E868" s="1612"/>
      <c r="F868" s="1824"/>
      <c r="G868" s="1610"/>
      <c r="H868" s="1610"/>
      <c r="I868" s="1610"/>
      <c r="J868" s="1610"/>
      <c r="K868" s="628" t="s">
        <v>1462</v>
      </c>
      <c r="L868" s="511" t="s">
        <v>1460</v>
      </c>
      <c r="M868" s="540">
        <v>189.9</v>
      </c>
      <c r="N868" s="540">
        <v>205</v>
      </c>
      <c r="O868" s="540">
        <v>213.4</v>
      </c>
      <c r="P868" s="540">
        <v>222.6</v>
      </c>
      <c r="Q868" s="540">
        <v>247.1</v>
      </c>
    </row>
    <row r="869" spans="1:17" ht="30" x14ac:dyDescent="0.25">
      <c r="A869" s="897"/>
      <c r="B869" s="1745"/>
      <c r="C869" s="1745"/>
      <c r="D869" s="1821"/>
      <c r="E869" s="1612"/>
      <c r="F869" s="1824"/>
      <c r="G869" s="1610"/>
      <c r="H869" s="1610"/>
      <c r="I869" s="1610"/>
      <c r="J869" s="1610"/>
      <c r="K869" s="628" t="s">
        <v>1461</v>
      </c>
      <c r="L869" s="511" t="s">
        <v>14</v>
      </c>
      <c r="M869" s="540">
        <v>105</v>
      </c>
      <c r="N869" s="540">
        <v>105.5</v>
      </c>
      <c r="O869" s="540">
        <v>101.9</v>
      </c>
      <c r="P869" s="540">
        <v>101.4</v>
      </c>
      <c r="Q869" s="540">
        <v>109.7</v>
      </c>
    </row>
    <row r="870" spans="1:17" x14ac:dyDescent="0.25">
      <c r="A870" s="897"/>
      <c r="B870" s="1745"/>
      <c r="C870" s="1745"/>
      <c r="D870" s="1821"/>
      <c r="E870" s="1612"/>
      <c r="F870" s="1824"/>
      <c r="G870" s="1610"/>
      <c r="H870" s="1610"/>
      <c r="I870" s="1610"/>
      <c r="J870" s="1610"/>
      <c r="K870" s="902" t="s">
        <v>1463</v>
      </c>
      <c r="L870" s="511" t="s">
        <v>1460</v>
      </c>
      <c r="M870" s="511">
        <v>100.4</v>
      </c>
      <c r="N870" s="511">
        <v>105</v>
      </c>
      <c r="O870" s="511">
        <v>111.3</v>
      </c>
      <c r="P870" s="511">
        <v>119.2</v>
      </c>
      <c r="Q870" s="511">
        <v>128.69999999999999</v>
      </c>
    </row>
    <row r="871" spans="1:17" ht="30" x14ac:dyDescent="0.25">
      <c r="A871" s="897"/>
      <c r="B871" s="1745"/>
      <c r="C871" s="1745"/>
      <c r="D871" s="1821"/>
      <c r="E871" s="1612"/>
      <c r="F871" s="1824"/>
      <c r="G871" s="1610"/>
      <c r="H871" s="1610"/>
      <c r="I871" s="1610"/>
      <c r="J871" s="1610"/>
      <c r="K871" s="628" t="s">
        <v>1461</v>
      </c>
      <c r="L871" s="511" t="s">
        <v>14</v>
      </c>
      <c r="M871" s="511">
        <v>103.4</v>
      </c>
      <c r="N871" s="511">
        <v>103.8</v>
      </c>
      <c r="O871" s="511">
        <v>104.1</v>
      </c>
      <c r="P871" s="511">
        <v>104.2</v>
      </c>
      <c r="Q871" s="511">
        <v>104.4</v>
      </c>
    </row>
    <row r="872" spans="1:17" x14ac:dyDescent="0.25">
      <c r="A872" s="897"/>
      <c r="B872" s="1745"/>
      <c r="C872" s="1745"/>
      <c r="D872" s="1821"/>
      <c r="E872" s="1612"/>
      <c r="F872" s="1824"/>
      <c r="G872" s="1610"/>
      <c r="H872" s="1610"/>
      <c r="I872" s="1610"/>
      <c r="J872" s="1610"/>
      <c r="K872" s="902" t="s">
        <v>1464</v>
      </c>
      <c r="L872" s="511" t="s">
        <v>1460</v>
      </c>
      <c r="M872" s="511">
        <v>98.3</v>
      </c>
      <c r="N872" s="511">
        <v>102</v>
      </c>
      <c r="O872" s="511">
        <v>106.1</v>
      </c>
      <c r="P872" s="511">
        <v>111.1</v>
      </c>
      <c r="Q872" s="511">
        <v>116.9</v>
      </c>
    </row>
    <row r="873" spans="1:17" ht="30" x14ac:dyDescent="0.25">
      <c r="A873" s="897"/>
      <c r="B873" s="1745"/>
      <c r="C873" s="1745"/>
      <c r="D873" s="1821"/>
      <c r="E873" s="1612"/>
      <c r="F873" s="1824"/>
      <c r="G873" s="1610"/>
      <c r="H873" s="1610"/>
      <c r="I873" s="1610"/>
      <c r="J873" s="1610"/>
      <c r="K873" s="628" t="s">
        <v>1461</v>
      </c>
      <c r="L873" s="511" t="s">
        <v>14</v>
      </c>
      <c r="M873" s="511">
        <v>102.2</v>
      </c>
      <c r="N873" s="511">
        <v>102.3</v>
      </c>
      <c r="O873" s="511">
        <v>102.4</v>
      </c>
      <c r="P873" s="511">
        <v>102.5</v>
      </c>
      <c r="Q873" s="511">
        <v>102.6</v>
      </c>
    </row>
    <row r="874" spans="1:17" ht="30" x14ac:dyDescent="0.25">
      <c r="A874" s="897"/>
      <c r="B874" s="1745"/>
      <c r="C874" s="1745"/>
      <c r="D874" s="1821"/>
      <c r="E874" s="1612"/>
      <c r="F874" s="1824"/>
      <c r="G874" s="1610"/>
      <c r="H874" s="1610"/>
      <c r="I874" s="1610"/>
      <c r="J874" s="1610"/>
      <c r="K874" s="628" t="s">
        <v>1465</v>
      </c>
      <c r="L874" s="511"/>
      <c r="M874" s="511"/>
      <c r="N874" s="511"/>
      <c r="O874" s="540"/>
      <c r="P874" s="511"/>
      <c r="Q874" s="511"/>
    </row>
    <row r="875" spans="1:17" ht="30" x14ac:dyDescent="0.25">
      <c r="A875" s="897"/>
      <c r="B875" s="1745"/>
      <c r="C875" s="1745"/>
      <c r="D875" s="1821"/>
      <c r="E875" s="1612"/>
      <c r="F875" s="1824"/>
      <c r="G875" s="1610"/>
      <c r="H875" s="1610"/>
      <c r="I875" s="1610"/>
      <c r="J875" s="1610"/>
      <c r="K875" s="628" t="s">
        <v>1466</v>
      </c>
      <c r="L875" s="511"/>
      <c r="M875" s="511"/>
      <c r="N875" s="511"/>
      <c r="O875" s="540"/>
      <c r="P875" s="511"/>
      <c r="Q875" s="511"/>
    </row>
    <row r="876" spans="1:17" ht="60" x14ac:dyDescent="0.25">
      <c r="A876" s="897"/>
      <c r="B876" s="1619"/>
      <c r="C876" s="1619" t="s">
        <v>1467</v>
      </c>
      <c r="D876" s="1739"/>
      <c r="E876" s="1611" t="s">
        <v>1468</v>
      </c>
      <c r="F876" s="1823">
        <v>14530.5</v>
      </c>
      <c r="G876" s="1599">
        <v>14552.3</v>
      </c>
      <c r="H876" s="1599">
        <f>11655.9+1701.7+3724.5+172.3</f>
        <v>17254.399999999998</v>
      </c>
      <c r="I876" s="1599">
        <v>15057.4</v>
      </c>
      <c r="J876" s="1599">
        <v>15057.4</v>
      </c>
      <c r="K876" s="589" t="s">
        <v>1469</v>
      </c>
      <c r="L876" s="583" t="s">
        <v>14</v>
      </c>
      <c r="M876" s="583">
        <v>1</v>
      </c>
      <c r="N876" s="583">
        <v>1.1000000000000001</v>
      </c>
      <c r="O876" s="660">
        <v>1.1000000000000001</v>
      </c>
      <c r="P876" s="583">
        <v>1.1000000000000001</v>
      </c>
      <c r="Q876" s="583">
        <v>1.1000000000000001</v>
      </c>
    </row>
    <row r="877" spans="1:17" ht="75" x14ac:dyDescent="0.25">
      <c r="A877" s="897"/>
      <c r="B877" s="1745"/>
      <c r="C877" s="1745"/>
      <c r="D877" s="1821"/>
      <c r="E877" s="1612"/>
      <c r="F877" s="1824"/>
      <c r="G877" s="1610"/>
      <c r="H877" s="1610"/>
      <c r="I877" s="1610"/>
      <c r="J877" s="1610"/>
      <c r="K877" s="545" t="s">
        <v>1470</v>
      </c>
      <c r="L877" s="511" t="s">
        <v>14</v>
      </c>
      <c r="M877" s="511">
        <v>91.7</v>
      </c>
      <c r="N877" s="511">
        <v>100</v>
      </c>
      <c r="O877" s="511">
        <v>100</v>
      </c>
      <c r="P877" s="511">
        <v>100</v>
      </c>
      <c r="Q877" s="511">
        <v>100</v>
      </c>
    </row>
    <row r="878" spans="1:17" ht="45" x14ac:dyDescent="0.25">
      <c r="A878" s="897"/>
      <c r="B878" s="1745"/>
      <c r="C878" s="1745"/>
      <c r="D878" s="1821"/>
      <c r="E878" s="1612"/>
      <c r="F878" s="1824"/>
      <c r="G878" s="1610"/>
      <c r="H878" s="1610"/>
      <c r="I878" s="1610"/>
      <c r="J878" s="1610"/>
      <c r="K878" s="628" t="s">
        <v>1471</v>
      </c>
      <c r="L878" s="511" t="s">
        <v>968</v>
      </c>
      <c r="M878" s="511">
        <v>3</v>
      </c>
      <c r="N878" s="511">
        <v>5</v>
      </c>
      <c r="O878" s="511">
        <v>5</v>
      </c>
      <c r="P878" s="511">
        <v>5</v>
      </c>
      <c r="Q878" s="511">
        <v>5</v>
      </c>
    </row>
    <row r="879" spans="1:17" ht="45" x14ac:dyDescent="0.25">
      <c r="A879" s="897"/>
      <c r="B879" s="1745"/>
      <c r="C879" s="1745"/>
      <c r="D879" s="1821"/>
      <c r="E879" s="1612"/>
      <c r="F879" s="1824"/>
      <c r="G879" s="1610"/>
      <c r="H879" s="1610"/>
      <c r="I879" s="1610"/>
      <c r="J879" s="1610"/>
      <c r="K879" s="546" t="s">
        <v>1472</v>
      </c>
      <c r="L879" s="511" t="s">
        <v>974</v>
      </c>
      <c r="M879" s="511"/>
      <c r="N879" s="511"/>
      <c r="O879" s="511"/>
      <c r="P879" s="511"/>
      <c r="Q879" s="511"/>
    </row>
    <row r="880" spans="1:17" ht="75" x14ac:dyDescent="0.25">
      <c r="A880" s="897"/>
      <c r="B880" s="1745"/>
      <c r="C880" s="1745"/>
      <c r="D880" s="1821"/>
      <c r="E880" s="1612"/>
      <c r="F880" s="1824"/>
      <c r="G880" s="1610"/>
      <c r="H880" s="1610"/>
      <c r="I880" s="1610"/>
      <c r="J880" s="1610"/>
      <c r="K880" s="546" t="s">
        <v>1473</v>
      </c>
      <c r="L880" s="511" t="s">
        <v>1474</v>
      </c>
      <c r="M880" s="511">
        <v>100</v>
      </c>
      <c r="N880" s="511">
        <v>100</v>
      </c>
      <c r="O880" s="511">
        <v>100</v>
      </c>
      <c r="P880" s="511">
        <v>100</v>
      </c>
      <c r="Q880" s="511">
        <v>100</v>
      </c>
    </row>
    <row r="881" spans="1:17" ht="30" x14ac:dyDescent="0.25">
      <c r="A881" s="897"/>
      <c r="B881" s="1745"/>
      <c r="C881" s="1745"/>
      <c r="D881" s="1821"/>
      <c r="E881" s="1612"/>
      <c r="F881" s="1824"/>
      <c r="G881" s="1610"/>
      <c r="H881" s="1610"/>
      <c r="I881" s="1610"/>
      <c r="J881" s="1610"/>
      <c r="K881" s="546" t="s">
        <v>1475</v>
      </c>
      <c r="L881" s="511" t="s">
        <v>1474</v>
      </c>
      <c r="M881" s="511">
        <v>100</v>
      </c>
      <c r="N881" s="511">
        <v>100</v>
      </c>
      <c r="O881" s="511">
        <v>100</v>
      </c>
      <c r="P881" s="511">
        <v>100</v>
      </c>
      <c r="Q881" s="511">
        <v>100</v>
      </c>
    </row>
    <row r="882" spans="1:17" ht="30" x14ac:dyDescent="0.25">
      <c r="A882" s="897"/>
      <c r="B882" s="1745"/>
      <c r="C882" s="1745"/>
      <c r="D882" s="1821"/>
      <c r="E882" s="1612"/>
      <c r="F882" s="1824"/>
      <c r="G882" s="1610"/>
      <c r="H882" s="1610"/>
      <c r="I882" s="1610"/>
      <c r="J882" s="1610"/>
      <c r="K882" s="628" t="s">
        <v>1476</v>
      </c>
      <c r="L882" s="511"/>
      <c r="M882" s="511"/>
      <c r="N882" s="511"/>
      <c r="O882" s="511"/>
      <c r="P882" s="511"/>
      <c r="Q882" s="511"/>
    </row>
    <row r="883" spans="1:17" x14ac:dyDescent="0.25">
      <c r="A883" s="897"/>
      <c r="B883" s="1745"/>
      <c r="C883" s="1745"/>
      <c r="D883" s="1821"/>
      <c r="E883" s="1612"/>
      <c r="F883" s="1824"/>
      <c r="G883" s="1610"/>
      <c r="H883" s="1610"/>
      <c r="I883" s="1610"/>
      <c r="J883" s="1610"/>
      <c r="K883" s="628"/>
      <c r="L883" s="511"/>
      <c r="M883" s="511"/>
      <c r="N883" s="511"/>
      <c r="O883" s="511"/>
      <c r="P883" s="511"/>
      <c r="Q883" s="511"/>
    </row>
    <row r="884" spans="1:17" x14ac:dyDescent="0.25">
      <c r="A884" s="897"/>
      <c r="B884" s="1745"/>
      <c r="C884" s="1745"/>
      <c r="D884" s="1821"/>
      <c r="E884" s="1612"/>
      <c r="F884" s="1824"/>
      <c r="G884" s="1610"/>
      <c r="H884" s="1610"/>
      <c r="I884" s="1610"/>
      <c r="J884" s="1610"/>
      <c r="K884" s="628"/>
      <c r="L884" s="511"/>
      <c r="M884" s="511"/>
      <c r="N884" s="511"/>
      <c r="O884" s="511"/>
      <c r="P884" s="511"/>
      <c r="Q884" s="511"/>
    </row>
    <row r="885" spans="1:17" x14ac:dyDescent="0.25">
      <c r="A885" s="897"/>
      <c r="B885" s="1620"/>
      <c r="C885" s="1620"/>
      <c r="D885" s="1740"/>
      <c r="E885" s="1613"/>
      <c r="F885" s="1825"/>
      <c r="G885" s="1600"/>
      <c r="H885" s="1600"/>
      <c r="I885" s="1600"/>
      <c r="J885" s="1600"/>
      <c r="K885" s="628"/>
      <c r="L885" s="511"/>
      <c r="M885" s="511"/>
      <c r="N885" s="511"/>
      <c r="O885" s="511"/>
      <c r="P885" s="511"/>
      <c r="Q885" s="511"/>
    </row>
    <row r="886" spans="1:17" ht="60" x14ac:dyDescent="0.25">
      <c r="A886" s="897"/>
      <c r="B886" s="1619"/>
      <c r="C886" s="1619" t="s">
        <v>1477</v>
      </c>
      <c r="D886" s="1739"/>
      <c r="E886" s="1611" t="s">
        <v>1478</v>
      </c>
      <c r="F886" s="1823">
        <v>14540.3</v>
      </c>
      <c r="G886" s="1599">
        <v>14552.3</v>
      </c>
      <c r="H886" s="1599">
        <f>8902.8+1226.7+2320.3+148.5</f>
        <v>12598.3</v>
      </c>
      <c r="I886" s="1599">
        <v>12784.8</v>
      </c>
      <c r="J886" s="1599">
        <v>12784.8</v>
      </c>
      <c r="K886" s="589" t="s">
        <v>1479</v>
      </c>
      <c r="L886" s="583" t="s">
        <v>14</v>
      </c>
      <c r="M886" s="583">
        <v>0.8</v>
      </c>
      <c r="N886" s="583">
        <v>0.8</v>
      </c>
      <c r="O886" s="583">
        <v>0.9</v>
      </c>
      <c r="P886" s="583">
        <v>0.9</v>
      </c>
      <c r="Q886" s="583">
        <v>0.9</v>
      </c>
    </row>
    <row r="887" spans="1:17" ht="30" x14ac:dyDescent="0.25">
      <c r="A887" s="897"/>
      <c r="B887" s="1745"/>
      <c r="C887" s="1745"/>
      <c r="D887" s="1821"/>
      <c r="E887" s="1612"/>
      <c r="F887" s="1824"/>
      <c r="G887" s="1610"/>
      <c r="H887" s="1610"/>
      <c r="I887" s="1610"/>
      <c r="J887" s="1610"/>
      <c r="K887" s="589" t="s">
        <v>1430</v>
      </c>
      <c r="L887" s="511" t="s">
        <v>14</v>
      </c>
      <c r="M887" s="511">
        <v>33.299999999999997</v>
      </c>
      <c r="N887" s="511" t="s">
        <v>1050</v>
      </c>
      <c r="O887" s="511" t="s">
        <v>1050</v>
      </c>
      <c r="P887" s="511" t="s">
        <v>1050</v>
      </c>
      <c r="Q887" s="511" t="s">
        <v>1050</v>
      </c>
    </row>
    <row r="888" spans="1:17" ht="30" x14ac:dyDescent="0.25">
      <c r="A888" s="897"/>
      <c r="B888" s="1745"/>
      <c r="C888" s="1745"/>
      <c r="D888" s="1821"/>
      <c r="E888" s="1612"/>
      <c r="F888" s="1824"/>
      <c r="G888" s="1610"/>
      <c r="H888" s="1610"/>
      <c r="I888" s="1610"/>
      <c r="J888" s="1610"/>
      <c r="K888" s="589" t="s">
        <v>1431</v>
      </c>
      <c r="L888" s="511" t="s">
        <v>968</v>
      </c>
      <c r="M888" s="412" t="s">
        <v>1480</v>
      </c>
      <c r="N888" s="511" t="s">
        <v>1050</v>
      </c>
      <c r="O888" s="511" t="s">
        <v>1050</v>
      </c>
      <c r="P888" s="511" t="s">
        <v>1050</v>
      </c>
      <c r="Q888" s="511" t="s">
        <v>1050</v>
      </c>
    </row>
    <row r="889" spans="1:17" ht="45" x14ac:dyDescent="0.25">
      <c r="A889" s="897"/>
      <c r="B889" s="1745"/>
      <c r="C889" s="1745"/>
      <c r="D889" s="1821"/>
      <c r="E889" s="1612"/>
      <c r="F889" s="1824"/>
      <c r="G889" s="1610"/>
      <c r="H889" s="1610"/>
      <c r="I889" s="1610"/>
      <c r="J889" s="1610"/>
      <c r="K889" s="546" t="s">
        <v>1481</v>
      </c>
      <c r="L889" s="487" t="s">
        <v>974</v>
      </c>
      <c r="M889" s="416"/>
      <c r="N889" s="416"/>
      <c r="O889" s="416"/>
      <c r="P889" s="416"/>
      <c r="Q889" s="416"/>
    </row>
    <row r="890" spans="1:17" ht="30" x14ac:dyDescent="0.25">
      <c r="A890" s="897"/>
      <c r="B890" s="1745"/>
      <c r="C890" s="1745"/>
      <c r="D890" s="1821"/>
      <c r="E890" s="1612"/>
      <c r="F890" s="1824"/>
      <c r="G890" s="1610"/>
      <c r="H890" s="1610"/>
      <c r="I890" s="1610"/>
      <c r="J890" s="1610"/>
      <c r="K890" s="589" t="s">
        <v>1482</v>
      </c>
      <c r="L890" s="644" t="s">
        <v>968</v>
      </c>
      <c r="M890" s="644">
        <v>736</v>
      </c>
      <c r="N890" s="511" t="s">
        <v>1050</v>
      </c>
      <c r="O890" s="511" t="s">
        <v>1050</v>
      </c>
      <c r="P890" s="511" t="s">
        <v>1050</v>
      </c>
      <c r="Q890" s="511" t="s">
        <v>1050</v>
      </c>
    </row>
    <row r="891" spans="1:17" ht="45" x14ac:dyDescent="0.25">
      <c r="A891" s="897"/>
      <c r="B891" s="1620"/>
      <c r="C891" s="1620"/>
      <c r="D891" s="1740"/>
      <c r="E891" s="1613"/>
      <c r="F891" s="1825"/>
      <c r="G891" s="1600"/>
      <c r="H891" s="1600"/>
      <c r="I891" s="1600"/>
      <c r="J891" s="1600"/>
      <c r="K891" s="589" t="s">
        <v>1433</v>
      </c>
      <c r="L891" s="644" t="s">
        <v>14</v>
      </c>
      <c r="M891" s="511">
        <v>16</v>
      </c>
      <c r="N891" s="511">
        <v>16</v>
      </c>
      <c r="O891" s="511">
        <v>16</v>
      </c>
      <c r="P891" s="511">
        <v>16</v>
      </c>
      <c r="Q891" s="511">
        <v>16</v>
      </c>
    </row>
    <row r="892" spans="1:17" ht="60" x14ac:dyDescent="0.25">
      <c r="A892" s="897"/>
      <c r="B892" s="413"/>
      <c r="C892" s="413" t="s">
        <v>1483</v>
      </c>
      <c r="D892" s="416"/>
      <c r="E892" s="589" t="s">
        <v>1484</v>
      </c>
      <c r="F892" s="903">
        <v>68627.399999999994</v>
      </c>
      <c r="G892" s="557">
        <v>82604.100000000006</v>
      </c>
      <c r="H892" s="557">
        <v>82604.100000000006</v>
      </c>
      <c r="I892" s="557">
        <v>83511.399999999994</v>
      </c>
      <c r="J892" s="557">
        <v>83511.399999999994</v>
      </c>
      <c r="K892" s="589" t="s">
        <v>1485</v>
      </c>
      <c r="L892" s="487" t="s">
        <v>14</v>
      </c>
      <c r="M892" s="511">
        <v>5.9</v>
      </c>
      <c r="N892" s="511">
        <v>6.7</v>
      </c>
      <c r="O892" s="511">
        <v>6.9</v>
      </c>
      <c r="P892" s="511">
        <v>7.1</v>
      </c>
      <c r="Q892" s="511">
        <v>7.2</v>
      </c>
    </row>
    <row r="893" spans="1:17" x14ac:dyDescent="0.25">
      <c r="A893" s="897"/>
      <c r="B893" s="898" t="s">
        <v>91</v>
      </c>
      <c r="C893" s="618"/>
      <c r="D893" s="618"/>
      <c r="E893" s="904" t="s">
        <v>1486</v>
      </c>
      <c r="F893" s="901">
        <f>F894+F899+F901+F907+F909+F919+F922+F927+F928+F934+F936+F942+F944+F948+F954+F959+F962+F965+F966</f>
        <v>807308.2</v>
      </c>
      <c r="G893" s="901">
        <f t="shared" ref="G893:J893" si="96">G894+G899+G901+G907+G909+G919+G922+G927+G928+G934+G936+G942+G944+G948+G954+G959+G962+G965+G966</f>
        <v>971851.2</v>
      </c>
      <c r="H893" s="901">
        <f>H894+H899+H901+H907+H909+H919+H922+H927+H928+H934+H936+H942+H944+H948+H954+H959+H962+H965+H966+H969+H970</f>
        <v>839550.99999999988</v>
      </c>
      <c r="I893" s="901">
        <f t="shared" si="96"/>
        <v>606004.14999999991</v>
      </c>
      <c r="J893" s="901">
        <f t="shared" si="96"/>
        <v>517774.86000000004</v>
      </c>
      <c r="K893" s="511"/>
      <c r="L893" s="511"/>
      <c r="M893" s="511"/>
      <c r="N893" s="416"/>
      <c r="O893" s="416"/>
      <c r="P893" s="416"/>
      <c r="Q893" s="416"/>
    </row>
    <row r="894" spans="1:17" ht="30" x14ac:dyDescent="0.25">
      <c r="A894" s="897"/>
      <c r="B894" s="1619"/>
      <c r="C894" s="1619" t="s">
        <v>2</v>
      </c>
      <c r="D894" s="1619"/>
      <c r="E894" s="1611" t="s">
        <v>1487</v>
      </c>
      <c r="F894" s="1649">
        <v>117369.8</v>
      </c>
      <c r="G894" s="1649">
        <f>7322.9+42427.6+1763.8+59012</f>
        <v>110526.3</v>
      </c>
      <c r="H894" s="1649">
        <f>41037.8+6073.7+10110.3+44381+804.8+1695.3+161.5+2596.3+4345.2+749.5+2383.6+1062.4+472.4+3579.7</f>
        <v>119453.5</v>
      </c>
      <c r="I894" s="1649">
        <f>65738.3+41122.4+12732.6-51335.5</f>
        <v>68257.800000000017</v>
      </c>
      <c r="J894" s="1649">
        <f>65738.3+41122.4+12732.6-53975.9</f>
        <v>65617.400000000023</v>
      </c>
      <c r="K894" s="628" t="s">
        <v>1488</v>
      </c>
      <c r="L894" s="511" t="s">
        <v>1489</v>
      </c>
      <c r="M894" s="267">
        <v>174.9</v>
      </c>
      <c r="N894" s="267">
        <v>170</v>
      </c>
      <c r="O894" s="267">
        <v>160</v>
      </c>
      <c r="P894" s="267">
        <v>160</v>
      </c>
      <c r="Q894" s="267">
        <v>160</v>
      </c>
    </row>
    <row r="895" spans="1:17" ht="45" x14ac:dyDescent="0.25">
      <c r="A895" s="897"/>
      <c r="B895" s="1745"/>
      <c r="C895" s="1745"/>
      <c r="D895" s="1745"/>
      <c r="E895" s="1612"/>
      <c r="F895" s="2033"/>
      <c r="G895" s="2033"/>
      <c r="H895" s="2033"/>
      <c r="I895" s="2033"/>
      <c r="J895" s="2033"/>
      <c r="K895" s="628" t="s">
        <v>1490</v>
      </c>
      <c r="L895" s="511" t="s">
        <v>1489</v>
      </c>
      <c r="M895" s="267" t="s">
        <v>1491</v>
      </c>
      <c r="N895" s="267" t="s">
        <v>1492</v>
      </c>
      <c r="O895" s="267" t="s">
        <v>1493</v>
      </c>
      <c r="P895" s="267" t="s">
        <v>1494</v>
      </c>
      <c r="Q895" s="267" t="s">
        <v>1494</v>
      </c>
    </row>
    <row r="896" spans="1:17" ht="30" x14ac:dyDescent="0.25">
      <c r="A896" s="897"/>
      <c r="B896" s="1745"/>
      <c r="C896" s="1745"/>
      <c r="D896" s="1745"/>
      <c r="E896" s="1612"/>
      <c r="F896" s="2033"/>
      <c r="G896" s="2033"/>
      <c r="H896" s="2033"/>
      <c r="I896" s="2033"/>
      <c r="J896" s="2033"/>
      <c r="K896" s="628" t="s">
        <v>1495</v>
      </c>
      <c r="L896" s="511" t="s">
        <v>1489</v>
      </c>
      <c r="M896" s="267">
        <v>146</v>
      </c>
      <c r="N896" s="267">
        <v>125</v>
      </c>
      <c r="O896" s="267">
        <v>120</v>
      </c>
      <c r="P896" s="267">
        <v>120</v>
      </c>
      <c r="Q896" s="267">
        <v>120</v>
      </c>
    </row>
    <row r="897" spans="1:17" ht="30" x14ac:dyDescent="0.25">
      <c r="A897" s="897"/>
      <c r="B897" s="1745"/>
      <c r="C897" s="1745"/>
      <c r="D897" s="1745"/>
      <c r="E897" s="1612"/>
      <c r="F897" s="2033"/>
      <c r="G897" s="2033"/>
      <c r="H897" s="2033"/>
      <c r="I897" s="2033"/>
      <c r="J897" s="2033"/>
      <c r="K897" s="628" t="s">
        <v>1496</v>
      </c>
      <c r="L897" s="511" t="s">
        <v>1489</v>
      </c>
      <c r="M897" s="267">
        <v>1.1000000000000001</v>
      </c>
      <c r="N897" s="267">
        <v>2</v>
      </c>
      <c r="O897" s="267">
        <v>2</v>
      </c>
      <c r="P897" s="267">
        <v>2</v>
      </c>
      <c r="Q897" s="267">
        <v>2</v>
      </c>
    </row>
    <row r="898" spans="1:17" ht="30" x14ac:dyDescent="0.25">
      <c r="A898" s="897"/>
      <c r="B898" s="1620"/>
      <c r="C898" s="1620"/>
      <c r="D898" s="1620"/>
      <c r="E898" s="1613"/>
      <c r="F898" s="1650"/>
      <c r="G898" s="1650"/>
      <c r="H898" s="1650"/>
      <c r="I898" s="1650"/>
      <c r="J898" s="1650"/>
      <c r="K898" s="628" t="s">
        <v>1497</v>
      </c>
      <c r="L898" s="511" t="s">
        <v>1498</v>
      </c>
      <c r="M898" s="267">
        <v>45.5</v>
      </c>
      <c r="N898" s="267">
        <v>45</v>
      </c>
      <c r="O898" s="267">
        <v>45</v>
      </c>
      <c r="P898" s="267">
        <v>45</v>
      </c>
      <c r="Q898" s="267">
        <v>34.700000000000003</v>
      </c>
    </row>
    <row r="899" spans="1:17" x14ac:dyDescent="0.25">
      <c r="A899" s="897"/>
      <c r="B899" s="1619"/>
      <c r="C899" s="1619" t="s">
        <v>3</v>
      </c>
      <c r="D899" s="1617"/>
      <c r="E899" s="2093" t="s">
        <v>1499</v>
      </c>
      <c r="F899" s="2077" t="s">
        <v>1500</v>
      </c>
      <c r="G899" s="2077">
        <f>3858.5+6156+1763.7+5341.5</f>
        <v>17119.7</v>
      </c>
      <c r="H899" s="2077">
        <f>12375.7+1831.6+1294.3+1302.3+221.5+320.7+30.5+1694.7+950.2+163.9+555.7+212.5+121.7+751.7</f>
        <v>21827.000000000007</v>
      </c>
      <c r="I899" s="2077">
        <f>8574.8+10496.5+2615.9</f>
        <v>21687.200000000001</v>
      </c>
      <c r="J899" s="2077">
        <f>8574.8+10496.5+2615.9</f>
        <v>21687.200000000001</v>
      </c>
      <c r="K899" s="628" t="s">
        <v>1501</v>
      </c>
      <c r="L899" s="412" t="s">
        <v>974</v>
      </c>
      <c r="M899" s="412" t="s">
        <v>1502</v>
      </c>
      <c r="N899" s="641" t="s">
        <v>1503</v>
      </c>
      <c r="O899" s="641" t="s">
        <v>1503</v>
      </c>
      <c r="P899" s="641" t="s">
        <v>1503</v>
      </c>
      <c r="Q899" s="641" t="s">
        <v>1503</v>
      </c>
    </row>
    <row r="900" spans="1:17" ht="30" x14ac:dyDescent="0.25">
      <c r="A900" s="897"/>
      <c r="B900" s="1620"/>
      <c r="C900" s="1620"/>
      <c r="D900" s="1618"/>
      <c r="E900" s="2095"/>
      <c r="F900" s="2078"/>
      <c r="G900" s="2078"/>
      <c r="H900" s="2078"/>
      <c r="I900" s="2078"/>
      <c r="J900" s="2078"/>
      <c r="K900" s="628" t="s">
        <v>1504</v>
      </c>
      <c r="L900" s="511" t="s">
        <v>1489</v>
      </c>
      <c r="M900" s="644">
        <v>182.4</v>
      </c>
      <c r="N900" s="644">
        <v>171.7</v>
      </c>
      <c r="O900" s="644">
        <v>180.3</v>
      </c>
      <c r="P900" s="644">
        <v>189.3</v>
      </c>
      <c r="Q900" s="644">
        <v>198.2</v>
      </c>
    </row>
    <row r="901" spans="1:17" ht="45" x14ac:dyDescent="0.25">
      <c r="A901" s="897"/>
      <c r="B901" s="1903"/>
      <c r="C901" s="1903" t="s">
        <v>4</v>
      </c>
      <c r="D901" s="1903"/>
      <c r="E901" s="2093" t="s">
        <v>1505</v>
      </c>
      <c r="F901" s="1649" t="s">
        <v>1506</v>
      </c>
      <c r="G901" s="1649" t="s">
        <v>1507</v>
      </c>
      <c r="H901" s="1649">
        <f>18492.3+1300</f>
        <v>19792.3</v>
      </c>
      <c r="I901" s="1649" t="s">
        <v>1507</v>
      </c>
      <c r="J901" s="1649" t="s">
        <v>1507</v>
      </c>
      <c r="K901" s="628" t="s">
        <v>1508</v>
      </c>
      <c r="L901" s="511" t="s">
        <v>1489</v>
      </c>
      <c r="M901" s="511">
        <v>138.30000000000001</v>
      </c>
      <c r="N901" s="511">
        <v>140</v>
      </c>
      <c r="O901" s="511">
        <v>140</v>
      </c>
      <c r="P901" s="511">
        <v>142</v>
      </c>
      <c r="Q901" s="511">
        <v>145</v>
      </c>
    </row>
    <row r="902" spans="1:17" ht="30" x14ac:dyDescent="0.25">
      <c r="A902" s="897"/>
      <c r="B902" s="1903"/>
      <c r="C902" s="1903"/>
      <c r="D902" s="1903"/>
      <c r="E902" s="2094"/>
      <c r="F902" s="2033"/>
      <c r="G902" s="2079"/>
      <c r="H902" s="2033"/>
      <c r="I902" s="2033"/>
      <c r="J902" s="2033"/>
      <c r="K902" s="628" t="s">
        <v>1509</v>
      </c>
      <c r="L902" s="267"/>
      <c r="M902" s="267"/>
      <c r="N902" s="267"/>
      <c r="O902" s="511"/>
      <c r="P902" s="511"/>
      <c r="Q902" s="511"/>
    </row>
    <row r="903" spans="1:17" x14ac:dyDescent="0.25">
      <c r="A903" s="897"/>
      <c r="B903" s="1903"/>
      <c r="C903" s="1903"/>
      <c r="D903" s="1903"/>
      <c r="E903" s="2094"/>
      <c r="F903" s="2033"/>
      <c r="G903" s="2079"/>
      <c r="H903" s="2033"/>
      <c r="I903" s="2033"/>
      <c r="J903" s="2033"/>
      <c r="K903" s="628" t="s">
        <v>1510</v>
      </c>
      <c r="L903" s="511" t="s">
        <v>1511</v>
      </c>
      <c r="M903" s="511">
        <v>42.4</v>
      </c>
      <c r="N903" s="511">
        <v>43</v>
      </c>
      <c r="O903" s="267">
        <v>44</v>
      </c>
      <c r="P903" s="511">
        <v>45</v>
      </c>
      <c r="Q903" s="267">
        <v>45</v>
      </c>
    </row>
    <row r="904" spans="1:17" x14ac:dyDescent="0.25">
      <c r="A904" s="897"/>
      <c r="B904" s="1903"/>
      <c r="C904" s="1903"/>
      <c r="D904" s="1903"/>
      <c r="E904" s="2094"/>
      <c r="F904" s="2033"/>
      <c r="G904" s="2079"/>
      <c r="H904" s="2033"/>
      <c r="I904" s="2033"/>
      <c r="J904" s="2033"/>
      <c r="K904" s="628" t="s">
        <v>1512</v>
      </c>
      <c r="L904" s="511" t="s">
        <v>1513</v>
      </c>
      <c r="M904" s="487">
        <v>8700</v>
      </c>
      <c r="N904" s="487">
        <v>9000</v>
      </c>
      <c r="O904" s="905">
        <v>9200</v>
      </c>
      <c r="P904" s="905">
        <v>9700</v>
      </c>
      <c r="Q904" s="905">
        <v>9900</v>
      </c>
    </row>
    <row r="905" spans="1:17" x14ac:dyDescent="0.25">
      <c r="A905" s="897"/>
      <c r="B905" s="1903"/>
      <c r="C905" s="1903"/>
      <c r="D905" s="1903"/>
      <c r="E905" s="2094"/>
      <c r="F905" s="2033"/>
      <c r="G905" s="2079"/>
      <c r="H905" s="2033"/>
      <c r="I905" s="2033"/>
      <c r="J905" s="2033"/>
      <c r="K905" s="628" t="s">
        <v>1514</v>
      </c>
      <c r="L905" s="511" t="s">
        <v>1515</v>
      </c>
      <c r="M905" s="487">
        <v>195000</v>
      </c>
      <c r="N905" s="905">
        <v>200000</v>
      </c>
      <c r="O905" s="905">
        <v>202000</v>
      </c>
      <c r="P905" s="905">
        <v>205000</v>
      </c>
      <c r="Q905" s="905">
        <v>2010000</v>
      </c>
    </row>
    <row r="906" spans="1:17" x14ac:dyDescent="0.25">
      <c r="A906" s="897"/>
      <c r="B906" s="1903"/>
      <c r="C906" s="1903"/>
      <c r="D906" s="1903"/>
      <c r="E906" s="2095"/>
      <c r="F906" s="1650"/>
      <c r="G906" s="2078"/>
      <c r="H906" s="1650"/>
      <c r="I906" s="1650"/>
      <c r="J906" s="1650"/>
      <c r="K906" s="628" t="s">
        <v>1516</v>
      </c>
      <c r="L906" s="511" t="s">
        <v>1517</v>
      </c>
      <c r="M906" s="487">
        <v>48885</v>
      </c>
      <c r="N906" s="905">
        <v>49000</v>
      </c>
      <c r="O906" s="905">
        <v>49000</v>
      </c>
      <c r="P906" s="905">
        <v>49000</v>
      </c>
      <c r="Q906" s="905">
        <v>50000</v>
      </c>
    </row>
    <row r="907" spans="1:17" ht="45" x14ac:dyDescent="0.25">
      <c r="A907" s="897"/>
      <c r="B907" s="1619"/>
      <c r="C907" s="1619" t="s">
        <v>5</v>
      </c>
      <c r="D907" s="1619"/>
      <c r="E907" s="1850" t="s">
        <v>1518</v>
      </c>
      <c r="F907" s="1649">
        <v>11365.7</v>
      </c>
      <c r="G907" s="1649">
        <v>10575.7</v>
      </c>
      <c r="H907" s="1649">
        <f>130+30+40+8077.7</f>
        <v>8277.7000000000007</v>
      </c>
      <c r="I907" s="1649">
        <v>10575.7</v>
      </c>
      <c r="J907" s="1649">
        <v>10575.7</v>
      </c>
      <c r="K907" s="628" t="s">
        <v>1519</v>
      </c>
      <c r="L907" s="511" t="s">
        <v>968</v>
      </c>
      <c r="M907" s="511">
        <v>338</v>
      </c>
      <c r="N907" s="511">
        <v>290</v>
      </c>
      <c r="O907" s="511">
        <v>300</v>
      </c>
      <c r="P907" s="511">
        <v>320</v>
      </c>
      <c r="Q907" s="511">
        <v>320</v>
      </c>
    </row>
    <row r="908" spans="1:17" ht="30" x14ac:dyDescent="0.25">
      <c r="A908" s="897"/>
      <c r="B908" s="1745"/>
      <c r="C908" s="1745"/>
      <c r="D908" s="1745"/>
      <c r="E908" s="1851"/>
      <c r="F908" s="2033"/>
      <c r="G908" s="2033"/>
      <c r="H908" s="2033"/>
      <c r="I908" s="2033"/>
      <c r="J908" s="2033"/>
      <c r="K908" s="628" t="s">
        <v>1520</v>
      </c>
      <c r="L908" s="511" t="s">
        <v>974</v>
      </c>
      <c r="M908" s="511">
        <v>71</v>
      </c>
      <c r="N908" s="511">
        <v>73</v>
      </c>
      <c r="O908" s="511">
        <v>75</v>
      </c>
      <c r="P908" s="511">
        <v>78</v>
      </c>
      <c r="Q908" s="511">
        <v>78</v>
      </c>
    </row>
    <row r="909" spans="1:17" x14ac:dyDescent="0.25">
      <c r="A909" s="897"/>
      <c r="B909" s="1619"/>
      <c r="C909" s="1619" t="s">
        <v>49</v>
      </c>
      <c r="D909" s="1619"/>
      <c r="E909" s="1611" t="s">
        <v>1521</v>
      </c>
      <c r="F909" s="1649">
        <f>15974.1+4000</f>
        <v>19974.099999999999</v>
      </c>
      <c r="G909" s="1649">
        <v>19129.3</v>
      </c>
      <c r="H909" s="1632">
        <f>43400+502.7+74.4+133.3+36+240+14430.7+2135.7+2035.1+1165.7+696+21506.3</f>
        <v>86355.9</v>
      </c>
      <c r="I909" s="1632">
        <v>85536.4</v>
      </c>
      <c r="J909" s="1632">
        <v>88964.800000000003</v>
      </c>
      <c r="K909" s="1808" t="s">
        <v>1522</v>
      </c>
      <c r="L909" s="1597" t="s">
        <v>1489</v>
      </c>
      <c r="M909" s="1593">
        <v>1214.9000000000001</v>
      </c>
      <c r="N909" s="1593">
        <v>1214.9000000000001</v>
      </c>
      <c r="O909" s="1593">
        <v>1214.9000000000001</v>
      </c>
      <c r="P909" s="1593">
        <v>1214.9000000000001</v>
      </c>
      <c r="Q909" s="1593">
        <v>1214.9000000000001</v>
      </c>
    </row>
    <row r="910" spans="1:17" x14ac:dyDescent="0.25">
      <c r="A910" s="897"/>
      <c r="B910" s="1745"/>
      <c r="C910" s="1745"/>
      <c r="D910" s="1745"/>
      <c r="E910" s="1612"/>
      <c r="F910" s="2033"/>
      <c r="G910" s="2033"/>
      <c r="H910" s="1632"/>
      <c r="I910" s="1632"/>
      <c r="J910" s="1632"/>
      <c r="K910" s="1808"/>
      <c r="L910" s="2092"/>
      <c r="M910" s="1593"/>
      <c r="N910" s="1593"/>
      <c r="O910" s="1593"/>
      <c r="P910" s="1593"/>
      <c r="Q910" s="1593"/>
    </row>
    <row r="911" spans="1:17" x14ac:dyDescent="0.25">
      <c r="A911" s="897"/>
      <c r="B911" s="1745"/>
      <c r="C911" s="1745"/>
      <c r="D911" s="1745"/>
      <c r="E911" s="1612"/>
      <c r="F911" s="2033"/>
      <c r="G911" s="2033"/>
      <c r="H911" s="1632"/>
      <c r="I911" s="1632"/>
      <c r="J911" s="1632"/>
      <c r="K911" s="1808"/>
      <c r="L911" s="2092"/>
      <c r="M911" s="1593"/>
      <c r="N911" s="1593"/>
      <c r="O911" s="1593"/>
      <c r="P911" s="1593"/>
      <c r="Q911" s="1593"/>
    </row>
    <row r="912" spans="1:17" x14ac:dyDescent="0.25">
      <c r="A912" s="897"/>
      <c r="B912" s="1745"/>
      <c r="C912" s="1745"/>
      <c r="D912" s="1745"/>
      <c r="E912" s="1612"/>
      <c r="F912" s="2033"/>
      <c r="G912" s="2033"/>
      <c r="H912" s="1632"/>
      <c r="I912" s="1632"/>
      <c r="J912" s="1632"/>
      <c r="K912" s="1808"/>
      <c r="L912" s="2092"/>
      <c r="M912" s="1593"/>
      <c r="N912" s="1593"/>
      <c r="O912" s="1593"/>
      <c r="P912" s="1593"/>
      <c r="Q912" s="1593"/>
    </row>
    <row r="913" spans="1:17" x14ac:dyDescent="0.25">
      <c r="A913" s="897"/>
      <c r="B913" s="1745"/>
      <c r="C913" s="1745"/>
      <c r="D913" s="1745"/>
      <c r="E913" s="1612"/>
      <c r="F913" s="2033"/>
      <c r="G913" s="2033"/>
      <c r="H913" s="1632"/>
      <c r="I913" s="1632"/>
      <c r="J913" s="1632"/>
      <c r="K913" s="1808"/>
      <c r="L913" s="1598"/>
      <c r="M913" s="1593"/>
      <c r="N913" s="1593"/>
      <c r="O913" s="1593"/>
      <c r="P913" s="1593"/>
      <c r="Q913" s="1593"/>
    </row>
    <row r="914" spans="1:17" ht="30" x14ac:dyDescent="0.25">
      <c r="A914" s="897"/>
      <c r="B914" s="1745"/>
      <c r="C914" s="1745"/>
      <c r="D914" s="1745"/>
      <c r="E914" s="1612"/>
      <c r="F914" s="2033"/>
      <c r="G914" s="2033"/>
      <c r="H914" s="1632"/>
      <c r="I914" s="1632"/>
      <c r="J914" s="1632"/>
      <c r="K914" s="628" t="s">
        <v>1523</v>
      </c>
      <c r="L914" s="511" t="s">
        <v>1489</v>
      </c>
      <c r="M914" s="511">
        <v>13.2</v>
      </c>
      <c r="N914" s="540">
        <v>10.5</v>
      </c>
      <c r="O914" s="540">
        <v>10.5</v>
      </c>
      <c r="P914" s="540">
        <v>10.5</v>
      </c>
      <c r="Q914" s="540">
        <v>10.5</v>
      </c>
    </row>
    <row r="915" spans="1:17" ht="30" x14ac:dyDescent="0.25">
      <c r="A915" s="897"/>
      <c r="B915" s="1745"/>
      <c r="C915" s="1745"/>
      <c r="D915" s="1745"/>
      <c r="E915" s="1612"/>
      <c r="F915" s="2033"/>
      <c r="G915" s="2033"/>
      <c r="H915" s="1632"/>
      <c r="I915" s="1632"/>
      <c r="J915" s="1632"/>
      <c r="K915" s="628" t="s">
        <v>1524</v>
      </c>
      <c r="L915" s="644" t="s">
        <v>1489</v>
      </c>
      <c r="M915" s="906">
        <v>1.6</v>
      </c>
      <c r="N915" s="415">
        <v>1.6</v>
      </c>
      <c r="O915" s="415">
        <v>1.6</v>
      </c>
      <c r="P915" s="415">
        <v>1.6</v>
      </c>
      <c r="Q915" s="415">
        <v>1.6</v>
      </c>
    </row>
    <row r="916" spans="1:17" x14ac:dyDescent="0.25">
      <c r="A916" s="897"/>
      <c r="B916" s="1745"/>
      <c r="C916" s="1745"/>
      <c r="D916" s="1745"/>
      <c r="E916" s="1612"/>
      <c r="F916" s="2033"/>
      <c r="G916" s="2033"/>
      <c r="H916" s="1632"/>
      <c r="I916" s="1632"/>
      <c r="J916" s="1632"/>
      <c r="K916" s="495" t="s">
        <v>1525</v>
      </c>
      <c r="L916" s="644" t="s">
        <v>1498</v>
      </c>
      <c r="M916" s="906">
        <v>61</v>
      </c>
      <c r="N916" s="415">
        <v>50</v>
      </c>
      <c r="O916" s="415">
        <v>50</v>
      </c>
      <c r="P916" s="415">
        <v>50</v>
      </c>
      <c r="Q916" s="415">
        <v>50</v>
      </c>
    </row>
    <row r="917" spans="1:17" x14ac:dyDescent="0.25">
      <c r="A917" s="897"/>
      <c r="B917" s="1745"/>
      <c r="C917" s="1745"/>
      <c r="D917" s="1745"/>
      <c r="E917" s="1612"/>
      <c r="F917" s="2033"/>
      <c r="G917" s="2033"/>
      <c r="H917" s="1632"/>
      <c r="I917" s="1632"/>
      <c r="J917" s="1632"/>
      <c r="K917" s="1611" t="s">
        <v>1526</v>
      </c>
      <c r="L917" s="1597" t="s">
        <v>1498</v>
      </c>
      <c r="M917" s="2023">
        <v>88</v>
      </c>
      <c r="N917" s="1597">
        <v>88</v>
      </c>
      <c r="O917" s="1597">
        <v>88</v>
      </c>
      <c r="P917" s="1597">
        <v>88</v>
      </c>
      <c r="Q917" s="1597">
        <v>88</v>
      </c>
    </row>
    <row r="918" spans="1:17" x14ac:dyDescent="0.25">
      <c r="A918" s="897"/>
      <c r="B918" s="1745"/>
      <c r="C918" s="1745"/>
      <c r="D918" s="1745"/>
      <c r="E918" s="1612"/>
      <c r="F918" s="2033"/>
      <c r="G918" s="2033"/>
      <c r="H918" s="1632"/>
      <c r="I918" s="1632"/>
      <c r="J918" s="1632"/>
      <c r="K918" s="1613"/>
      <c r="L918" s="1598"/>
      <c r="M918" s="2024"/>
      <c r="N918" s="1598"/>
      <c r="O918" s="1598"/>
      <c r="P918" s="1598"/>
      <c r="Q918" s="1598"/>
    </row>
    <row r="919" spans="1:17" x14ac:dyDescent="0.25">
      <c r="A919" s="897"/>
      <c r="B919" s="1619"/>
      <c r="C919" s="1619" t="s">
        <v>50</v>
      </c>
      <c r="D919" s="1909"/>
      <c r="E919" s="1611" t="s">
        <v>1527</v>
      </c>
      <c r="F919" s="1649">
        <v>3280.4</v>
      </c>
      <c r="G919" s="1649">
        <v>4941</v>
      </c>
      <c r="H919" s="1649">
        <f>246.8+36.5+22.1+10+2171.3+321.4+337.4+118.3+92+500</f>
        <v>3855.8000000000006</v>
      </c>
      <c r="I919" s="1649">
        <v>4058.8</v>
      </c>
      <c r="J919" s="1649">
        <v>4058.8</v>
      </c>
      <c r="K919" s="907"/>
      <c r="L919" s="238"/>
      <c r="M919" s="238"/>
      <c r="N919" s="908"/>
      <c r="O919" s="908"/>
      <c r="P919" s="908"/>
      <c r="Q919" s="908"/>
    </row>
    <row r="920" spans="1:17" ht="60" x14ac:dyDescent="0.25">
      <c r="A920" s="897"/>
      <c r="B920" s="1745"/>
      <c r="C920" s="1745"/>
      <c r="D920" s="1909"/>
      <c r="E920" s="1612"/>
      <c r="F920" s="2033"/>
      <c r="G920" s="2033"/>
      <c r="H920" s="2033"/>
      <c r="I920" s="2033"/>
      <c r="J920" s="2033"/>
      <c r="K920" s="628" t="s">
        <v>1528</v>
      </c>
      <c r="L920" s="511" t="s">
        <v>1489</v>
      </c>
      <c r="M920" s="267">
        <v>3</v>
      </c>
      <c r="N920" s="267">
        <v>3.2</v>
      </c>
      <c r="O920" s="267">
        <v>3.4</v>
      </c>
      <c r="P920" s="267">
        <v>3.4</v>
      </c>
      <c r="Q920" s="267">
        <v>3.4</v>
      </c>
    </row>
    <row r="921" spans="1:17" ht="45" x14ac:dyDescent="0.25">
      <c r="A921" s="897"/>
      <c r="B921" s="1620"/>
      <c r="C921" s="1620"/>
      <c r="D921" s="1909"/>
      <c r="E921" s="1613"/>
      <c r="F921" s="1650"/>
      <c r="G921" s="1650"/>
      <c r="H921" s="1650"/>
      <c r="I921" s="1650"/>
      <c r="J921" s="1650"/>
      <c r="K921" s="546" t="s">
        <v>1529</v>
      </c>
      <c r="L921" s="645" t="s">
        <v>1530</v>
      </c>
      <c r="M921" s="909">
        <v>235</v>
      </c>
      <c r="N921" s="909">
        <v>280</v>
      </c>
      <c r="O921" s="909">
        <v>285</v>
      </c>
      <c r="P921" s="909">
        <v>285</v>
      </c>
      <c r="Q921" s="909">
        <v>285</v>
      </c>
    </row>
    <row r="922" spans="1:17" ht="30" x14ac:dyDescent="0.25">
      <c r="A922" s="897"/>
      <c r="B922" s="1619"/>
      <c r="C922" s="1619" t="s">
        <v>51</v>
      </c>
      <c r="D922" s="1619"/>
      <c r="E922" s="1611" t="s">
        <v>1531</v>
      </c>
      <c r="F922" s="1649">
        <f>4878.9+1795</f>
        <v>6673.9</v>
      </c>
      <c r="G922" s="1649">
        <v>6945.8</v>
      </c>
      <c r="H922" s="1649">
        <f>144.5+43.1+26.2+10+3995.9+591.4+713.7+140+214.2</f>
        <v>5878.9999999999991</v>
      </c>
      <c r="I922" s="1649">
        <v>5852.7</v>
      </c>
      <c r="J922" s="1649">
        <v>5852.7</v>
      </c>
      <c r="K922" s="628" t="s">
        <v>1532</v>
      </c>
      <c r="L922" s="511" t="s">
        <v>1533</v>
      </c>
      <c r="M922" s="511">
        <v>1820</v>
      </c>
      <c r="N922" s="729">
        <v>1400</v>
      </c>
      <c r="O922" s="729">
        <v>1400</v>
      </c>
      <c r="P922" s="729">
        <v>1400</v>
      </c>
      <c r="Q922" s="729">
        <v>1400</v>
      </c>
    </row>
    <row r="923" spans="1:17" ht="45" x14ac:dyDescent="0.25">
      <c r="A923" s="897"/>
      <c r="B923" s="1745"/>
      <c r="C923" s="1745"/>
      <c r="D923" s="1745"/>
      <c r="E923" s="1612"/>
      <c r="F923" s="2033"/>
      <c r="G923" s="2033"/>
      <c r="H923" s="2033"/>
      <c r="I923" s="2033"/>
      <c r="J923" s="2033"/>
      <c r="K923" s="545" t="s">
        <v>1534</v>
      </c>
      <c r="L923" s="910" t="s">
        <v>1535</v>
      </c>
      <c r="M923" s="511">
        <v>7994</v>
      </c>
      <c r="N923" s="729">
        <v>4250</v>
      </c>
      <c r="O923" s="729">
        <v>4250</v>
      </c>
      <c r="P923" s="729">
        <v>4250</v>
      </c>
      <c r="Q923" s="729">
        <v>4250</v>
      </c>
    </row>
    <row r="924" spans="1:17" ht="30" x14ac:dyDescent="0.25">
      <c r="A924" s="897"/>
      <c r="B924" s="1745"/>
      <c r="C924" s="1745"/>
      <c r="D924" s="1745"/>
      <c r="E924" s="1612"/>
      <c r="F924" s="2033"/>
      <c r="G924" s="2033"/>
      <c r="H924" s="2033"/>
      <c r="I924" s="2033"/>
      <c r="J924" s="2033"/>
      <c r="K924" s="628" t="s">
        <v>1532</v>
      </c>
      <c r="L924" s="645"/>
      <c r="M924" s="645"/>
      <c r="N924" s="645"/>
      <c r="O924" s="645"/>
      <c r="P924" s="645"/>
      <c r="Q924" s="645"/>
    </row>
    <row r="925" spans="1:17" x14ac:dyDescent="0.25">
      <c r="A925" s="897"/>
      <c r="B925" s="1745"/>
      <c r="C925" s="1745"/>
      <c r="D925" s="1745"/>
      <c r="E925" s="1612"/>
      <c r="F925" s="2033"/>
      <c r="G925" s="2033"/>
      <c r="H925" s="2033"/>
      <c r="I925" s="2033"/>
      <c r="J925" s="2033"/>
      <c r="K925" s="1611" t="s">
        <v>1536</v>
      </c>
      <c r="L925" s="1597" t="s">
        <v>1537</v>
      </c>
      <c r="M925" s="1597">
        <v>1974</v>
      </c>
      <c r="N925" s="1599">
        <v>2000</v>
      </c>
      <c r="O925" s="1599">
        <v>2200</v>
      </c>
      <c r="P925" s="1599">
        <v>2400</v>
      </c>
      <c r="Q925" s="1599">
        <v>2600</v>
      </c>
    </row>
    <row r="926" spans="1:17" x14ac:dyDescent="0.25">
      <c r="A926" s="897"/>
      <c r="B926" s="619"/>
      <c r="C926" s="1620"/>
      <c r="D926" s="1620"/>
      <c r="E926" s="1613"/>
      <c r="F926" s="1650"/>
      <c r="G926" s="1650"/>
      <c r="H926" s="1650"/>
      <c r="I926" s="1650"/>
      <c r="J926" s="1650"/>
      <c r="K926" s="1613"/>
      <c r="L926" s="1598"/>
      <c r="M926" s="1598"/>
      <c r="N926" s="1600"/>
      <c r="O926" s="1600"/>
      <c r="P926" s="1600"/>
      <c r="Q926" s="1600"/>
    </row>
    <row r="927" spans="1:17" ht="90" x14ac:dyDescent="0.25">
      <c r="A927" s="897"/>
      <c r="B927" s="413"/>
      <c r="C927" s="413" t="s">
        <v>54</v>
      </c>
      <c r="D927" s="413"/>
      <c r="E927" s="495" t="s">
        <v>1538</v>
      </c>
      <c r="F927" s="729">
        <v>53195.8</v>
      </c>
      <c r="G927" s="729">
        <f>44578.2-435.8</f>
        <v>44142.399999999994</v>
      </c>
      <c r="H927" s="729">
        <f>2283.1+337.2+980.9+60.5+73.2</f>
        <v>3734.8999999999996</v>
      </c>
      <c r="I927" s="729">
        <v>47649.8</v>
      </c>
      <c r="J927" s="729">
        <v>47649.8</v>
      </c>
      <c r="K927" s="628" t="s">
        <v>1539</v>
      </c>
      <c r="L927" s="511" t="s">
        <v>1540</v>
      </c>
      <c r="M927" s="911" t="s">
        <v>1541</v>
      </c>
      <c r="N927" s="911" t="s">
        <v>1542</v>
      </c>
      <c r="O927" s="911" t="s">
        <v>1543</v>
      </c>
      <c r="P927" s="911" t="s">
        <v>1544</v>
      </c>
      <c r="Q927" s="911" t="s">
        <v>1545</v>
      </c>
    </row>
    <row r="928" spans="1:17" ht="45" x14ac:dyDescent="0.25">
      <c r="A928" s="897"/>
      <c r="B928" s="1619"/>
      <c r="C928" s="1619" t="s">
        <v>86</v>
      </c>
      <c r="D928" s="1619"/>
      <c r="E928" s="1611" t="s">
        <v>1546</v>
      </c>
      <c r="F928" s="1649">
        <v>10088.6</v>
      </c>
      <c r="G928" s="1649">
        <f>9028.7-435.8</f>
        <v>8592.9000000000015</v>
      </c>
      <c r="H928" s="1649">
        <f>7021.7+2000.2+345+903+1601.8+400+1195.5+914.5+65+123</f>
        <v>14569.699999999999</v>
      </c>
      <c r="I928" s="1649">
        <v>5085.5</v>
      </c>
      <c r="J928" s="1649">
        <v>5085.5</v>
      </c>
      <c r="K928" s="495" t="s">
        <v>1547</v>
      </c>
      <c r="L928" s="511" t="s">
        <v>1548</v>
      </c>
      <c r="M928" s="540" t="s">
        <v>1549</v>
      </c>
      <c r="N928" s="540" t="s">
        <v>1550</v>
      </c>
      <c r="O928" s="540" t="s">
        <v>1550</v>
      </c>
      <c r="P928" s="540" t="s">
        <v>1551</v>
      </c>
      <c r="Q928" s="540" t="s">
        <v>1552</v>
      </c>
    </row>
    <row r="929" spans="1:17" ht="30" x14ac:dyDescent="0.25">
      <c r="A929" s="897"/>
      <c r="B929" s="1745"/>
      <c r="C929" s="1745"/>
      <c r="D929" s="1745"/>
      <c r="E929" s="1612"/>
      <c r="F929" s="2033"/>
      <c r="G929" s="2033"/>
      <c r="H929" s="2033"/>
      <c r="I929" s="2033"/>
      <c r="J929" s="2033"/>
      <c r="K929" s="628" t="s">
        <v>1553</v>
      </c>
      <c r="L929" s="511" t="s">
        <v>1489</v>
      </c>
      <c r="M929" s="511"/>
      <c r="N929" s="511"/>
      <c r="O929" s="511"/>
      <c r="P929" s="511"/>
      <c r="Q929" s="511"/>
    </row>
    <row r="930" spans="1:17" ht="30" x14ac:dyDescent="0.25">
      <c r="A930" s="897"/>
      <c r="B930" s="1745"/>
      <c r="C930" s="1745"/>
      <c r="D930" s="1745"/>
      <c r="E930" s="1612"/>
      <c r="F930" s="2033"/>
      <c r="G930" s="2033"/>
      <c r="H930" s="2033"/>
      <c r="I930" s="2033"/>
      <c r="J930" s="2033"/>
      <c r="K930" s="628" t="s">
        <v>1554</v>
      </c>
      <c r="L930" s="511" t="s">
        <v>1489</v>
      </c>
      <c r="M930" s="511"/>
      <c r="N930" s="511"/>
      <c r="O930" s="511"/>
      <c r="P930" s="511"/>
      <c r="Q930" s="511"/>
    </row>
    <row r="931" spans="1:17" ht="30" x14ac:dyDescent="0.25">
      <c r="A931" s="897"/>
      <c r="B931" s="1745"/>
      <c r="C931" s="1745"/>
      <c r="D931" s="1745"/>
      <c r="E931" s="1612"/>
      <c r="F931" s="2033"/>
      <c r="G931" s="2033"/>
      <c r="H931" s="2033"/>
      <c r="I931" s="2033"/>
      <c r="J931" s="2033"/>
      <c r="K931" s="628" t="s">
        <v>1555</v>
      </c>
      <c r="L931" s="511" t="s">
        <v>1489</v>
      </c>
      <c r="M931" s="511"/>
      <c r="N931" s="511"/>
      <c r="O931" s="511"/>
      <c r="P931" s="511"/>
      <c r="Q931" s="511"/>
    </row>
    <row r="932" spans="1:17" x14ac:dyDescent="0.25">
      <c r="A932" s="897"/>
      <c r="B932" s="1745"/>
      <c r="C932" s="1745"/>
      <c r="D932" s="1745"/>
      <c r="E932" s="1612"/>
      <c r="F932" s="2033"/>
      <c r="G932" s="2033"/>
      <c r="H932" s="2033"/>
      <c r="I932" s="2033"/>
      <c r="J932" s="2033"/>
      <c r="K932" s="912"/>
      <c r="L932" s="511" t="s">
        <v>1489</v>
      </c>
      <c r="M932" s="511"/>
      <c r="N932" s="511"/>
      <c r="O932" s="511"/>
      <c r="P932" s="511"/>
      <c r="Q932" s="511"/>
    </row>
    <row r="933" spans="1:17" ht="30" x14ac:dyDescent="0.25">
      <c r="A933" s="897"/>
      <c r="B933" s="1620"/>
      <c r="C933" s="1620"/>
      <c r="D933" s="1620"/>
      <c r="E933" s="1613"/>
      <c r="F933" s="1650"/>
      <c r="G933" s="1650"/>
      <c r="H933" s="1650"/>
      <c r="I933" s="1650"/>
      <c r="J933" s="1650"/>
      <c r="K933" s="628" t="s">
        <v>1556</v>
      </c>
      <c r="L933" s="511" t="s">
        <v>1489</v>
      </c>
      <c r="M933" s="511"/>
      <c r="N933" s="511"/>
      <c r="O933" s="511"/>
      <c r="P933" s="511"/>
      <c r="Q933" s="511"/>
    </row>
    <row r="934" spans="1:17" ht="45" x14ac:dyDescent="0.25">
      <c r="A934" s="897"/>
      <c r="B934" s="1619"/>
      <c r="C934" s="1619" t="s">
        <v>53</v>
      </c>
      <c r="D934" s="1617"/>
      <c r="E934" s="1611" t="s">
        <v>1557</v>
      </c>
      <c r="F934" s="2077">
        <v>210000</v>
      </c>
      <c r="G934" s="1649">
        <v>192551.3</v>
      </c>
      <c r="H934" s="1649">
        <v>133315.5</v>
      </c>
      <c r="I934" s="1649">
        <v>0</v>
      </c>
      <c r="J934" s="1649">
        <v>0</v>
      </c>
      <c r="K934" s="628" t="s">
        <v>1558</v>
      </c>
      <c r="L934" s="511" t="s">
        <v>968</v>
      </c>
      <c r="M934" s="416">
        <v>2558</v>
      </c>
      <c r="N934" s="913"/>
      <c r="O934" s="913"/>
      <c r="P934" s="913"/>
      <c r="Q934" s="416"/>
    </row>
    <row r="935" spans="1:17" x14ac:dyDescent="0.25">
      <c r="A935" s="897"/>
      <c r="B935" s="1745"/>
      <c r="C935" s="1745"/>
      <c r="D935" s="1810"/>
      <c r="E935" s="1613"/>
      <c r="F935" s="2079"/>
      <c r="G935" s="2033"/>
      <c r="H935" s="2033"/>
      <c r="I935" s="2033"/>
      <c r="J935" s="2033"/>
      <c r="K935" s="628" t="s">
        <v>1559</v>
      </c>
      <c r="L935" s="511" t="s">
        <v>14</v>
      </c>
      <c r="M935" s="416"/>
      <c r="N935" s="913"/>
      <c r="O935" s="913"/>
      <c r="P935" s="913"/>
      <c r="Q935" s="416"/>
    </row>
    <row r="936" spans="1:17" ht="30" x14ac:dyDescent="0.25">
      <c r="A936" s="897"/>
      <c r="B936" s="1619"/>
      <c r="C936" s="1619" t="s">
        <v>83</v>
      </c>
      <c r="D936" s="1619"/>
      <c r="E936" s="1611" t="s">
        <v>1560</v>
      </c>
      <c r="F936" s="1649">
        <v>3735.6</v>
      </c>
      <c r="G936" s="1649">
        <f>3149.1+585.8</f>
        <v>3734.8999999999996</v>
      </c>
      <c r="H936" s="1649"/>
      <c r="I936" s="1649">
        <v>3734.9</v>
      </c>
      <c r="J936" s="1649">
        <v>3734.9</v>
      </c>
      <c r="K936" s="628" t="s">
        <v>1561</v>
      </c>
      <c r="L936" s="511" t="s">
        <v>14</v>
      </c>
      <c r="M936" s="511">
        <v>102</v>
      </c>
      <c r="N936" s="511">
        <v>102.4</v>
      </c>
      <c r="O936" s="511">
        <v>102.6</v>
      </c>
      <c r="P936" s="511">
        <v>102.6</v>
      </c>
      <c r="Q936" s="511">
        <v>102.6</v>
      </c>
    </row>
    <row r="937" spans="1:17" x14ac:dyDescent="0.25">
      <c r="A937" s="897"/>
      <c r="B937" s="1745"/>
      <c r="C937" s="1745"/>
      <c r="D937" s="1745"/>
      <c r="E937" s="1612"/>
      <c r="F937" s="2033"/>
      <c r="G937" s="2033"/>
      <c r="H937" s="2033"/>
      <c r="I937" s="2033"/>
      <c r="J937" s="2033"/>
      <c r="K937" s="628" t="s">
        <v>1562</v>
      </c>
      <c r="L937" s="540" t="s">
        <v>1563</v>
      </c>
      <c r="M937" s="511">
        <v>83231</v>
      </c>
      <c r="N937" s="416">
        <v>85000</v>
      </c>
      <c r="O937" s="416">
        <v>85000</v>
      </c>
      <c r="P937" s="416">
        <v>90000</v>
      </c>
      <c r="Q937" s="416">
        <v>95000</v>
      </c>
    </row>
    <row r="938" spans="1:17" ht="30" x14ac:dyDescent="0.25">
      <c r="A938" s="897"/>
      <c r="B938" s="1745"/>
      <c r="C938" s="1745"/>
      <c r="D938" s="1745"/>
      <c r="E938" s="1612"/>
      <c r="F938" s="2033"/>
      <c r="G938" s="2033"/>
      <c r="H938" s="2033"/>
      <c r="I938" s="2033"/>
      <c r="J938" s="2033"/>
      <c r="K938" s="628" t="s">
        <v>1564</v>
      </c>
      <c r="L938" s="540" t="s">
        <v>1563</v>
      </c>
      <c r="M938" s="511">
        <v>25000</v>
      </c>
      <c r="N938" s="416">
        <v>20000</v>
      </c>
      <c r="O938" s="416">
        <v>25000</v>
      </c>
      <c r="P938" s="416">
        <v>30000</v>
      </c>
      <c r="Q938" s="416">
        <v>36000</v>
      </c>
    </row>
    <row r="939" spans="1:17" ht="30" x14ac:dyDescent="0.25">
      <c r="A939" s="897"/>
      <c r="B939" s="1745"/>
      <c r="C939" s="1745"/>
      <c r="D939" s="1745"/>
      <c r="E939" s="1612"/>
      <c r="F939" s="2033"/>
      <c r="G939" s="2033"/>
      <c r="H939" s="2033"/>
      <c r="I939" s="2033"/>
      <c r="J939" s="2033"/>
      <c r="K939" s="628" t="s">
        <v>1565</v>
      </c>
      <c r="L939" s="540"/>
      <c r="M939" s="511"/>
      <c r="N939" s="416"/>
      <c r="O939" s="416"/>
      <c r="P939" s="416"/>
      <c r="Q939" s="416"/>
    </row>
    <row r="940" spans="1:17" x14ac:dyDescent="0.25">
      <c r="A940" s="897"/>
      <c r="B940" s="1745"/>
      <c r="C940" s="1745"/>
      <c r="D940" s="1745"/>
      <c r="E940" s="1612"/>
      <c r="F940" s="2033"/>
      <c r="G940" s="2033"/>
      <c r="H940" s="2033"/>
      <c r="I940" s="2033"/>
      <c r="J940" s="2033"/>
      <c r="K940" s="628" t="s">
        <v>1566</v>
      </c>
      <c r="L940" s="540"/>
      <c r="M940" s="511"/>
      <c r="N940" s="416"/>
      <c r="O940" s="416"/>
      <c r="P940" s="416"/>
      <c r="Q940" s="416"/>
    </row>
    <row r="941" spans="1:17" ht="30" x14ac:dyDescent="0.25">
      <c r="A941" s="897"/>
      <c r="B941" s="1620"/>
      <c r="C941" s="1620"/>
      <c r="D941" s="1620"/>
      <c r="E941" s="1613"/>
      <c r="F941" s="1650"/>
      <c r="G941" s="1650"/>
      <c r="H941" s="1650"/>
      <c r="I941" s="1650"/>
      <c r="J941" s="1650"/>
      <c r="K941" s="628" t="s">
        <v>1567</v>
      </c>
      <c r="L941" s="540" t="s">
        <v>1563</v>
      </c>
      <c r="M941" s="511">
        <v>300</v>
      </c>
      <c r="N941" s="914">
        <v>300</v>
      </c>
      <c r="O941" s="914">
        <v>300</v>
      </c>
      <c r="P941" s="914">
        <v>300</v>
      </c>
      <c r="Q941" s="914">
        <v>300</v>
      </c>
    </row>
    <row r="942" spans="1:17" ht="30" x14ac:dyDescent="0.25">
      <c r="A942" s="897"/>
      <c r="B942" s="1619"/>
      <c r="C942" s="1619" t="s">
        <v>84</v>
      </c>
      <c r="D942" s="1619"/>
      <c r="E942" s="1611" t="s">
        <v>1568</v>
      </c>
      <c r="F942" s="1649">
        <v>10444.4</v>
      </c>
      <c r="G942" s="1649">
        <v>13797.1</v>
      </c>
      <c r="H942" s="1649"/>
      <c r="I942" s="1649">
        <v>12472.4</v>
      </c>
      <c r="J942" s="1649">
        <v>12472.4</v>
      </c>
      <c r="K942" s="257" t="s">
        <v>1569</v>
      </c>
      <c r="L942" s="262" t="s">
        <v>979</v>
      </c>
      <c r="M942" s="511">
        <v>396</v>
      </c>
      <c r="N942" s="557">
        <v>350</v>
      </c>
      <c r="O942" s="557">
        <v>350</v>
      </c>
      <c r="P942" s="557">
        <v>350</v>
      </c>
      <c r="Q942" s="557">
        <v>350</v>
      </c>
    </row>
    <row r="943" spans="1:17" ht="30" x14ac:dyDescent="0.25">
      <c r="A943" s="897"/>
      <c r="B943" s="1745"/>
      <c r="C943" s="1745"/>
      <c r="D943" s="1745"/>
      <c r="E943" s="1613"/>
      <c r="F943" s="1650"/>
      <c r="G943" s="1650"/>
      <c r="H943" s="1650"/>
      <c r="I943" s="1650"/>
      <c r="J943" s="1650"/>
      <c r="K943" s="257" t="s">
        <v>1570</v>
      </c>
      <c r="L943" s="262" t="s">
        <v>979</v>
      </c>
      <c r="M943" s="511">
        <v>108</v>
      </c>
      <c r="N943" s="557">
        <v>125</v>
      </c>
      <c r="O943" s="557">
        <v>125</v>
      </c>
      <c r="P943" s="557">
        <v>125</v>
      </c>
      <c r="Q943" s="557">
        <v>125</v>
      </c>
    </row>
    <row r="944" spans="1:17" ht="30" x14ac:dyDescent="0.25">
      <c r="A944" s="897"/>
      <c r="B944" s="1909"/>
      <c r="C944" s="1909" t="s">
        <v>87</v>
      </c>
      <c r="D944" s="1619"/>
      <c r="E944" s="1611" t="s">
        <v>1571</v>
      </c>
      <c r="F944" s="1649">
        <v>8415.2000000000007</v>
      </c>
      <c r="G944" s="1649">
        <f>8247.8+585.8</f>
        <v>8833.5999999999985</v>
      </c>
      <c r="H944" s="1649">
        <f>45+8+452+150+30+65+6467.2+951+424.4+35.6+43.8+161.6</f>
        <v>8833.6</v>
      </c>
      <c r="I944" s="1649">
        <v>8833.6</v>
      </c>
      <c r="J944" s="1649">
        <v>8833.6</v>
      </c>
      <c r="K944" s="257" t="s">
        <v>1572</v>
      </c>
      <c r="L944" s="262" t="s">
        <v>979</v>
      </c>
      <c r="M944" s="511">
        <v>2355</v>
      </c>
      <c r="N944" s="557" t="s">
        <v>1050</v>
      </c>
      <c r="O944" s="557" t="s">
        <v>1050</v>
      </c>
      <c r="P944" s="557" t="s">
        <v>1050</v>
      </c>
      <c r="Q944" s="557" t="s">
        <v>1050</v>
      </c>
    </row>
    <row r="945" spans="1:17" ht="30" x14ac:dyDescent="0.25">
      <c r="A945" s="897"/>
      <c r="B945" s="1909"/>
      <c r="C945" s="1909"/>
      <c r="D945" s="1745"/>
      <c r="E945" s="1612"/>
      <c r="F945" s="2033"/>
      <c r="G945" s="2033"/>
      <c r="H945" s="2033"/>
      <c r="I945" s="2033"/>
      <c r="J945" s="2033"/>
      <c r="K945" s="257" t="s">
        <v>1573</v>
      </c>
      <c r="L945" s="262" t="s">
        <v>974</v>
      </c>
      <c r="M945" s="511">
        <v>169</v>
      </c>
      <c r="N945" s="557" t="s">
        <v>1050</v>
      </c>
      <c r="O945" s="557" t="s">
        <v>1050</v>
      </c>
      <c r="P945" s="557" t="s">
        <v>1050</v>
      </c>
      <c r="Q945" s="557" t="s">
        <v>1050</v>
      </c>
    </row>
    <row r="946" spans="1:17" ht="30" x14ac:dyDescent="0.25">
      <c r="A946" s="897"/>
      <c r="B946" s="1909"/>
      <c r="C946" s="1909"/>
      <c r="D946" s="1745"/>
      <c r="E946" s="1612"/>
      <c r="F946" s="2033"/>
      <c r="G946" s="2033"/>
      <c r="H946" s="2033"/>
      <c r="I946" s="2033"/>
      <c r="J946" s="2033"/>
      <c r="K946" s="628" t="s">
        <v>1574</v>
      </c>
      <c r="L946" s="511" t="s">
        <v>1575</v>
      </c>
      <c r="M946" s="511">
        <v>8.9</v>
      </c>
      <c r="N946" s="729">
        <v>8.9</v>
      </c>
      <c r="O946" s="729">
        <v>8.9499999999999993</v>
      </c>
      <c r="P946" s="729">
        <v>8.9499999999999993</v>
      </c>
      <c r="Q946" s="729">
        <v>9.5</v>
      </c>
    </row>
    <row r="947" spans="1:17" x14ac:dyDescent="0.25">
      <c r="A947" s="897"/>
      <c r="B947" s="1909"/>
      <c r="C947" s="1909"/>
      <c r="D947" s="1620"/>
      <c r="E947" s="1613"/>
      <c r="F947" s="1650"/>
      <c r="G947" s="1650"/>
      <c r="H947" s="1650"/>
      <c r="I947" s="1650"/>
      <c r="J947" s="1650"/>
      <c r="K947" s="628" t="s">
        <v>1576</v>
      </c>
      <c r="L947" s="511" t="s">
        <v>1498</v>
      </c>
      <c r="M947" s="511">
        <v>2.4</v>
      </c>
      <c r="N947" s="540">
        <v>2.4</v>
      </c>
      <c r="O947" s="540">
        <v>2.4</v>
      </c>
      <c r="P947" s="540">
        <v>2.5</v>
      </c>
      <c r="Q947" s="540">
        <v>2.5</v>
      </c>
    </row>
    <row r="948" spans="1:17" x14ac:dyDescent="0.25">
      <c r="A948" s="897"/>
      <c r="B948" s="1619"/>
      <c r="C948" s="1619" t="s">
        <v>88</v>
      </c>
      <c r="D948" s="1619"/>
      <c r="E948" s="1611" t="s">
        <v>1577</v>
      </c>
      <c r="F948" s="1649">
        <v>4177.8999999999996</v>
      </c>
      <c r="G948" s="1649">
        <f>3599+585.8</f>
        <v>4184.8</v>
      </c>
      <c r="H948" s="1649">
        <f>3203.7+481+433.7+27.1+33+6.3</f>
        <v>4184.8</v>
      </c>
      <c r="I948" s="1649">
        <v>4184.8</v>
      </c>
      <c r="J948" s="1649">
        <v>4184.8</v>
      </c>
      <c r="K948" s="628" t="s">
        <v>1578</v>
      </c>
      <c r="L948" s="511" t="s">
        <v>1498</v>
      </c>
      <c r="M948" s="511">
        <v>9030.9</v>
      </c>
      <c r="N948" s="511">
        <v>9030.9</v>
      </c>
      <c r="O948" s="511">
        <v>9030.9</v>
      </c>
      <c r="P948" s="511">
        <v>9030.9</v>
      </c>
      <c r="Q948" s="511">
        <v>9030.9</v>
      </c>
    </row>
    <row r="949" spans="1:17" ht="30" x14ac:dyDescent="0.25">
      <c r="A949" s="897"/>
      <c r="B949" s="1745"/>
      <c r="C949" s="1745"/>
      <c r="D949" s="1745"/>
      <c r="E949" s="1612"/>
      <c r="F949" s="2033"/>
      <c r="G949" s="2033"/>
      <c r="H949" s="2033"/>
      <c r="I949" s="2033"/>
      <c r="J949" s="2033"/>
      <c r="K949" s="628" t="s">
        <v>1579</v>
      </c>
      <c r="L949" s="511" t="s">
        <v>1580</v>
      </c>
      <c r="M949" s="511">
        <v>3987.2</v>
      </c>
      <c r="N949" s="511">
        <v>3987.2</v>
      </c>
      <c r="O949" s="511">
        <v>3987.2</v>
      </c>
      <c r="P949" s="511">
        <v>3987.2</v>
      </c>
      <c r="Q949" s="511">
        <v>3987.2</v>
      </c>
    </row>
    <row r="950" spans="1:17" ht="30" x14ac:dyDescent="0.25">
      <c r="A950" s="897"/>
      <c r="B950" s="1745"/>
      <c r="C950" s="1745"/>
      <c r="D950" s="1745"/>
      <c r="E950" s="1612"/>
      <c r="F950" s="2033"/>
      <c r="G950" s="2033"/>
      <c r="H950" s="2033"/>
      <c r="I950" s="2033"/>
      <c r="J950" s="2033"/>
      <c r="K950" s="628" t="s">
        <v>1581</v>
      </c>
      <c r="L950" s="511" t="s">
        <v>968</v>
      </c>
      <c r="M950" s="511">
        <v>409</v>
      </c>
      <c r="N950" s="511">
        <v>420</v>
      </c>
      <c r="O950" s="511">
        <v>440</v>
      </c>
      <c r="P950" s="511">
        <v>454</v>
      </c>
      <c r="Q950" s="511">
        <v>454</v>
      </c>
    </row>
    <row r="951" spans="1:17" x14ac:dyDescent="0.25">
      <c r="A951" s="897"/>
      <c r="B951" s="1745"/>
      <c r="C951" s="1745"/>
      <c r="D951" s="1745"/>
      <c r="E951" s="1612"/>
      <c r="F951" s="2033"/>
      <c r="G951" s="2033"/>
      <c r="H951" s="2033"/>
      <c r="I951" s="2033"/>
      <c r="J951" s="2033"/>
      <c r="K951" s="495"/>
      <c r="L951" s="511"/>
      <c r="M951" s="511"/>
      <c r="N951" s="511"/>
      <c r="O951" s="511"/>
      <c r="P951" s="511"/>
      <c r="Q951" s="511"/>
    </row>
    <row r="952" spans="1:17" x14ac:dyDescent="0.25">
      <c r="A952" s="897"/>
      <c r="B952" s="1745"/>
      <c r="C952" s="1745"/>
      <c r="D952" s="1745"/>
      <c r="E952" s="1612"/>
      <c r="F952" s="2033"/>
      <c r="G952" s="2033"/>
      <c r="H952" s="2033"/>
      <c r="I952" s="2033"/>
      <c r="J952" s="2033"/>
      <c r="K952" s="495"/>
      <c r="L952" s="511"/>
      <c r="M952" s="511"/>
      <c r="N952" s="511"/>
      <c r="O952" s="511"/>
      <c r="P952" s="511"/>
      <c r="Q952" s="511"/>
    </row>
    <row r="953" spans="1:17" ht="45" x14ac:dyDescent="0.25">
      <c r="A953" s="897"/>
      <c r="B953" s="1620"/>
      <c r="C953" s="1620"/>
      <c r="D953" s="1620"/>
      <c r="E953" s="1613"/>
      <c r="F953" s="1650"/>
      <c r="G953" s="1650"/>
      <c r="H953" s="1650"/>
      <c r="I953" s="1650"/>
      <c r="J953" s="1650"/>
      <c r="K953" s="915" t="s">
        <v>1582</v>
      </c>
      <c r="L953" s="511" t="s">
        <v>974</v>
      </c>
      <c r="M953" s="511">
        <v>3</v>
      </c>
      <c r="N953" s="511">
        <v>3</v>
      </c>
      <c r="O953" s="511">
        <v>2</v>
      </c>
      <c r="P953" s="511">
        <v>1</v>
      </c>
      <c r="Q953" s="511">
        <v>1</v>
      </c>
    </row>
    <row r="954" spans="1:17" x14ac:dyDescent="0.25">
      <c r="A954" s="897"/>
      <c r="B954" s="1619"/>
      <c r="C954" s="1619" t="s">
        <v>89</v>
      </c>
      <c r="D954" s="1619"/>
      <c r="E954" s="1611" t="s">
        <v>1583</v>
      </c>
      <c r="F954" s="1649">
        <v>248530</v>
      </c>
      <c r="G954" s="1649">
        <v>133624.79999999999</v>
      </c>
      <c r="H954" s="1649">
        <v>7730</v>
      </c>
      <c r="I954" s="1649">
        <v>0</v>
      </c>
      <c r="J954" s="1649">
        <v>0</v>
      </c>
      <c r="K954" s="915" t="s">
        <v>1584</v>
      </c>
      <c r="L954" s="511"/>
      <c r="M954" s="511"/>
      <c r="N954" s="511"/>
      <c r="O954" s="511"/>
      <c r="P954" s="511"/>
      <c r="Q954" s="511"/>
    </row>
    <row r="955" spans="1:17" ht="30" x14ac:dyDescent="0.25">
      <c r="A955" s="897"/>
      <c r="B955" s="1745"/>
      <c r="C955" s="1745"/>
      <c r="D955" s="1745"/>
      <c r="E955" s="1612"/>
      <c r="F955" s="2033"/>
      <c r="G955" s="2033"/>
      <c r="H955" s="2033"/>
      <c r="I955" s="2033"/>
      <c r="J955" s="2033"/>
      <c r="K955" s="915" t="s">
        <v>1585</v>
      </c>
      <c r="L955" s="511"/>
      <c r="M955" s="511"/>
      <c r="N955" s="511"/>
      <c r="O955" s="511"/>
      <c r="P955" s="511"/>
      <c r="Q955" s="511"/>
    </row>
    <row r="956" spans="1:17" ht="45" x14ac:dyDescent="0.25">
      <c r="A956" s="897"/>
      <c r="B956" s="1745"/>
      <c r="C956" s="1745"/>
      <c r="D956" s="1745"/>
      <c r="E956" s="1612"/>
      <c r="F956" s="2033"/>
      <c r="G956" s="2033"/>
      <c r="H956" s="2033"/>
      <c r="I956" s="2033"/>
      <c r="J956" s="2033"/>
      <c r="K956" s="915" t="s">
        <v>1586</v>
      </c>
      <c r="L956" s="511"/>
      <c r="M956" s="511"/>
      <c r="N956" s="511"/>
      <c r="O956" s="511"/>
      <c r="P956" s="511"/>
      <c r="Q956" s="511"/>
    </row>
    <row r="957" spans="1:17" ht="45" x14ac:dyDescent="0.25">
      <c r="A957" s="897"/>
      <c r="B957" s="1745"/>
      <c r="C957" s="1745"/>
      <c r="D957" s="1745"/>
      <c r="E957" s="1612"/>
      <c r="F957" s="2033"/>
      <c r="G957" s="2033"/>
      <c r="H957" s="2033"/>
      <c r="I957" s="2033"/>
      <c r="J957" s="2033"/>
      <c r="K957" s="915" t="s">
        <v>1587</v>
      </c>
      <c r="L957" s="511"/>
      <c r="M957" s="511"/>
      <c r="N957" s="511"/>
      <c r="O957" s="511"/>
      <c r="P957" s="511"/>
      <c r="Q957" s="511"/>
    </row>
    <row r="958" spans="1:17" x14ac:dyDescent="0.25">
      <c r="A958" s="897"/>
      <c r="B958" s="1620"/>
      <c r="C958" s="1620"/>
      <c r="D958" s="1620"/>
      <c r="E958" s="1613"/>
      <c r="F958" s="1650"/>
      <c r="G958" s="1650"/>
      <c r="H958" s="1650"/>
      <c r="I958" s="1650"/>
      <c r="J958" s="1650"/>
      <c r="K958" s="628"/>
      <c r="L958" s="511"/>
      <c r="M958" s="511"/>
      <c r="N958" s="557"/>
      <c r="O958" s="557"/>
      <c r="P958" s="557"/>
      <c r="Q958" s="557"/>
    </row>
    <row r="959" spans="1:17" ht="45" x14ac:dyDescent="0.25">
      <c r="A959" s="897"/>
      <c r="B959" s="1619"/>
      <c r="C959" s="1619" t="s">
        <v>90</v>
      </c>
      <c r="D959" s="1619"/>
      <c r="E959" s="1808" t="s">
        <v>1588</v>
      </c>
      <c r="F959" s="1649">
        <v>0</v>
      </c>
      <c r="G959" s="1649">
        <v>265240</v>
      </c>
      <c r="H959" s="1649">
        <v>320366.09999999998</v>
      </c>
      <c r="I959" s="1649">
        <f>130208.06+168788.49</f>
        <v>298996.55</v>
      </c>
      <c r="J959" s="1649">
        <f>112314.32+97664.94</f>
        <v>209979.26</v>
      </c>
      <c r="K959" s="628" t="s">
        <v>1589</v>
      </c>
      <c r="L959" s="540" t="s">
        <v>14</v>
      </c>
      <c r="M959" s="511">
        <v>0</v>
      </c>
      <c r="N959" s="557">
        <v>5</v>
      </c>
      <c r="O959" s="557">
        <v>10</v>
      </c>
      <c r="P959" s="557">
        <v>20</v>
      </c>
      <c r="Q959" s="557">
        <v>30</v>
      </c>
    </row>
    <row r="960" spans="1:17" ht="30" x14ac:dyDescent="0.25">
      <c r="A960" s="897"/>
      <c r="B960" s="1745"/>
      <c r="C960" s="1745"/>
      <c r="D960" s="1745"/>
      <c r="E960" s="1808"/>
      <c r="F960" s="2033"/>
      <c r="G960" s="2033"/>
      <c r="H960" s="2033"/>
      <c r="I960" s="2033"/>
      <c r="J960" s="2033"/>
      <c r="K960" s="628" t="s">
        <v>1590</v>
      </c>
      <c r="L960" s="540" t="s">
        <v>974</v>
      </c>
      <c r="M960" s="511">
        <v>0</v>
      </c>
      <c r="N960" s="914">
        <v>2000</v>
      </c>
      <c r="O960" s="914">
        <v>2200</v>
      </c>
      <c r="P960" s="914">
        <v>2500</v>
      </c>
      <c r="Q960" s="914">
        <v>2800</v>
      </c>
    </row>
    <row r="961" spans="1:17" ht="45" x14ac:dyDescent="0.25">
      <c r="A961" s="897"/>
      <c r="B961" s="1620"/>
      <c r="C961" s="1620"/>
      <c r="D961" s="1620"/>
      <c r="E961" s="1808"/>
      <c r="F961" s="1650"/>
      <c r="G961" s="1650"/>
      <c r="H961" s="1650"/>
      <c r="I961" s="1650"/>
      <c r="J961" s="1650"/>
      <c r="K961" s="628" t="s">
        <v>1591</v>
      </c>
      <c r="L961" s="540"/>
      <c r="M961" s="511">
        <v>0</v>
      </c>
      <c r="N961" s="557"/>
      <c r="O961" s="557"/>
      <c r="P961" s="557"/>
      <c r="Q961" s="557"/>
    </row>
    <row r="962" spans="1:17" ht="90" x14ac:dyDescent="0.25">
      <c r="A962" s="897"/>
      <c r="B962" s="1619"/>
      <c r="C962" s="1619" t="s">
        <v>65</v>
      </c>
      <c r="D962" s="1619"/>
      <c r="E962" s="1808" t="s">
        <v>1592</v>
      </c>
      <c r="F962" s="1649">
        <v>47887</v>
      </c>
      <c r="G962" s="1649">
        <v>0</v>
      </c>
      <c r="H962" s="1649"/>
      <c r="I962" s="1649">
        <v>0</v>
      </c>
      <c r="J962" s="1649">
        <v>0</v>
      </c>
      <c r="K962" s="628" t="s">
        <v>1593</v>
      </c>
      <c r="L962" s="511" t="s">
        <v>974</v>
      </c>
      <c r="M962" s="511">
        <v>92</v>
      </c>
      <c r="N962" s="2083" t="s">
        <v>1594</v>
      </c>
      <c r="O962" s="2084"/>
      <c r="P962" s="2084"/>
      <c r="Q962" s="2085"/>
    </row>
    <row r="963" spans="1:17" ht="30" x14ac:dyDescent="0.25">
      <c r="A963" s="897"/>
      <c r="B963" s="1745"/>
      <c r="C963" s="1745"/>
      <c r="D963" s="1745"/>
      <c r="E963" s="1808"/>
      <c r="F963" s="2033"/>
      <c r="G963" s="2033"/>
      <c r="H963" s="2033"/>
      <c r="I963" s="2033"/>
      <c r="J963" s="2033"/>
      <c r="K963" s="628" t="s">
        <v>1595</v>
      </c>
      <c r="L963" s="511" t="s">
        <v>974</v>
      </c>
      <c r="M963" s="511">
        <v>100564.2</v>
      </c>
      <c r="N963" s="2086"/>
      <c r="O963" s="2087"/>
      <c r="P963" s="2087"/>
      <c r="Q963" s="2088"/>
    </row>
    <row r="964" spans="1:17" ht="75" x14ac:dyDescent="0.25">
      <c r="A964" s="897"/>
      <c r="B964" s="1620"/>
      <c r="C964" s="1620"/>
      <c r="D964" s="1620"/>
      <c r="E964" s="1808"/>
      <c r="F964" s="1650"/>
      <c r="G964" s="1650"/>
      <c r="H964" s="1650"/>
      <c r="I964" s="1650"/>
      <c r="J964" s="1650"/>
      <c r="K964" s="628" t="s">
        <v>1596</v>
      </c>
      <c r="L964" s="511" t="s">
        <v>14</v>
      </c>
      <c r="M964" s="511">
        <v>50</v>
      </c>
      <c r="N964" s="2089"/>
      <c r="O964" s="2090"/>
      <c r="P964" s="2090"/>
      <c r="Q964" s="2091"/>
    </row>
    <row r="965" spans="1:17" ht="30" x14ac:dyDescent="0.25">
      <c r="A965" s="897"/>
      <c r="B965" s="413"/>
      <c r="C965" s="413" t="s">
        <v>79</v>
      </c>
      <c r="D965" s="413"/>
      <c r="E965" s="495" t="s">
        <v>1597</v>
      </c>
      <c r="F965" s="729">
        <v>10485.6</v>
      </c>
      <c r="G965" s="729">
        <v>98767</v>
      </c>
      <c r="H965" s="558">
        <v>72615</v>
      </c>
      <c r="I965" s="558">
        <v>0</v>
      </c>
      <c r="J965" s="558">
        <v>0</v>
      </c>
      <c r="K965" s="628" t="s">
        <v>1598</v>
      </c>
      <c r="L965" s="511">
        <v>0</v>
      </c>
      <c r="M965" s="511">
        <v>0</v>
      </c>
      <c r="N965" s="557">
        <v>0</v>
      </c>
      <c r="O965" s="557">
        <v>0</v>
      </c>
      <c r="P965" s="557">
        <v>0</v>
      </c>
      <c r="Q965" s="557">
        <v>0</v>
      </c>
    </row>
    <row r="966" spans="1:17" ht="30" x14ac:dyDescent="0.25">
      <c r="A966" s="897"/>
      <c r="B966" s="1619"/>
      <c r="C966" s="1619" t="s">
        <v>80</v>
      </c>
      <c r="D966" s="1619"/>
      <c r="E966" s="1611" t="s">
        <v>1599</v>
      </c>
      <c r="F966" s="1649">
        <v>8059.4</v>
      </c>
      <c r="G966" s="1649">
        <v>9352.2999999999993</v>
      </c>
      <c r="H966" s="1649"/>
      <c r="I966" s="1649">
        <v>9285.7000000000007</v>
      </c>
      <c r="J966" s="1649">
        <v>9285.7000000000007</v>
      </c>
      <c r="K966" s="628" t="s">
        <v>1600</v>
      </c>
      <c r="L966" s="511" t="s">
        <v>1601</v>
      </c>
      <c r="M966" s="511">
        <v>235899</v>
      </c>
      <c r="N966" s="557">
        <v>15000</v>
      </c>
      <c r="O966" s="557">
        <v>20000</v>
      </c>
      <c r="P966" s="557">
        <v>80000</v>
      </c>
      <c r="Q966" s="557">
        <v>140000</v>
      </c>
    </row>
    <row r="967" spans="1:17" x14ac:dyDescent="0.25">
      <c r="A967" s="897"/>
      <c r="B967" s="1745"/>
      <c r="C967" s="1745"/>
      <c r="D967" s="1745"/>
      <c r="E967" s="1612"/>
      <c r="F967" s="2033"/>
      <c r="G967" s="2033"/>
      <c r="H967" s="2033"/>
      <c r="I967" s="2033"/>
      <c r="J967" s="2033"/>
      <c r="K967" s="628" t="s">
        <v>1602</v>
      </c>
      <c r="L967" s="511" t="s">
        <v>1515</v>
      </c>
      <c r="M967" s="511">
        <v>3565</v>
      </c>
      <c r="N967" s="511">
        <v>3219.3</v>
      </c>
      <c r="O967" s="511">
        <v>3769.2</v>
      </c>
      <c r="P967" s="511">
        <v>3900</v>
      </c>
      <c r="Q967" s="511">
        <v>4017</v>
      </c>
    </row>
    <row r="968" spans="1:17" x14ac:dyDescent="0.25">
      <c r="A968" s="897"/>
      <c r="B968" s="1620"/>
      <c r="C968" s="1620"/>
      <c r="D968" s="1620"/>
      <c r="E968" s="1613"/>
      <c r="F968" s="1650"/>
      <c r="G968" s="1650"/>
      <c r="H968" s="1650"/>
      <c r="I968" s="1650"/>
      <c r="J968" s="1650"/>
      <c r="K968" s="495" t="s">
        <v>1603</v>
      </c>
      <c r="L968" s="511" t="s">
        <v>979</v>
      </c>
      <c r="M968" s="511">
        <v>1190</v>
      </c>
      <c r="N968" s="557">
        <v>800</v>
      </c>
      <c r="O968" s="557">
        <v>800</v>
      </c>
      <c r="P968" s="557">
        <v>900</v>
      </c>
      <c r="Q968" s="557">
        <v>900</v>
      </c>
    </row>
    <row r="969" spans="1:17" x14ac:dyDescent="0.25">
      <c r="A969" s="897"/>
      <c r="B969" s="619"/>
      <c r="C969" s="619" t="s">
        <v>81</v>
      </c>
      <c r="D969" s="619"/>
      <c r="E969" s="546" t="s">
        <v>1604</v>
      </c>
      <c r="F969" s="550"/>
      <c r="G969" s="550"/>
      <c r="H969" s="550">
        <f>333.4+2561.2+441.8+604.6+184+590</f>
        <v>4715</v>
      </c>
      <c r="I969" s="550"/>
      <c r="J969" s="550"/>
      <c r="K969" s="495"/>
      <c r="L969" s="511"/>
      <c r="M969" s="511"/>
      <c r="N969" s="557"/>
      <c r="O969" s="557"/>
      <c r="P969" s="557"/>
      <c r="Q969" s="557"/>
    </row>
    <row r="970" spans="1:17" ht="45" x14ac:dyDescent="0.25">
      <c r="A970" s="897"/>
      <c r="B970" s="619"/>
      <c r="C970" s="619" t="s">
        <v>82</v>
      </c>
      <c r="D970" s="619"/>
      <c r="E970" s="546" t="s">
        <v>1605</v>
      </c>
      <c r="F970" s="550"/>
      <c r="G970" s="550"/>
      <c r="H970" s="550">
        <f>2767.4+477.4+225.4+175+400</f>
        <v>4045.2000000000003</v>
      </c>
      <c r="I970" s="550"/>
      <c r="J970" s="550"/>
      <c r="K970" s="495"/>
      <c r="L970" s="511"/>
      <c r="M970" s="511"/>
      <c r="N970" s="557"/>
      <c r="O970" s="557"/>
      <c r="P970" s="557"/>
      <c r="Q970" s="557"/>
    </row>
    <row r="971" spans="1:17" ht="28.5" x14ac:dyDescent="0.25">
      <c r="A971" s="897"/>
      <c r="B971" s="428" t="s">
        <v>98</v>
      </c>
      <c r="C971" s="413"/>
      <c r="D971" s="413"/>
      <c r="E971" s="496" t="s">
        <v>1606</v>
      </c>
      <c r="F971" s="430">
        <f>F972+F976+F986+F988+F989+F990</f>
        <v>2039751.9000000001</v>
      </c>
      <c r="G971" s="430">
        <f>G972+G976+G986+G988+G989+G990</f>
        <v>2046429.4000000001</v>
      </c>
      <c r="H971" s="430">
        <f>H972+H976+H986+H988+H989+H990</f>
        <v>0</v>
      </c>
      <c r="I971" s="430">
        <f>I972+I976+I986+I988+I989+I990</f>
        <v>0</v>
      </c>
      <c r="J971" s="430">
        <f>J972+J976+J986+J988+J989+J990</f>
        <v>0</v>
      </c>
      <c r="K971" s="628"/>
      <c r="L971" s="511"/>
      <c r="M971" s="511"/>
      <c r="N971" s="511"/>
      <c r="O971" s="511"/>
      <c r="P971" s="511"/>
      <c r="Q971" s="511"/>
    </row>
    <row r="972" spans="1:17" x14ac:dyDescent="0.25">
      <c r="A972" s="897"/>
      <c r="B972" s="1619"/>
      <c r="C972" s="1619" t="s">
        <v>2</v>
      </c>
      <c r="D972" s="1619"/>
      <c r="E972" s="2080" t="s">
        <v>1607</v>
      </c>
      <c r="F972" s="2077" t="s">
        <v>1608</v>
      </c>
      <c r="G972" s="2077" t="s">
        <v>1609</v>
      </c>
      <c r="H972" s="2077"/>
      <c r="I972" s="2077"/>
      <c r="J972" s="2077"/>
      <c r="K972" s="628" t="s">
        <v>1610</v>
      </c>
      <c r="L972" s="511" t="s">
        <v>1489</v>
      </c>
      <c r="M972" s="511"/>
      <c r="N972" s="511"/>
      <c r="O972" s="511"/>
      <c r="P972" s="511"/>
      <c r="Q972" s="511"/>
    </row>
    <row r="973" spans="1:17" ht="30" x14ac:dyDescent="0.25">
      <c r="A973" s="897"/>
      <c r="B973" s="1745"/>
      <c r="C973" s="1745"/>
      <c r="D973" s="1745"/>
      <c r="E973" s="2081"/>
      <c r="F973" s="2079"/>
      <c r="G973" s="2079"/>
      <c r="H973" s="2079"/>
      <c r="I973" s="2079"/>
      <c r="J973" s="2079"/>
      <c r="K973" s="628" t="s">
        <v>1611</v>
      </c>
      <c r="L973" s="511"/>
      <c r="M973" s="511"/>
      <c r="N973" s="511"/>
      <c r="O973" s="511"/>
      <c r="P973" s="511"/>
      <c r="Q973" s="511"/>
    </row>
    <row r="974" spans="1:17" ht="30" x14ac:dyDescent="0.25">
      <c r="A974" s="897"/>
      <c r="B974" s="1745"/>
      <c r="C974" s="1745"/>
      <c r="D974" s="1745"/>
      <c r="E974" s="2081"/>
      <c r="F974" s="2079"/>
      <c r="G974" s="2079"/>
      <c r="H974" s="2079"/>
      <c r="I974" s="2079"/>
      <c r="J974" s="2079"/>
      <c r="K974" s="628" t="s">
        <v>1612</v>
      </c>
      <c r="L974" s="511" t="s">
        <v>14</v>
      </c>
      <c r="M974" s="511"/>
      <c r="N974" s="511"/>
      <c r="O974" s="511"/>
      <c r="P974" s="511"/>
      <c r="Q974" s="511"/>
    </row>
    <row r="975" spans="1:17" ht="45" x14ac:dyDescent="0.25">
      <c r="A975" s="897"/>
      <c r="B975" s="1620"/>
      <c r="C975" s="1620"/>
      <c r="D975" s="1620"/>
      <c r="E975" s="2082"/>
      <c r="F975" s="2078"/>
      <c r="G975" s="2078"/>
      <c r="H975" s="2078"/>
      <c r="I975" s="2078"/>
      <c r="J975" s="2078"/>
      <c r="K975" s="628" t="s">
        <v>1613</v>
      </c>
      <c r="L975" s="511" t="s">
        <v>14</v>
      </c>
      <c r="M975" s="540"/>
      <c r="N975" s="540"/>
      <c r="O975" s="540"/>
      <c r="P975" s="540"/>
      <c r="Q975" s="540"/>
    </row>
    <row r="976" spans="1:17" ht="30" x14ac:dyDescent="0.25">
      <c r="A976" s="897"/>
      <c r="B976" s="1619"/>
      <c r="C976" s="1619" t="s">
        <v>3</v>
      </c>
      <c r="D976" s="1617"/>
      <c r="E976" s="1611" t="s">
        <v>1614</v>
      </c>
      <c r="F976" s="2077">
        <v>1352951</v>
      </c>
      <c r="G976" s="1649">
        <v>1361793.3</v>
      </c>
      <c r="H976" s="1649"/>
      <c r="I976" s="1649"/>
      <c r="J976" s="1649"/>
      <c r="K976" s="916" t="s">
        <v>1615</v>
      </c>
      <c r="L976" s="511" t="s">
        <v>1489</v>
      </c>
      <c r="M976" s="540"/>
      <c r="N976" s="540"/>
      <c r="O976" s="540"/>
      <c r="P976" s="540"/>
      <c r="Q976" s="540"/>
    </row>
    <row r="977" spans="1:17" ht="30" x14ac:dyDescent="0.25">
      <c r="A977" s="897"/>
      <c r="B977" s="1745"/>
      <c r="C977" s="1745"/>
      <c r="D977" s="1810"/>
      <c r="E977" s="1612"/>
      <c r="F977" s="2079"/>
      <c r="G977" s="2033"/>
      <c r="H977" s="2033"/>
      <c r="I977" s="2033"/>
      <c r="J977" s="2033"/>
      <c r="K977" s="628" t="s">
        <v>1616</v>
      </c>
      <c r="L977" s="511" t="s">
        <v>1617</v>
      </c>
      <c r="M977" s="540"/>
      <c r="N977" s="540"/>
      <c r="O977" s="540"/>
      <c r="P977" s="540"/>
      <c r="Q977" s="20"/>
    </row>
    <row r="978" spans="1:17" ht="30" x14ac:dyDescent="0.25">
      <c r="A978" s="897"/>
      <c r="B978" s="1745"/>
      <c r="C978" s="1745"/>
      <c r="D978" s="1810"/>
      <c r="E978" s="1612"/>
      <c r="F978" s="2079"/>
      <c r="G978" s="2033"/>
      <c r="H978" s="2033"/>
      <c r="I978" s="2033"/>
      <c r="J978" s="2033"/>
      <c r="K978" s="628" t="s">
        <v>1618</v>
      </c>
      <c r="L978" s="511" t="s">
        <v>1619</v>
      </c>
      <c r="M978" s="540"/>
      <c r="N978" s="540"/>
      <c r="O978" s="540"/>
      <c r="P978" s="540"/>
      <c r="Q978" s="540"/>
    </row>
    <row r="979" spans="1:17" ht="30" x14ac:dyDescent="0.25">
      <c r="A979" s="897"/>
      <c r="B979" s="1745"/>
      <c r="C979" s="1745"/>
      <c r="D979" s="1810"/>
      <c r="E979" s="1612"/>
      <c r="F979" s="2079"/>
      <c r="G979" s="2033"/>
      <c r="H979" s="2033"/>
      <c r="I979" s="2033"/>
      <c r="J979" s="2033"/>
      <c r="K979" s="628" t="s">
        <v>1620</v>
      </c>
      <c r="L979" s="511" t="s">
        <v>979</v>
      </c>
      <c r="M979" s="540"/>
      <c r="N979" s="540"/>
      <c r="O979" s="540"/>
      <c r="P979" s="540"/>
      <c r="Q979" s="540"/>
    </row>
    <row r="980" spans="1:17" ht="30" x14ac:dyDescent="0.25">
      <c r="A980" s="897"/>
      <c r="B980" s="1745"/>
      <c r="C980" s="1745"/>
      <c r="D980" s="1810"/>
      <c r="E980" s="1612"/>
      <c r="F980" s="2079"/>
      <c r="G980" s="2033"/>
      <c r="H980" s="2033"/>
      <c r="I980" s="2033"/>
      <c r="J980" s="2033"/>
      <c r="K980" s="628" t="s">
        <v>1621</v>
      </c>
      <c r="L980" s="511" t="s">
        <v>979</v>
      </c>
      <c r="M980" s="540"/>
      <c r="N980" s="540"/>
      <c r="O980" s="540"/>
      <c r="P980" s="540"/>
      <c r="Q980" s="540"/>
    </row>
    <row r="981" spans="1:17" x14ac:dyDescent="0.25">
      <c r="A981" s="897"/>
      <c r="B981" s="1745"/>
      <c r="C981" s="1745"/>
      <c r="D981" s="1810"/>
      <c r="E981" s="1612"/>
      <c r="F981" s="2079"/>
      <c r="G981" s="2033"/>
      <c r="H981" s="2033"/>
      <c r="I981" s="2033"/>
      <c r="J981" s="2033"/>
      <c r="K981" s="628" t="s">
        <v>1622</v>
      </c>
      <c r="L981" s="511" t="s">
        <v>1619</v>
      </c>
      <c r="M981" s="540"/>
      <c r="N981" s="540"/>
      <c r="O981" s="540"/>
      <c r="P981" s="540"/>
      <c r="Q981" s="540"/>
    </row>
    <row r="982" spans="1:17" ht="30" x14ac:dyDescent="0.25">
      <c r="A982" s="897"/>
      <c r="B982" s="1745"/>
      <c r="C982" s="1745"/>
      <c r="D982" s="1810"/>
      <c r="E982" s="1612"/>
      <c r="F982" s="2079"/>
      <c r="G982" s="2033"/>
      <c r="H982" s="2033"/>
      <c r="I982" s="2033"/>
      <c r="J982" s="2033"/>
      <c r="K982" s="628" t="s">
        <v>1623</v>
      </c>
      <c r="L982" s="511" t="s">
        <v>1619</v>
      </c>
      <c r="M982" s="540"/>
      <c r="N982" s="540"/>
      <c r="O982" s="540"/>
      <c r="P982" s="540"/>
      <c r="Q982" s="20"/>
    </row>
    <row r="983" spans="1:17" x14ac:dyDescent="0.25">
      <c r="A983" s="897"/>
      <c r="B983" s="1745"/>
      <c r="C983" s="1745"/>
      <c r="D983" s="1810"/>
      <c r="E983" s="1612"/>
      <c r="F983" s="2079"/>
      <c r="G983" s="2033"/>
      <c r="H983" s="2033"/>
      <c r="I983" s="2033"/>
      <c r="J983" s="2033"/>
      <c r="K983" s="628" t="s">
        <v>1624</v>
      </c>
      <c r="L983" s="511" t="s">
        <v>1625</v>
      </c>
      <c r="M983" s="540"/>
      <c r="N983" s="540"/>
      <c r="O983" s="540"/>
      <c r="P983" s="540"/>
      <c r="Q983" s="540"/>
    </row>
    <row r="984" spans="1:17" ht="30" x14ac:dyDescent="0.25">
      <c r="A984" s="897"/>
      <c r="B984" s="1745"/>
      <c r="C984" s="1745"/>
      <c r="D984" s="1810"/>
      <c r="E984" s="1612"/>
      <c r="F984" s="2079"/>
      <c r="G984" s="2033"/>
      <c r="H984" s="2033"/>
      <c r="I984" s="2033"/>
      <c r="J984" s="2033"/>
      <c r="K984" s="628" t="s">
        <v>1626</v>
      </c>
      <c r="L984" s="511" t="s">
        <v>1489</v>
      </c>
      <c r="M984" s="540"/>
      <c r="N984" s="540"/>
      <c r="O984" s="540"/>
      <c r="P984" s="540"/>
      <c r="Q984" s="540"/>
    </row>
    <row r="985" spans="1:17" ht="30" x14ac:dyDescent="0.25">
      <c r="A985" s="897"/>
      <c r="B985" s="1745"/>
      <c r="C985" s="1745"/>
      <c r="D985" s="1810"/>
      <c r="E985" s="1612"/>
      <c r="F985" s="2079"/>
      <c r="G985" s="2033"/>
      <c r="H985" s="2033"/>
      <c r="I985" s="2033"/>
      <c r="J985" s="2033"/>
      <c r="K985" s="628" t="s">
        <v>1627</v>
      </c>
      <c r="L985" s="511" t="s">
        <v>979</v>
      </c>
      <c r="M985" s="511"/>
      <c r="N985" s="511"/>
      <c r="O985" s="511"/>
      <c r="P985" s="511"/>
      <c r="Q985" s="511"/>
    </row>
    <row r="986" spans="1:17" ht="30" x14ac:dyDescent="0.25">
      <c r="A986" s="897"/>
      <c r="B986" s="1745"/>
      <c r="C986" s="1745"/>
      <c r="D986" s="1810"/>
      <c r="E986" s="1612"/>
      <c r="F986" s="2079"/>
      <c r="G986" s="2033"/>
      <c r="H986" s="2033"/>
      <c r="I986" s="2033"/>
      <c r="J986" s="2033"/>
      <c r="K986" s="628" t="s">
        <v>1628</v>
      </c>
      <c r="L986" s="511" t="s">
        <v>979</v>
      </c>
      <c r="M986" s="511"/>
      <c r="N986" s="511"/>
      <c r="O986" s="511"/>
      <c r="P986" s="511"/>
      <c r="Q986" s="511"/>
    </row>
    <row r="987" spans="1:17" x14ac:dyDescent="0.25">
      <c r="A987" s="897"/>
      <c r="B987" s="1620"/>
      <c r="C987" s="1620"/>
      <c r="D987" s="1618"/>
      <c r="E987" s="1613"/>
      <c r="F987" s="2078"/>
      <c r="G987" s="1650"/>
      <c r="H987" s="1650"/>
      <c r="I987" s="1650"/>
      <c r="J987" s="1650"/>
      <c r="K987" s="628" t="s">
        <v>1629</v>
      </c>
      <c r="L987" s="511" t="s">
        <v>1630</v>
      </c>
      <c r="M987" s="511"/>
      <c r="N987" s="511"/>
      <c r="O987" s="511"/>
      <c r="P987" s="511"/>
      <c r="Q987" s="511"/>
    </row>
    <row r="988" spans="1:17" ht="60" x14ac:dyDescent="0.25">
      <c r="A988" s="897"/>
      <c r="B988" s="412"/>
      <c r="C988" s="412" t="s">
        <v>4</v>
      </c>
      <c r="D988" s="511"/>
      <c r="E988" s="495" t="s">
        <v>1631</v>
      </c>
      <c r="F988" s="729">
        <v>361422.2</v>
      </c>
      <c r="G988" s="729">
        <v>453700</v>
      </c>
      <c r="H988" s="729"/>
      <c r="I988" s="729"/>
      <c r="J988" s="729"/>
      <c r="K988" s="628" t="s">
        <v>1632</v>
      </c>
      <c r="L988" s="511" t="s">
        <v>1633</v>
      </c>
      <c r="M988" s="416"/>
      <c r="N988" s="416"/>
      <c r="O988" s="416"/>
      <c r="P988" s="416"/>
      <c r="Q988" s="416"/>
    </row>
    <row r="989" spans="1:17" ht="45" x14ac:dyDescent="0.25">
      <c r="A989" s="897"/>
      <c r="B989" s="412"/>
      <c r="C989" s="412" t="s">
        <v>5</v>
      </c>
      <c r="D989" s="511"/>
      <c r="E989" s="495" t="s">
        <v>1634</v>
      </c>
      <c r="F989" s="729">
        <v>186679.3</v>
      </c>
      <c r="G989" s="729">
        <v>0</v>
      </c>
      <c r="H989" s="729"/>
      <c r="I989" s="729"/>
      <c r="J989" s="729"/>
      <c r="K989" s="628" t="s">
        <v>1635</v>
      </c>
      <c r="L989" s="511">
        <v>0</v>
      </c>
      <c r="M989" s="1614"/>
      <c r="N989" s="1615"/>
      <c r="O989" s="1615"/>
      <c r="P989" s="1615"/>
      <c r="Q989" s="2076"/>
    </row>
    <row r="990" spans="1:17" x14ac:dyDescent="0.25">
      <c r="A990" s="897"/>
      <c r="B990" s="1619"/>
      <c r="C990" s="1619" t="s">
        <v>49</v>
      </c>
      <c r="D990" s="1617"/>
      <c r="E990" s="1611" t="s">
        <v>1636</v>
      </c>
      <c r="F990" s="2077">
        <v>122579.8</v>
      </c>
      <c r="G990" s="1649">
        <v>210845</v>
      </c>
      <c r="H990" s="1649"/>
      <c r="I990" s="1649"/>
      <c r="J990" s="1649"/>
      <c r="K990" s="589" t="s">
        <v>1637</v>
      </c>
      <c r="L990" s="540" t="s">
        <v>1638</v>
      </c>
      <c r="M990" s="41"/>
      <c r="N990" s="917"/>
      <c r="O990" s="917"/>
      <c r="P990" s="416"/>
      <c r="Q990" s="416"/>
    </row>
    <row r="991" spans="1:17" ht="45" x14ac:dyDescent="0.25">
      <c r="A991" s="897"/>
      <c r="B991" s="1620"/>
      <c r="C991" s="1620"/>
      <c r="D991" s="1618"/>
      <c r="E991" s="1613"/>
      <c r="F991" s="2078"/>
      <c r="G991" s="1650"/>
      <c r="H991" s="1650"/>
      <c r="I991" s="1650"/>
      <c r="J991" s="1650"/>
      <c r="K991" s="916" t="s">
        <v>1639</v>
      </c>
      <c r="L991" s="617" t="s">
        <v>1489</v>
      </c>
      <c r="M991" s="918"/>
      <c r="N991" s="917"/>
      <c r="O991" s="917"/>
      <c r="P991" s="917"/>
      <c r="Q991" s="917"/>
    </row>
    <row r="992" spans="1:17" x14ac:dyDescent="0.25">
      <c r="A992" s="919"/>
      <c r="B992" s="1564" t="s">
        <v>1427</v>
      </c>
      <c r="C992" s="1564"/>
      <c r="D992" s="1564"/>
      <c r="E992" s="1564"/>
      <c r="F992" s="207">
        <f>F863+F893+F971</f>
        <v>2965537.7</v>
      </c>
      <c r="G992" s="207">
        <f>G863+G893+G971</f>
        <v>3151065</v>
      </c>
      <c r="H992" s="207">
        <f>H863+H893</f>
        <v>978251.99999999988</v>
      </c>
      <c r="I992" s="207">
        <f>I863+I893+I971</f>
        <v>746629.95</v>
      </c>
      <c r="J992" s="207">
        <f>J863+J893+J971</f>
        <v>658400.66</v>
      </c>
      <c r="K992" s="920"/>
      <c r="L992" s="2068"/>
      <c r="M992" s="2068"/>
      <c r="N992" s="2068"/>
      <c r="O992" s="2068"/>
      <c r="P992" s="2068"/>
      <c r="Q992" s="2068"/>
    </row>
    <row r="993" spans="1:17" x14ac:dyDescent="0.25">
      <c r="A993" s="921"/>
      <c r="B993" s="1589" t="s">
        <v>1640</v>
      </c>
      <c r="C993" s="1590"/>
      <c r="D993" s="1590"/>
      <c r="E993" s="1590"/>
      <c r="F993" s="1590"/>
      <c r="G993" s="1590"/>
      <c r="H993" s="1590"/>
      <c r="I993" s="1590"/>
      <c r="J993" s="1590"/>
      <c r="K993" s="1590"/>
      <c r="L993" s="1590"/>
      <c r="M993" s="1590"/>
      <c r="N993" s="1590"/>
      <c r="O993" s="1590"/>
      <c r="P993" s="1590"/>
      <c r="Q993" s="1590"/>
    </row>
    <row r="994" spans="1:17" x14ac:dyDescent="0.25">
      <c r="A994" s="394"/>
      <c r="B994" s="2064" t="s">
        <v>102</v>
      </c>
      <c r="C994" s="1899"/>
      <c r="D994" s="1617"/>
      <c r="E994" s="2070" t="s">
        <v>1641</v>
      </c>
      <c r="F994" s="2073">
        <f>SUM(F998:F1004)</f>
        <v>0</v>
      </c>
      <c r="G994" s="2073">
        <f>SUM(G998:G1004)</f>
        <v>0</v>
      </c>
      <c r="H994" s="2073">
        <f>SUM(H998:H1004)</f>
        <v>1389211.1</v>
      </c>
      <c r="I994" s="2073">
        <f>SUM(I998:I1004)</f>
        <v>1297417.3999999999</v>
      </c>
      <c r="J994" s="2073">
        <f>SUM(J998:J1004)</f>
        <v>1299946.3999999999</v>
      </c>
      <c r="K994" s="562" t="s">
        <v>1642</v>
      </c>
      <c r="L994" s="511" t="s">
        <v>1489</v>
      </c>
      <c r="M994" s="540">
        <v>1024</v>
      </c>
      <c r="N994" s="540">
        <f>M994</f>
        <v>1024</v>
      </c>
      <c r="O994" s="540">
        <f t="shared" ref="O994:Q994" si="97">N994</f>
        <v>1024</v>
      </c>
      <c r="P994" s="540">
        <f t="shared" si="97"/>
        <v>1024</v>
      </c>
      <c r="Q994" s="540">
        <f t="shared" si="97"/>
        <v>1024</v>
      </c>
    </row>
    <row r="995" spans="1:17" ht="195" x14ac:dyDescent="0.25">
      <c r="A995" s="394"/>
      <c r="B995" s="2065"/>
      <c r="C995" s="2069"/>
      <c r="D995" s="1810"/>
      <c r="E995" s="2071"/>
      <c r="F995" s="2074"/>
      <c r="G995" s="2074"/>
      <c r="H995" s="2074"/>
      <c r="I995" s="2074"/>
      <c r="J995" s="2074"/>
      <c r="K995" s="628" t="s">
        <v>1643</v>
      </c>
      <c r="L995" s="511" t="s">
        <v>1489</v>
      </c>
      <c r="M995" s="540" t="s">
        <v>1644</v>
      </c>
      <c r="N995" s="540" t="s">
        <v>1645</v>
      </c>
      <c r="O995" s="540" t="s">
        <v>1646</v>
      </c>
      <c r="P995" s="540" t="s">
        <v>1647</v>
      </c>
      <c r="Q995" s="540" t="s">
        <v>1648</v>
      </c>
    </row>
    <row r="996" spans="1:17" ht="30" x14ac:dyDescent="0.25">
      <c r="A996" s="394"/>
      <c r="B996" s="2065"/>
      <c r="C996" s="2069"/>
      <c r="D996" s="1810"/>
      <c r="E996" s="2071"/>
      <c r="F996" s="2074"/>
      <c r="G996" s="2074"/>
      <c r="H996" s="2074"/>
      <c r="I996" s="2074"/>
      <c r="J996" s="2074"/>
      <c r="K996" s="628" t="s">
        <v>1649</v>
      </c>
      <c r="L996" s="511" t="s">
        <v>14</v>
      </c>
      <c r="M996" s="268">
        <v>27</v>
      </c>
      <c r="N996" s="268">
        <v>27</v>
      </c>
      <c r="O996" s="268">
        <v>27</v>
      </c>
      <c r="P996" s="268">
        <v>27</v>
      </c>
      <c r="Q996" s="268">
        <v>27</v>
      </c>
    </row>
    <row r="997" spans="1:17" ht="75" x14ac:dyDescent="0.25">
      <c r="A997" s="394"/>
      <c r="B997" s="2066"/>
      <c r="C997" s="1900"/>
      <c r="D997" s="1618"/>
      <c r="E997" s="2072"/>
      <c r="F997" s="2075"/>
      <c r="G997" s="2075"/>
      <c r="H997" s="2075"/>
      <c r="I997" s="2075"/>
      <c r="J997" s="2075"/>
      <c r="K997" s="589" t="s">
        <v>1650</v>
      </c>
      <c r="L997" s="511" t="s">
        <v>14</v>
      </c>
      <c r="M997" s="540" t="s">
        <v>1651</v>
      </c>
      <c r="N997" s="540" t="s">
        <v>1651</v>
      </c>
      <c r="O997" s="540" t="s">
        <v>1651</v>
      </c>
      <c r="P997" s="540" t="s">
        <v>1651</v>
      </c>
      <c r="Q997" s="540" t="s">
        <v>1651</v>
      </c>
    </row>
    <row r="998" spans="1:17" x14ac:dyDescent="0.25">
      <c r="A998" s="394"/>
      <c r="B998" s="922"/>
      <c r="C998" s="768" t="s">
        <v>1652</v>
      </c>
      <c r="D998" s="770"/>
      <c r="E998" s="628" t="s">
        <v>1653</v>
      </c>
      <c r="F998" s="556"/>
      <c r="G998" s="550"/>
      <c r="H998" s="556">
        <v>24320.799999999999</v>
      </c>
      <c r="I998" s="556"/>
      <c r="J998" s="556"/>
      <c r="K998" s="589"/>
      <c r="L998" s="540"/>
      <c r="M998" s="540"/>
      <c r="N998" s="540"/>
      <c r="O998" s="540"/>
      <c r="P998" s="540"/>
      <c r="Q998" s="540"/>
    </row>
    <row r="999" spans="1:17" ht="30" x14ac:dyDescent="0.25">
      <c r="A999" s="394"/>
      <c r="B999" s="2064"/>
      <c r="C999" s="1848" t="s">
        <v>1654</v>
      </c>
      <c r="D999" s="1848"/>
      <c r="E999" s="1850" t="s">
        <v>1655</v>
      </c>
      <c r="F999" s="1649"/>
      <c r="G999" s="1649"/>
      <c r="H999" s="1649">
        <f>1259292.8+105597.5</f>
        <v>1364890.3</v>
      </c>
      <c r="I999" s="1649">
        <v>1297417.3999999999</v>
      </c>
      <c r="J999" s="1649">
        <v>1299946.3999999999</v>
      </c>
      <c r="K999" s="628" t="s">
        <v>1616</v>
      </c>
      <c r="L999" s="540" t="s">
        <v>1638</v>
      </c>
      <c r="M999" s="923"/>
      <c r="N999" s="923"/>
      <c r="O999" s="923"/>
      <c r="P999" s="923"/>
      <c r="Q999" s="923"/>
    </row>
    <row r="1000" spans="1:17" ht="30" x14ac:dyDescent="0.25">
      <c r="A1000" s="394"/>
      <c r="B1000" s="2065"/>
      <c r="C1000" s="2067"/>
      <c r="D1000" s="2067"/>
      <c r="E1000" s="1978"/>
      <c r="F1000" s="2033"/>
      <c r="G1000" s="2033"/>
      <c r="H1000" s="2033"/>
      <c r="I1000" s="2033"/>
      <c r="J1000" s="2033"/>
      <c r="K1000" s="628" t="s">
        <v>1623</v>
      </c>
      <c r="L1000" s="540" t="s">
        <v>1619</v>
      </c>
      <c r="M1000" s="923"/>
      <c r="N1000" s="923"/>
      <c r="O1000" s="923"/>
      <c r="P1000" s="923"/>
      <c r="Q1000" s="923"/>
    </row>
    <row r="1001" spans="1:17" ht="30" x14ac:dyDescent="0.25">
      <c r="A1001" s="394"/>
      <c r="B1001" s="2065"/>
      <c r="C1001" s="2067"/>
      <c r="D1001" s="2067"/>
      <c r="E1001" s="1978"/>
      <c r="F1001" s="2033"/>
      <c r="G1001" s="2033"/>
      <c r="H1001" s="2033"/>
      <c r="I1001" s="2033"/>
      <c r="J1001" s="2033"/>
      <c r="K1001" s="628" t="s">
        <v>1620</v>
      </c>
      <c r="L1001" s="540" t="s">
        <v>979</v>
      </c>
      <c r="M1001" s="923"/>
      <c r="N1001" s="923"/>
      <c r="O1001" s="923"/>
      <c r="P1001" s="923"/>
      <c r="Q1001" s="923"/>
    </row>
    <row r="1002" spans="1:17" ht="30" x14ac:dyDescent="0.25">
      <c r="A1002" s="394"/>
      <c r="B1002" s="2065"/>
      <c r="C1002" s="2067"/>
      <c r="D1002" s="2067"/>
      <c r="E1002" s="1978"/>
      <c r="F1002" s="2033"/>
      <c r="G1002" s="2033"/>
      <c r="H1002" s="2033"/>
      <c r="I1002" s="2033"/>
      <c r="J1002" s="2033"/>
      <c r="K1002" s="628" t="s">
        <v>1627</v>
      </c>
      <c r="L1002" s="540" t="s">
        <v>979</v>
      </c>
      <c r="M1002" s="923"/>
      <c r="N1002" s="923"/>
      <c r="O1002" s="923"/>
      <c r="P1002" s="923"/>
      <c r="Q1002" s="923"/>
    </row>
    <row r="1003" spans="1:17" ht="30" x14ac:dyDescent="0.25">
      <c r="A1003" s="394"/>
      <c r="B1003" s="2065"/>
      <c r="C1003" s="2067"/>
      <c r="D1003" s="2067"/>
      <c r="E1003" s="1978"/>
      <c r="F1003" s="2033"/>
      <c r="G1003" s="2033"/>
      <c r="H1003" s="2033"/>
      <c r="I1003" s="2033"/>
      <c r="J1003" s="2033"/>
      <c r="K1003" s="589" t="s">
        <v>1628</v>
      </c>
      <c r="L1003" s="540" t="s">
        <v>979</v>
      </c>
      <c r="M1003" s="923"/>
      <c r="N1003" s="923"/>
      <c r="O1003" s="923"/>
      <c r="P1003" s="923"/>
      <c r="Q1003" s="923"/>
    </row>
    <row r="1004" spans="1:17" x14ac:dyDescent="0.25">
      <c r="A1004" s="394"/>
      <c r="B1004" s="2066"/>
      <c r="C1004" s="1849"/>
      <c r="D1004" s="1849"/>
      <c r="E1004" s="1851"/>
      <c r="F1004" s="1650"/>
      <c r="G1004" s="1650"/>
      <c r="H1004" s="1650"/>
      <c r="I1004" s="1650"/>
      <c r="J1004" s="1650"/>
      <c r="K1004" s="628" t="s">
        <v>1629</v>
      </c>
      <c r="L1004" s="540" t="s">
        <v>1656</v>
      </c>
      <c r="M1004" s="923"/>
      <c r="N1004" s="923"/>
      <c r="O1004" s="923"/>
      <c r="P1004" s="923"/>
      <c r="Q1004" s="923"/>
    </row>
    <row r="1005" spans="1:17" ht="28.5" x14ac:dyDescent="0.25">
      <c r="A1005" s="394"/>
      <c r="B1005" s="439" t="s">
        <v>91</v>
      </c>
      <c r="C1005" s="32"/>
      <c r="D1005" s="32"/>
      <c r="E1005" s="924" t="s">
        <v>1657</v>
      </c>
      <c r="F1005" s="550"/>
      <c r="G1005" s="729"/>
      <c r="H1005" s="420">
        <f>H1006</f>
        <v>0</v>
      </c>
      <c r="I1005" s="729"/>
      <c r="J1005" s="729"/>
      <c r="K1005" s="589"/>
      <c r="L1005" s="540"/>
      <c r="M1005" s="925"/>
      <c r="N1005" s="925"/>
      <c r="O1005" s="925"/>
      <c r="P1005" s="925"/>
      <c r="Q1005" s="925"/>
    </row>
    <row r="1006" spans="1:17" ht="45" x14ac:dyDescent="0.25">
      <c r="A1006" s="394"/>
      <c r="B1006" s="922"/>
      <c r="C1006" s="655" t="s">
        <v>2</v>
      </c>
      <c r="D1006" s="655"/>
      <c r="E1006" s="562" t="s">
        <v>1658</v>
      </c>
      <c r="F1006" s="550"/>
      <c r="G1006" s="729"/>
      <c r="H1006" s="729"/>
      <c r="I1006" s="729"/>
      <c r="J1006" s="729"/>
      <c r="K1006" s="589"/>
      <c r="L1006" s="540"/>
      <c r="M1006" s="925"/>
      <c r="N1006" s="925"/>
      <c r="O1006" s="925"/>
      <c r="P1006" s="925"/>
      <c r="Q1006" s="925"/>
    </row>
    <row r="1007" spans="1:17" ht="28.5" x14ac:dyDescent="0.25">
      <c r="A1007" s="394"/>
      <c r="B1007" s="926" t="s">
        <v>98</v>
      </c>
      <c r="C1007" s="486"/>
      <c r="D1007" s="927"/>
      <c r="E1007" s="928" t="s">
        <v>1659</v>
      </c>
      <c r="F1007" s="542">
        <f>SUM(F1008:F1011)</f>
        <v>0</v>
      </c>
      <c r="G1007" s="542">
        <f>SUM(G1008:G1011)</f>
        <v>0</v>
      </c>
      <c r="H1007" s="542">
        <f>H1008+H1009+H1010+H1011+H1012</f>
        <v>4899082.0999999996</v>
      </c>
      <c r="I1007" s="542">
        <f>SUM(I1008:I1011)</f>
        <v>1116985.8</v>
      </c>
      <c r="J1007" s="542">
        <f>SUM(J1008:J1011)</f>
        <v>304650.76</v>
      </c>
      <c r="K1007" s="589"/>
      <c r="L1007" s="540"/>
      <c r="M1007" s="925"/>
      <c r="N1007" s="925"/>
      <c r="O1007" s="925"/>
      <c r="P1007" s="925"/>
      <c r="Q1007" s="925"/>
    </row>
    <row r="1008" spans="1:17" x14ac:dyDescent="0.25">
      <c r="A1008" s="394"/>
      <c r="B1008" s="922"/>
      <c r="C1008" s="655" t="s">
        <v>2</v>
      </c>
      <c r="D1008" s="655"/>
      <c r="E1008" s="497" t="s">
        <v>1660</v>
      </c>
      <c r="F1008" s="550"/>
      <c r="G1008" s="729"/>
      <c r="H1008" s="729">
        <f>2802968.5+1196263.6</f>
        <v>3999232.1</v>
      </c>
      <c r="I1008" s="729"/>
      <c r="J1008" s="729"/>
      <c r="K1008" s="589"/>
      <c r="L1008" s="540"/>
      <c r="M1008" s="925"/>
      <c r="N1008" s="925"/>
      <c r="O1008" s="925"/>
      <c r="P1008" s="925"/>
      <c r="Q1008" s="925"/>
    </row>
    <row r="1009" spans="1:17" ht="30" x14ac:dyDescent="0.25">
      <c r="A1009" s="394"/>
      <c r="B1009" s="922"/>
      <c r="C1009" s="768" t="s">
        <v>3</v>
      </c>
      <c r="D1009" s="768"/>
      <c r="E1009" s="495" t="s">
        <v>1661</v>
      </c>
      <c r="F1009" s="729"/>
      <c r="G1009" s="729"/>
      <c r="H1009" s="729"/>
      <c r="I1009" s="729"/>
      <c r="J1009" s="729"/>
      <c r="K1009" s="1850" t="s">
        <v>1662</v>
      </c>
      <c r="L1009" s="1834" t="s">
        <v>1633</v>
      </c>
      <c r="M1009" s="2058"/>
      <c r="N1009" s="2058"/>
      <c r="O1009" s="2058"/>
      <c r="P1009" s="2058"/>
      <c r="Q1009" s="2058"/>
    </row>
    <row r="1010" spans="1:17" ht="45" x14ac:dyDescent="0.25">
      <c r="A1010" s="394"/>
      <c r="B1010" s="922"/>
      <c r="C1010" s="655" t="s">
        <v>4</v>
      </c>
      <c r="D1010" s="655"/>
      <c r="E1010" s="495" t="s">
        <v>1663</v>
      </c>
      <c r="F1010" s="729"/>
      <c r="G1010" s="729"/>
      <c r="H1010" s="729">
        <v>493500</v>
      </c>
      <c r="I1010" s="729">
        <v>748650</v>
      </c>
      <c r="J1010" s="729">
        <v>241959.5</v>
      </c>
      <c r="K1010" s="1851"/>
      <c r="L1010" s="1835"/>
      <c r="M1010" s="2059"/>
      <c r="N1010" s="2059"/>
      <c r="O1010" s="2059"/>
      <c r="P1010" s="2059"/>
      <c r="Q1010" s="2059"/>
    </row>
    <row r="1011" spans="1:17" ht="60" x14ac:dyDescent="0.25">
      <c r="A1011" s="394"/>
      <c r="B1011" s="922"/>
      <c r="C1011" s="655" t="s">
        <v>5</v>
      </c>
      <c r="D1011" s="655"/>
      <c r="E1011" s="562" t="s">
        <v>1664</v>
      </c>
      <c r="F1011" s="729"/>
      <c r="G1011" s="723"/>
      <c r="H1011" s="729">
        <v>357000</v>
      </c>
      <c r="I1011" s="729">
        <f>76005.8+292330</f>
        <v>368335.8</v>
      </c>
      <c r="J1011" s="729">
        <f>41031.26+21660</f>
        <v>62691.26</v>
      </c>
      <c r="K1011" s="589" t="s">
        <v>1665</v>
      </c>
      <c r="L1011" s="540"/>
      <c r="M1011" s="762"/>
      <c r="N1011" s="762"/>
      <c r="O1011" s="762"/>
      <c r="P1011" s="762"/>
      <c r="Q1011" s="762"/>
    </row>
    <row r="1012" spans="1:17" ht="45" x14ac:dyDescent="0.25">
      <c r="A1012" s="394"/>
      <c r="B1012" s="922"/>
      <c r="C1012" s="655" t="s">
        <v>49</v>
      </c>
      <c r="D1012" s="655"/>
      <c r="E1012" s="562" t="s">
        <v>1666</v>
      </c>
      <c r="F1012" s="729"/>
      <c r="G1012" s="723"/>
      <c r="H1012" s="729">
        <v>49350</v>
      </c>
      <c r="I1012" s="729"/>
      <c r="J1012" s="729"/>
      <c r="K1012" s="589"/>
      <c r="L1012" s="540"/>
      <c r="M1012" s="762"/>
      <c r="N1012" s="762"/>
      <c r="O1012" s="762"/>
      <c r="P1012" s="762"/>
      <c r="Q1012" s="762"/>
    </row>
    <row r="1013" spans="1:17" x14ac:dyDescent="0.25">
      <c r="B1013" s="2060" t="s">
        <v>1427</v>
      </c>
      <c r="C1013" s="2061"/>
      <c r="D1013" s="2061"/>
      <c r="E1013" s="2062"/>
      <c r="F1013" s="8">
        <f>F994+F1005+F1007</f>
        <v>0</v>
      </c>
      <c r="G1013" s="8">
        <f t="shared" ref="G1013:J1013" si="98">G994+G1005+G1007</f>
        <v>0</v>
      </c>
      <c r="H1013" s="8">
        <f>H994+H1005+H1007</f>
        <v>6288293.1999999993</v>
      </c>
      <c r="I1013" s="8">
        <f t="shared" si="98"/>
        <v>2414403.2000000002</v>
      </c>
      <c r="J1013" s="8">
        <f t="shared" si="98"/>
        <v>1604597.16</v>
      </c>
      <c r="K1013" s="833"/>
      <c r="L1013" s="2063"/>
      <c r="M1013" s="2063"/>
      <c r="N1013" s="2063"/>
      <c r="O1013" s="2063"/>
      <c r="P1013" s="2063"/>
      <c r="Q1013" s="2063"/>
    </row>
    <row r="1014" spans="1:17" x14ac:dyDescent="0.25">
      <c r="A1014" s="929"/>
      <c r="B1014" s="1589" t="s">
        <v>1667</v>
      </c>
      <c r="C1014" s="1590"/>
      <c r="D1014" s="1590"/>
      <c r="E1014" s="1590"/>
      <c r="F1014" s="1590"/>
      <c r="G1014" s="1590"/>
      <c r="H1014" s="1590"/>
      <c r="I1014" s="1590"/>
      <c r="J1014" s="1590"/>
      <c r="K1014" s="1590"/>
      <c r="L1014" s="1590"/>
      <c r="M1014" s="1590"/>
      <c r="N1014" s="1590"/>
      <c r="O1014" s="1590"/>
      <c r="P1014" s="1590"/>
      <c r="Q1014" s="1590"/>
    </row>
    <row r="1015" spans="1:17" ht="88.5" x14ac:dyDescent="0.25">
      <c r="A1015" s="394"/>
      <c r="B1015" s="561" t="s">
        <v>102</v>
      </c>
      <c r="C1015" s="660"/>
      <c r="D1015" s="660"/>
      <c r="E1015" s="824" t="s">
        <v>1668</v>
      </c>
      <c r="F1015" s="420">
        <f>F1016+F1017+F1018+F1019+F1020+F1022+F1024</f>
        <v>32124.999999999996</v>
      </c>
      <c r="G1015" s="420">
        <f t="shared" ref="G1015:J1015" si="99">G1016+G1017+G1018+G1019+G1020+G1022+G1024</f>
        <v>28186.899999999994</v>
      </c>
      <c r="H1015" s="420">
        <f t="shared" si="99"/>
        <v>28186.899999999998</v>
      </c>
      <c r="I1015" s="420">
        <f t="shared" si="99"/>
        <v>28211.499999999996</v>
      </c>
      <c r="J1015" s="420">
        <f t="shared" si="99"/>
        <v>28268.299999999996</v>
      </c>
      <c r="K1015" s="477" t="s">
        <v>1669</v>
      </c>
      <c r="L1015" s="660" t="s">
        <v>14</v>
      </c>
      <c r="M1015" s="660">
        <v>65.099999999999994</v>
      </c>
      <c r="N1015" s="660">
        <v>68.2</v>
      </c>
      <c r="O1015" s="660">
        <v>63.4</v>
      </c>
      <c r="P1015" s="660">
        <v>63.1</v>
      </c>
      <c r="Q1015" s="660">
        <v>61.2</v>
      </c>
    </row>
    <row r="1016" spans="1:17" x14ac:dyDescent="0.25">
      <c r="A1016" s="394"/>
      <c r="B1016" s="540"/>
      <c r="C1016" s="664" t="s">
        <v>2</v>
      </c>
      <c r="D1016" s="540"/>
      <c r="E1016" s="160" t="s">
        <v>140</v>
      </c>
      <c r="F1016" s="729">
        <v>10545.6</v>
      </c>
      <c r="G1016" s="729">
        <v>8983.2000000000007</v>
      </c>
      <c r="H1016" s="729">
        <v>8421.2999999999993</v>
      </c>
      <c r="I1016" s="729">
        <v>8428.4</v>
      </c>
      <c r="J1016" s="729">
        <v>8445.1999999999989</v>
      </c>
      <c r="K1016" s="589" t="s">
        <v>1670</v>
      </c>
      <c r="L1016" s="540" t="s">
        <v>14</v>
      </c>
      <c r="M1016" s="540">
        <v>21.7</v>
      </c>
      <c r="N1016" s="540">
        <v>25</v>
      </c>
      <c r="O1016" s="540">
        <v>25</v>
      </c>
      <c r="P1016" s="540">
        <v>25</v>
      </c>
      <c r="Q1016" s="540">
        <v>25</v>
      </c>
    </row>
    <row r="1017" spans="1:17" ht="30" x14ac:dyDescent="0.25">
      <c r="A1017" s="394"/>
      <c r="B1017" s="540"/>
      <c r="C1017" s="664" t="s">
        <v>3</v>
      </c>
      <c r="D1017" s="540"/>
      <c r="E1017" s="95" t="s">
        <v>1671</v>
      </c>
      <c r="F1017" s="729">
        <v>7509</v>
      </c>
      <c r="G1017" s="729">
        <v>6572.8</v>
      </c>
      <c r="H1017" s="729">
        <v>6093.2</v>
      </c>
      <c r="I1017" s="729">
        <v>6098.2</v>
      </c>
      <c r="J1017" s="729">
        <v>6108.2</v>
      </c>
      <c r="K1017" s="589" t="s">
        <v>1672</v>
      </c>
      <c r="L1017" s="540" t="s">
        <v>14</v>
      </c>
      <c r="M1017" s="540">
        <v>99.9</v>
      </c>
      <c r="N1017" s="540">
        <v>100</v>
      </c>
      <c r="O1017" s="540">
        <v>100</v>
      </c>
      <c r="P1017" s="540">
        <v>100</v>
      </c>
      <c r="Q1017" s="540">
        <v>100</v>
      </c>
    </row>
    <row r="1018" spans="1:17" ht="30" x14ac:dyDescent="0.25">
      <c r="A1018" s="394"/>
      <c r="B1018" s="540"/>
      <c r="C1018" s="664" t="s">
        <v>4</v>
      </c>
      <c r="D1018" s="540"/>
      <c r="E1018" s="95" t="s">
        <v>1673</v>
      </c>
      <c r="F1018" s="729">
        <v>2781.1</v>
      </c>
      <c r="G1018" s="729">
        <v>2466.1</v>
      </c>
      <c r="H1018" s="729">
        <v>2745.3</v>
      </c>
      <c r="I1018" s="729">
        <v>2747.8</v>
      </c>
      <c r="J1018" s="729">
        <v>2753.8</v>
      </c>
      <c r="K1018" s="930" t="s">
        <v>1674</v>
      </c>
      <c r="L1018" s="540" t="s">
        <v>14</v>
      </c>
      <c r="M1018" s="540">
        <v>75</v>
      </c>
      <c r="N1018" s="540">
        <v>100</v>
      </c>
      <c r="O1018" s="540">
        <v>100</v>
      </c>
      <c r="P1018" s="540">
        <v>100</v>
      </c>
      <c r="Q1018" s="540">
        <v>100</v>
      </c>
    </row>
    <row r="1019" spans="1:17" ht="30" x14ac:dyDescent="0.25">
      <c r="A1019" s="394"/>
      <c r="B1019" s="540"/>
      <c r="C1019" s="664" t="s">
        <v>49</v>
      </c>
      <c r="D1019" s="540"/>
      <c r="E1019" s="95" t="s">
        <v>1675</v>
      </c>
      <c r="F1019" s="729">
        <v>1922.2</v>
      </c>
      <c r="G1019" s="729">
        <v>1700.6</v>
      </c>
      <c r="H1019" s="729">
        <v>1945.5</v>
      </c>
      <c r="I1019" s="729">
        <v>1948</v>
      </c>
      <c r="J1019" s="729">
        <v>1954</v>
      </c>
      <c r="K1019" s="589" t="s">
        <v>1676</v>
      </c>
      <c r="L1019" s="540" t="s">
        <v>968</v>
      </c>
      <c r="M1019" s="540">
        <v>5</v>
      </c>
      <c r="N1019" s="540">
        <v>5</v>
      </c>
      <c r="O1019" s="540">
        <v>5</v>
      </c>
      <c r="P1019" s="540">
        <v>5</v>
      </c>
      <c r="Q1019" s="540">
        <v>5</v>
      </c>
    </row>
    <row r="1020" spans="1:17" ht="45" x14ac:dyDescent="0.25">
      <c r="A1020" s="394"/>
      <c r="B1020" s="1834"/>
      <c r="C1020" s="1834">
        <v>34</v>
      </c>
      <c r="D1020" s="1834"/>
      <c r="E1020" s="1850" t="s">
        <v>1677</v>
      </c>
      <c r="F1020" s="1649">
        <v>2118</v>
      </c>
      <c r="G1020" s="1649">
        <v>1899.1</v>
      </c>
      <c r="H1020" s="1649">
        <v>2154</v>
      </c>
      <c r="I1020" s="1649">
        <v>2156.5</v>
      </c>
      <c r="J1020" s="1649">
        <v>2162.5</v>
      </c>
      <c r="K1020" s="589" t="s">
        <v>1678</v>
      </c>
      <c r="L1020" s="540" t="s">
        <v>14</v>
      </c>
      <c r="M1020" s="540">
        <v>76.900000000000006</v>
      </c>
      <c r="N1020" s="540">
        <v>100</v>
      </c>
      <c r="O1020" s="540">
        <v>100</v>
      </c>
      <c r="P1020" s="540">
        <v>100</v>
      </c>
      <c r="Q1020" s="540">
        <v>100</v>
      </c>
    </row>
    <row r="1021" spans="1:17" ht="30" x14ac:dyDescent="0.25">
      <c r="A1021" s="394"/>
      <c r="B1021" s="1835"/>
      <c r="C1021" s="1835"/>
      <c r="D1021" s="1835"/>
      <c r="E1021" s="1851"/>
      <c r="F1021" s="1650"/>
      <c r="G1021" s="1650"/>
      <c r="H1021" s="1650"/>
      <c r="I1021" s="1650"/>
      <c r="J1021" s="1650"/>
      <c r="K1021" s="589" t="s">
        <v>1679</v>
      </c>
      <c r="L1021" s="540" t="s">
        <v>14</v>
      </c>
      <c r="M1021" s="540">
        <v>87.8</v>
      </c>
      <c r="N1021" s="540">
        <v>100</v>
      </c>
      <c r="O1021" s="540">
        <v>100</v>
      </c>
      <c r="P1021" s="540">
        <v>100</v>
      </c>
      <c r="Q1021" s="540">
        <v>100</v>
      </c>
    </row>
    <row r="1022" spans="1:17" x14ac:dyDescent="0.25">
      <c r="A1022" s="394"/>
      <c r="B1022" s="1834"/>
      <c r="C1022" s="1834">
        <v>35</v>
      </c>
      <c r="D1022" s="1834"/>
      <c r="E1022" s="1611" t="s">
        <v>1680</v>
      </c>
      <c r="F1022" s="1649">
        <v>3576.1</v>
      </c>
      <c r="G1022" s="1649">
        <v>3220.1</v>
      </c>
      <c r="H1022" s="1649">
        <v>3374</v>
      </c>
      <c r="I1022" s="1649">
        <v>3376.5</v>
      </c>
      <c r="J1022" s="1649">
        <v>3382.5</v>
      </c>
      <c r="K1022" s="589" t="s">
        <v>1681</v>
      </c>
      <c r="L1022" s="540" t="s">
        <v>979</v>
      </c>
      <c r="M1022" s="540">
        <v>2</v>
      </c>
      <c r="N1022" s="540">
        <v>3</v>
      </c>
      <c r="O1022" s="540">
        <v>3</v>
      </c>
      <c r="P1022" s="540">
        <v>3</v>
      </c>
      <c r="Q1022" s="540">
        <v>3</v>
      </c>
    </row>
    <row r="1023" spans="1:17" ht="45" x14ac:dyDescent="0.25">
      <c r="A1023" s="394"/>
      <c r="B1023" s="1835"/>
      <c r="C1023" s="1835"/>
      <c r="D1023" s="1835"/>
      <c r="E1023" s="1613"/>
      <c r="F1023" s="1650"/>
      <c r="G1023" s="1650"/>
      <c r="H1023" s="1650"/>
      <c r="I1023" s="1650"/>
      <c r="J1023" s="1650"/>
      <c r="K1023" s="589" t="s">
        <v>1682</v>
      </c>
      <c r="L1023" s="540" t="s">
        <v>14</v>
      </c>
      <c r="M1023" s="540">
        <v>80.900000000000006</v>
      </c>
      <c r="N1023" s="540">
        <v>100</v>
      </c>
      <c r="O1023" s="540">
        <v>100</v>
      </c>
      <c r="P1023" s="540">
        <v>100</v>
      </c>
      <c r="Q1023" s="540">
        <v>100</v>
      </c>
    </row>
    <row r="1024" spans="1:17" x14ac:dyDescent="0.25">
      <c r="A1024" s="394"/>
      <c r="B1024" s="1834"/>
      <c r="C1024" s="1834">
        <v>36</v>
      </c>
      <c r="D1024" s="1834"/>
      <c r="E1024" s="1850" t="s">
        <v>1683</v>
      </c>
      <c r="F1024" s="1649">
        <v>3673</v>
      </c>
      <c r="G1024" s="1649">
        <v>3345</v>
      </c>
      <c r="H1024" s="1649">
        <v>3453.6</v>
      </c>
      <c r="I1024" s="1649">
        <v>3456.1</v>
      </c>
      <c r="J1024" s="1649">
        <v>3462.1</v>
      </c>
      <c r="K1024" s="589" t="s">
        <v>1681</v>
      </c>
      <c r="L1024" s="540" t="s">
        <v>979</v>
      </c>
      <c r="M1024" s="540">
        <v>1</v>
      </c>
      <c r="N1024" s="540">
        <v>1</v>
      </c>
      <c r="O1024" s="540">
        <v>1</v>
      </c>
      <c r="P1024" s="540">
        <v>1</v>
      </c>
      <c r="Q1024" s="540">
        <v>1</v>
      </c>
    </row>
    <row r="1025" spans="1:17" ht="45" x14ac:dyDescent="0.25">
      <c r="A1025" s="394"/>
      <c r="B1025" s="1835"/>
      <c r="C1025" s="1835"/>
      <c r="D1025" s="1835"/>
      <c r="E1025" s="1851"/>
      <c r="F1025" s="1650"/>
      <c r="G1025" s="1650"/>
      <c r="H1025" s="1650"/>
      <c r="I1025" s="1650"/>
      <c r="J1025" s="1650"/>
      <c r="K1025" s="589" t="s">
        <v>1684</v>
      </c>
      <c r="L1025" s="540" t="s">
        <v>979</v>
      </c>
      <c r="M1025" s="540">
        <v>4</v>
      </c>
      <c r="N1025" s="540">
        <v>2</v>
      </c>
      <c r="O1025" s="540">
        <v>2</v>
      </c>
      <c r="P1025" s="540">
        <v>2</v>
      </c>
      <c r="Q1025" s="540">
        <v>3</v>
      </c>
    </row>
    <row r="1026" spans="1:17" ht="103.5" x14ac:dyDescent="0.25">
      <c r="A1026" s="394"/>
      <c r="B1026" s="660" t="s">
        <v>91</v>
      </c>
      <c r="C1026" s="660"/>
      <c r="D1026" s="660"/>
      <c r="E1026" s="582" t="s">
        <v>1685</v>
      </c>
      <c r="F1026" s="420">
        <f>F1027+F1030+F1033+F1034</f>
        <v>554350.5</v>
      </c>
      <c r="G1026" s="420">
        <f t="shared" ref="G1026:J1026" si="100">G1027+G1030+G1033+G1034</f>
        <v>423263.5</v>
      </c>
      <c r="H1026" s="420">
        <f t="shared" si="100"/>
        <v>462909.20000000007</v>
      </c>
      <c r="I1026" s="420">
        <f t="shared" si="100"/>
        <v>426525.5</v>
      </c>
      <c r="J1026" s="420">
        <f t="shared" si="100"/>
        <v>427319.5</v>
      </c>
      <c r="K1026" s="562" t="s">
        <v>1686</v>
      </c>
      <c r="L1026" s="660"/>
      <c r="M1026" s="660"/>
      <c r="N1026" s="660"/>
      <c r="O1026" s="660"/>
      <c r="P1026" s="660"/>
      <c r="Q1026" s="660"/>
    </row>
    <row r="1027" spans="1:17" x14ac:dyDescent="0.25">
      <c r="A1027" s="394"/>
      <c r="B1027" s="1834"/>
      <c r="C1027" s="1834" t="s">
        <v>2</v>
      </c>
      <c r="D1027" s="1834"/>
      <c r="E1027" s="1850" t="s">
        <v>1687</v>
      </c>
      <c r="F1027" s="1649">
        <v>162703.20000000001</v>
      </c>
      <c r="G1027" s="1649">
        <v>174413.4</v>
      </c>
      <c r="H1027" s="1649">
        <f>153876.4+18912.2</f>
        <v>172788.6</v>
      </c>
      <c r="I1027" s="1649">
        <v>168455.5</v>
      </c>
      <c r="J1027" s="1649">
        <v>168755.5</v>
      </c>
      <c r="K1027" s="562" t="s">
        <v>1688</v>
      </c>
      <c r="L1027" s="540" t="s">
        <v>1414</v>
      </c>
      <c r="M1027" s="540">
        <v>1196.8</v>
      </c>
      <c r="N1027" s="540">
        <v>1502.4</v>
      </c>
      <c r="O1027" s="540">
        <v>1502.4</v>
      </c>
      <c r="P1027" s="540">
        <v>1502.4</v>
      </c>
      <c r="Q1027" s="540">
        <v>1502.4</v>
      </c>
    </row>
    <row r="1028" spans="1:17" ht="60" x14ac:dyDescent="0.25">
      <c r="A1028" s="394"/>
      <c r="B1028" s="2057"/>
      <c r="C1028" s="2057"/>
      <c r="D1028" s="2057"/>
      <c r="E1028" s="1978"/>
      <c r="F1028" s="2033"/>
      <c r="G1028" s="2033"/>
      <c r="H1028" s="2033"/>
      <c r="I1028" s="2033"/>
      <c r="J1028" s="2033"/>
      <c r="K1028" s="562" t="s">
        <v>1689</v>
      </c>
      <c r="L1028" s="540" t="s">
        <v>14</v>
      </c>
      <c r="M1028" s="540">
        <v>24</v>
      </c>
      <c r="N1028" s="540">
        <v>25</v>
      </c>
      <c r="O1028" s="540">
        <v>25</v>
      </c>
      <c r="P1028" s="540">
        <v>26</v>
      </c>
      <c r="Q1028" s="540">
        <v>26</v>
      </c>
    </row>
    <row r="1029" spans="1:17" ht="30" x14ac:dyDescent="0.25">
      <c r="A1029" s="394"/>
      <c r="B1029" s="1835"/>
      <c r="C1029" s="1835"/>
      <c r="D1029" s="1835"/>
      <c r="E1029" s="1851"/>
      <c r="F1029" s="1650"/>
      <c r="G1029" s="1650"/>
      <c r="H1029" s="1650"/>
      <c r="I1029" s="1650"/>
      <c r="J1029" s="1650"/>
      <c r="K1029" s="562" t="s">
        <v>1690</v>
      </c>
      <c r="L1029" s="540" t="s">
        <v>979</v>
      </c>
      <c r="M1029" s="540">
        <v>300</v>
      </c>
      <c r="N1029" s="540">
        <v>300</v>
      </c>
      <c r="O1029" s="540">
        <v>300</v>
      </c>
      <c r="P1029" s="540">
        <v>300</v>
      </c>
      <c r="Q1029" s="540">
        <v>300</v>
      </c>
    </row>
    <row r="1030" spans="1:17" x14ac:dyDescent="0.25">
      <c r="A1030" s="394"/>
      <c r="B1030" s="1834"/>
      <c r="C1030" s="1834" t="s">
        <v>3</v>
      </c>
      <c r="D1030" s="1834"/>
      <c r="E1030" s="1850" t="s">
        <v>1691</v>
      </c>
      <c r="F1030" s="1649">
        <v>90406.7</v>
      </c>
      <c r="G1030" s="1649">
        <v>92989.9</v>
      </c>
      <c r="H1030" s="1649">
        <f>105756.2+16261.6</f>
        <v>122017.8</v>
      </c>
      <c r="I1030" s="1649">
        <v>117815.9</v>
      </c>
      <c r="J1030" s="1649">
        <v>118035.9</v>
      </c>
      <c r="K1030" s="562" t="s">
        <v>1692</v>
      </c>
      <c r="L1030" s="540" t="s">
        <v>979</v>
      </c>
      <c r="M1030" s="540">
        <v>272600</v>
      </c>
      <c r="N1030" s="540">
        <v>272700</v>
      </c>
      <c r="O1030" s="540">
        <v>272700</v>
      </c>
      <c r="P1030" s="540">
        <v>272700</v>
      </c>
      <c r="Q1030" s="540">
        <v>273000</v>
      </c>
    </row>
    <row r="1031" spans="1:17" x14ac:dyDescent="0.25">
      <c r="A1031" s="394"/>
      <c r="B1031" s="2057"/>
      <c r="C1031" s="2057"/>
      <c r="D1031" s="2057"/>
      <c r="E1031" s="1978"/>
      <c r="F1031" s="2033"/>
      <c r="G1031" s="2033"/>
      <c r="H1031" s="2033"/>
      <c r="I1031" s="2033"/>
      <c r="J1031" s="2033"/>
      <c r="K1031" s="562" t="s">
        <v>1693</v>
      </c>
      <c r="L1031" s="540" t="s">
        <v>1414</v>
      </c>
      <c r="M1031" s="540">
        <v>655</v>
      </c>
      <c r="N1031" s="540">
        <v>660</v>
      </c>
      <c r="O1031" s="540">
        <v>660</v>
      </c>
      <c r="P1031" s="540">
        <v>660</v>
      </c>
      <c r="Q1031" s="540">
        <v>660</v>
      </c>
    </row>
    <row r="1032" spans="1:17" ht="30" x14ac:dyDescent="0.25">
      <c r="A1032" s="394"/>
      <c r="B1032" s="1835"/>
      <c r="C1032" s="1835"/>
      <c r="D1032" s="1835"/>
      <c r="E1032" s="1851"/>
      <c r="F1032" s="1650"/>
      <c r="G1032" s="1650"/>
      <c r="H1032" s="1650"/>
      <c r="I1032" s="1650"/>
      <c r="J1032" s="1650"/>
      <c r="K1032" s="562" t="s">
        <v>1694</v>
      </c>
      <c r="L1032" s="540" t="s">
        <v>979</v>
      </c>
      <c r="M1032" s="540">
        <v>50</v>
      </c>
      <c r="N1032" s="540">
        <v>54</v>
      </c>
      <c r="O1032" s="540">
        <v>55</v>
      </c>
      <c r="P1032" s="540">
        <v>55</v>
      </c>
      <c r="Q1032" s="540">
        <v>55</v>
      </c>
    </row>
    <row r="1033" spans="1:17" ht="30" x14ac:dyDescent="0.25">
      <c r="A1033" s="394"/>
      <c r="B1033" s="540"/>
      <c r="C1033" s="540" t="s">
        <v>4</v>
      </c>
      <c r="D1033" s="540"/>
      <c r="E1033" s="589" t="s">
        <v>1695</v>
      </c>
      <c r="F1033" s="729">
        <v>105210.4</v>
      </c>
      <c r="G1033" s="729">
        <v>109011</v>
      </c>
      <c r="H1033" s="729">
        <f>56598.4+1783.8</f>
        <v>58382.200000000004</v>
      </c>
      <c r="I1033" s="729">
        <v>106278.6</v>
      </c>
      <c r="J1033" s="729">
        <v>106498.6</v>
      </c>
      <c r="K1033" s="562" t="s">
        <v>1696</v>
      </c>
      <c r="L1033" s="540" t="s">
        <v>1697</v>
      </c>
      <c r="M1033" s="540">
        <v>17</v>
      </c>
      <c r="N1033" s="540">
        <v>17</v>
      </c>
      <c r="O1033" s="540">
        <v>18</v>
      </c>
      <c r="P1033" s="540">
        <v>18</v>
      </c>
      <c r="Q1033" s="540">
        <v>20</v>
      </c>
    </row>
    <row r="1034" spans="1:17" ht="30" x14ac:dyDescent="0.25">
      <c r="A1034" s="394"/>
      <c r="B1034" s="1834"/>
      <c r="C1034" s="1834" t="s">
        <v>5</v>
      </c>
      <c r="D1034" s="1834"/>
      <c r="E1034" s="1850" t="s">
        <v>1698</v>
      </c>
      <c r="F1034" s="1649">
        <v>196030.2</v>
      </c>
      <c r="G1034" s="1649">
        <v>46849.2</v>
      </c>
      <c r="H1034" s="1649">
        <f>108140.6+1580</f>
        <v>109720.6</v>
      </c>
      <c r="I1034" s="1649">
        <v>33975.5</v>
      </c>
      <c r="J1034" s="1649">
        <v>34029.5</v>
      </c>
      <c r="K1034" s="562" t="s">
        <v>1699</v>
      </c>
      <c r="L1034" s="540" t="s">
        <v>979</v>
      </c>
      <c r="M1034" s="540">
        <v>1</v>
      </c>
      <c r="N1034" s="540">
        <v>1</v>
      </c>
      <c r="O1034" s="540">
        <v>2</v>
      </c>
      <c r="P1034" s="540">
        <v>2</v>
      </c>
      <c r="Q1034" s="540">
        <v>3</v>
      </c>
    </row>
    <row r="1035" spans="1:17" ht="45" x14ac:dyDescent="0.25">
      <c r="A1035" s="394"/>
      <c r="B1035" s="2057"/>
      <c r="C1035" s="2057"/>
      <c r="D1035" s="2057"/>
      <c r="E1035" s="1978"/>
      <c r="F1035" s="2033"/>
      <c r="G1035" s="2033"/>
      <c r="H1035" s="2033"/>
      <c r="I1035" s="2033"/>
      <c r="J1035" s="2033"/>
      <c r="K1035" s="589" t="s">
        <v>1700</v>
      </c>
      <c r="L1035" s="540" t="s">
        <v>979</v>
      </c>
      <c r="M1035" s="540">
        <v>20</v>
      </c>
      <c r="N1035" s="540">
        <v>20</v>
      </c>
      <c r="O1035" s="540">
        <v>18</v>
      </c>
      <c r="P1035" s="540">
        <v>15</v>
      </c>
      <c r="Q1035" s="540">
        <v>20</v>
      </c>
    </row>
    <row r="1036" spans="1:17" x14ac:dyDescent="0.25">
      <c r="A1036" s="394"/>
      <c r="B1036" s="2057"/>
      <c r="C1036" s="2057"/>
      <c r="D1036" s="2057"/>
      <c r="E1036" s="1978"/>
      <c r="F1036" s="2033"/>
      <c r="G1036" s="2033"/>
      <c r="H1036" s="2033"/>
      <c r="I1036" s="2033"/>
      <c r="J1036" s="2033"/>
      <c r="K1036" s="589"/>
      <c r="L1036" s="540"/>
      <c r="M1036" s="540"/>
      <c r="N1036" s="540"/>
      <c r="O1036" s="540"/>
      <c r="P1036" s="540"/>
      <c r="Q1036" s="540"/>
    </row>
    <row r="1037" spans="1:17" ht="30" x14ac:dyDescent="0.25">
      <c r="A1037" s="394"/>
      <c r="B1037" s="1835"/>
      <c r="C1037" s="1835"/>
      <c r="D1037" s="1835"/>
      <c r="E1037" s="1851"/>
      <c r="F1037" s="1650"/>
      <c r="G1037" s="1650"/>
      <c r="H1037" s="1650"/>
      <c r="I1037" s="1650"/>
      <c r="J1037" s="1650"/>
      <c r="K1037" s="562" t="s">
        <v>1701</v>
      </c>
      <c r="L1037" s="540" t="s">
        <v>979</v>
      </c>
      <c r="M1037" s="540">
        <v>15</v>
      </c>
      <c r="N1037" s="540">
        <v>15</v>
      </c>
      <c r="O1037" s="540">
        <v>20</v>
      </c>
      <c r="P1037" s="540">
        <v>25</v>
      </c>
      <c r="Q1037" s="540">
        <v>27</v>
      </c>
    </row>
    <row r="1038" spans="1:17" ht="89.25" x14ac:dyDescent="0.25">
      <c r="A1038" s="394"/>
      <c r="B1038" s="660" t="s">
        <v>98</v>
      </c>
      <c r="C1038" s="660"/>
      <c r="D1038" s="660"/>
      <c r="E1038" s="582" t="s">
        <v>1702</v>
      </c>
      <c r="F1038" s="420">
        <f>F1039</f>
        <v>451264.9</v>
      </c>
      <c r="G1038" s="420">
        <f t="shared" ref="G1038:J1038" si="101">G1039</f>
        <v>454043.7</v>
      </c>
      <c r="H1038" s="420">
        <f>H1039+H1043</f>
        <v>496354.4</v>
      </c>
      <c r="I1038" s="420">
        <f t="shared" si="101"/>
        <v>479725.5</v>
      </c>
      <c r="J1038" s="420">
        <f t="shared" si="101"/>
        <v>480495</v>
      </c>
      <c r="K1038" s="589"/>
      <c r="L1038" s="540"/>
      <c r="M1038" s="540"/>
      <c r="N1038" s="540"/>
      <c r="O1038" s="540"/>
      <c r="P1038" s="540"/>
      <c r="Q1038" s="540"/>
    </row>
    <row r="1039" spans="1:17" x14ac:dyDescent="0.25">
      <c r="A1039" s="394"/>
      <c r="B1039" s="1864"/>
      <c r="C1039" s="1834" t="s">
        <v>2</v>
      </c>
      <c r="D1039" s="1864"/>
      <c r="E1039" s="1850" t="s">
        <v>1703</v>
      </c>
      <c r="F1039" s="1649">
        <v>451264.9</v>
      </c>
      <c r="G1039" s="1649">
        <v>454043.7</v>
      </c>
      <c r="H1039" s="1649">
        <f>442858.4+53296</f>
        <v>496154.4</v>
      </c>
      <c r="I1039" s="1649">
        <f>481492.7-1767.2</f>
        <v>479725.5</v>
      </c>
      <c r="J1039" s="1649">
        <f>482342.7-1847.7</f>
        <v>480495</v>
      </c>
      <c r="K1039" s="562" t="s">
        <v>1704</v>
      </c>
      <c r="L1039" s="540" t="s">
        <v>979</v>
      </c>
      <c r="M1039" s="540">
        <v>30</v>
      </c>
      <c r="N1039" s="540">
        <v>37</v>
      </c>
      <c r="O1039" s="540">
        <v>43</v>
      </c>
      <c r="P1039" s="540">
        <v>48</v>
      </c>
      <c r="Q1039" s="540">
        <v>49</v>
      </c>
    </row>
    <row r="1040" spans="1:17" x14ac:dyDescent="0.25">
      <c r="A1040" s="394"/>
      <c r="B1040" s="2056"/>
      <c r="C1040" s="2057"/>
      <c r="D1040" s="2056"/>
      <c r="E1040" s="1978"/>
      <c r="F1040" s="2033"/>
      <c r="G1040" s="2033"/>
      <c r="H1040" s="2033"/>
      <c r="I1040" s="2033"/>
      <c r="J1040" s="2033"/>
      <c r="K1040" s="562" t="s">
        <v>1705</v>
      </c>
      <c r="L1040" s="540" t="s">
        <v>979</v>
      </c>
      <c r="M1040" s="540">
        <v>65</v>
      </c>
      <c r="N1040" s="540">
        <v>75</v>
      </c>
      <c r="O1040" s="540">
        <v>79</v>
      </c>
      <c r="P1040" s="540">
        <v>84</v>
      </c>
      <c r="Q1040" s="540">
        <v>86</v>
      </c>
    </row>
    <row r="1041" spans="1:17" ht="30" x14ac:dyDescent="0.25">
      <c r="A1041" s="394"/>
      <c r="B1041" s="2056"/>
      <c r="C1041" s="2057"/>
      <c r="D1041" s="2056"/>
      <c r="E1041" s="1978"/>
      <c r="F1041" s="2033"/>
      <c r="G1041" s="2033"/>
      <c r="H1041" s="2033"/>
      <c r="I1041" s="2033"/>
      <c r="J1041" s="2033"/>
      <c r="K1041" s="562" t="s">
        <v>1706</v>
      </c>
      <c r="L1041" s="540" t="s">
        <v>1414</v>
      </c>
      <c r="M1041" s="540">
        <v>1034384</v>
      </c>
      <c r="N1041" s="540">
        <v>1059584</v>
      </c>
      <c r="O1041" s="540">
        <v>1086038</v>
      </c>
      <c r="P1041" s="540">
        <v>1115321</v>
      </c>
      <c r="Q1041" s="540">
        <v>1127659</v>
      </c>
    </row>
    <row r="1042" spans="1:17" ht="30" x14ac:dyDescent="0.25">
      <c r="A1042" s="394"/>
      <c r="B1042" s="1865"/>
      <c r="C1042" s="1835"/>
      <c r="D1042" s="1865"/>
      <c r="E1042" s="1851"/>
      <c r="F1042" s="1650"/>
      <c r="G1042" s="1650"/>
      <c r="H1042" s="1650"/>
      <c r="I1042" s="1650"/>
      <c r="J1042" s="1650"/>
      <c r="K1042" s="562" t="s">
        <v>1707</v>
      </c>
      <c r="L1042" s="540" t="s">
        <v>979</v>
      </c>
      <c r="M1042" s="540">
        <v>5</v>
      </c>
      <c r="N1042" s="540">
        <v>7</v>
      </c>
      <c r="O1042" s="540">
        <v>6</v>
      </c>
      <c r="P1042" s="540">
        <v>7</v>
      </c>
      <c r="Q1042" s="540">
        <v>6</v>
      </c>
    </row>
    <row r="1043" spans="1:17" ht="45" x14ac:dyDescent="0.25">
      <c r="A1043" s="394"/>
      <c r="B1043" s="584"/>
      <c r="C1043" s="664" t="s">
        <v>3</v>
      </c>
      <c r="D1043" s="584"/>
      <c r="E1043" s="719" t="s">
        <v>1708</v>
      </c>
      <c r="F1043" s="550"/>
      <c r="G1043" s="550"/>
      <c r="H1043" s="550">
        <v>200</v>
      </c>
      <c r="I1043" s="550"/>
      <c r="J1043" s="550"/>
      <c r="K1043" s="589"/>
      <c r="L1043" s="540"/>
      <c r="M1043" s="540"/>
      <c r="N1043" s="540"/>
      <c r="O1043" s="540"/>
      <c r="P1043" s="540"/>
      <c r="Q1043" s="540"/>
    </row>
    <row r="1044" spans="1:17" ht="103.5" x14ac:dyDescent="0.25">
      <c r="A1044" s="394"/>
      <c r="B1044" s="660" t="s">
        <v>101</v>
      </c>
      <c r="C1044" s="660"/>
      <c r="D1044" s="660"/>
      <c r="E1044" s="486" t="s">
        <v>1709</v>
      </c>
      <c r="F1044" s="420">
        <f>F1045+F1046+F1048</f>
        <v>578070.39999999991</v>
      </c>
      <c r="G1044" s="420">
        <f t="shared" ref="G1044:J1044" si="102">G1045+G1046+G1048</f>
        <v>635290.5</v>
      </c>
      <c r="H1044" s="420">
        <f t="shared" si="102"/>
        <v>762747.79999999993</v>
      </c>
      <c r="I1044" s="420">
        <f t="shared" si="102"/>
        <v>628759.50000000012</v>
      </c>
      <c r="J1044" s="420">
        <f t="shared" si="102"/>
        <v>629924.90000000014</v>
      </c>
      <c r="K1044" s="582"/>
      <c r="L1044" s="660"/>
      <c r="M1044" s="660"/>
      <c r="N1044" s="660"/>
      <c r="O1044" s="660"/>
      <c r="P1044" s="660"/>
      <c r="Q1044" s="660"/>
    </row>
    <row r="1045" spans="1:17" ht="30" x14ac:dyDescent="0.25">
      <c r="A1045" s="394"/>
      <c r="B1045" s="660"/>
      <c r="C1045" s="540" t="s">
        <v>2</v>
      </c>
      <c r="D1045" s="540"/>
      <c r="E1045" s="562" t="s">
        <v>1710</v>
      </c>
      <c r="F1045" s="729">
        <v>287989</v>
      </c>
      <c r="G1045" s="729">
        <v>323753.09999999998</v>
      </c>
      <c r="H1045" s="729">
        <f>373177.1+21131.7</f>
        <v>394308.8</v>
      </c>
      <c r="I1045" s="729">
        <v>302888.10000000003</v>
      </c>
      <c r="J1045" s="729">
        <v>303388.10000000003</v>
      </c>
      <c r="K1045" s="562" t="s">
        <v>1711</v>
      </c>
      <c r="L1045" s="540" t="s">
        <v>975</v>
      </c>
      <c r="M1045" s="540">
        <v>1020</v>
      </c>
      <c r="N1045" s="540">
        <v>1086</v>
      </c>
      <c r="O1045" s="540">
        <v>1150</v>
      </c>
      <c r="P1045" s="540">
        <v>1200</v>
      </c>
      <c r="Q1045" s="540">
        <v>1300</v>
      </c>
    </row>
    <row r="1046" spans="1:17" ht="45" x14ac:dyDescent="0.25">
      <c r="A1046" s="394"/>
      <c r="B1046" s="1864"/>
      <c r="C1046" s="1834" t="s">
        <v>3</v>
      </c>
      <c r="D1046" s="1834"/>
      <c r="E1046" s="1832" t="s">
        <v>1712</v>
      </c>
      <c r="F1046" s="1649">
        <v>279436.2</v>
      </c>
      <c r="G1046" s="1649">
        <v>298644.5</v>
      </c>
      <c r="H1046" s="1649">
        <f>328486.4+25820</f>
        <v>354306.4</v>
      </c>
      <c r="I1046" s="1649">
        <v>312964.5</v>
      </c>
      <c r="J1046" s="1649">
        <v>313564.5</v>
      </c>
      <c r="K1046" s="562" t="s">
        <v>1713</v>
      </c>
      <c r="L1046" s="540" t="s">
        <v>14</v>
      </c>
      <c r="M1046" s="540">
        <v>90</v>
      </c>
      <c r="N1046" s="540">
        <v>90</v>
      </c>
      <c r="O1046" s="540">
        <v>100</v>
      </c>
      <c r="P1046" s="540">
        <v>100</v>
      </c>
      <c r="Q1046" s="540">
        <v>100</v>
      </c>
    </row>
    <row r="1047" spans="1:17" ht="30" x14ac:dyDescent="0.25">
      <c r="A1047" s="394"/>
      <c r="B1047" s="1865"/>
      <c r="C1047" s="1835"/>
      <c r="D1047" s="1835"/>
      <c r="E1047" s="1833"/>
      <c r="F1047" s="1650"/>
      <c r="G1047" s="1650"/>
      <c r="H1047" s="1650"/>
      <c r="I1047" s="1650"/>
      <c r="J1047" s="1650"/>
      <c r="K1047" s="562" t="s">
        <v>1714</v>
      </c>
      <c r="L1047" s="540" t="s">
        <v>975</v>
      </c>
      <c r="M1047" s="540">
        <v>9021</v>
      </c>
      <c r="N1047" s="540">
        <v>9021</v>
      </c>
      <c r="O1047" s="540">
        <v>9021</v>
      </c>
      <c r="P1047" s="540">
        <v>9021</v>
      </c>
      <c r="Q1047" s="540">
        <v>9021</v>
      </c>
    </row>
    <row r="1048" spans="1:17" ht="45" x14ac:dyDescent="0.25">
      <c r="A1048" s="394"/>
      <c r="B1048" s="660"/>
      <c r="C1048" s="540" t="s">
        <v>4</v>
      </c>
      <c r="D1048" s="540"/>
      <c r="E1048" s="562" t="s">
        <v>1715</v>
      </c>
      <c r="F1048" s="729">
        <v>10645.2</v>
      </c>
      <c r="G1048" s="729">
        <v>12892.9</v>
      </c>
      <c r="H1048" s="729">
        <f>10762.6+3370</f>
        <v>14132.6</v>
      </c>
      <c r="I1048" s="729">
        <v>12906.9</v>
      </c>
      <c r="J1048" s="729">
        <v>12972.3</v>
      </c>
      <c r="K1048" s="562" t="s">
        <v>1716</v>
      </c>
      <c r="L1048" s="540" t="s">
        <v>975</v>
      </c>
      <c r="M1048" s="540">
        <v>20</v>
      </c>
      <c r="N1048" s="540">
        <v>20</v>
      </c>
      <c r="O1048" s="540">
        <v>20</v>
      </c>
      <c r="P1048" s="540">
        <v>20</v>
      </c>
      <c r="Q1048" s="540">
        <v>20</v>
      </c>
    </row>
    <row r="1049" spans="1:17" ht="118.5" x14ac:dyDescent="0.25">
      <c r="A1049" s="394"/>
      <c r="B1049" s="660" t="s">
        <v>110</v>
      </c>
      <c r="C1049" s="660"/>
      <c r="D1049" s="660"/>
      <c r="E1049" s="931" t="s">
        <v>1717</v>
      </c>
      <c r="F1049" s="420">
        <f>F1050+F1053+F1054</f>
        <v>81841.100000000006</v>
      </c>
      <c r="G1049" s="420">
        <f t="shared" ref="G1049:J1049" si="103">G1050+G1053+G1054</f>
        <v>69626.100000000006</v>
      </c>
      <c r="H1049" s="420">
        <f t="shared" si="103"/>
        <v>102113.70000000001</v>
      </c>
      <c r="I1049" s="420">
        <f t="shared" si="103"/>
        <v>69675.399999999994</v>
      </c>
      <c r="J1049" s="420">
        <f t="shared" si="103"/>
        <v>69789.399999999994</v>
      </c>
      <c r="K1049" s="582"/>
      <c r="L1049" s="660"/>
      <c r="M1049" s="660"/>
      <c r="N1049" s="660"/>
      <c r="O1049" s="660"/>
      <c r="P1049" s="660"/>
      <c r="Q1049" s="660"/>
    </row>
    <row r="1050" spans="1:17" x14ac:dyDescent="0.25">
      <c r="A1050" s="394"/>
      <c r="B1050" s="1864"/>
      <c r="C1050" s="1834" t="s">
        <v>2</v>
      </c>
      <c r="D1050" s="1834"/>
      <c r="E1050" s="1850" t="s">
        <v>1718</v>
      </c>
      <c r="F1050" s="1649">
        <v>21714</v>
      </c>
      <c r="G1050" s="1649">
        <v>20514</v>
      </c>
      <c r="H1050" s="1649">
        <v>20587.599999999999</v>
      </c>
      <c r="I1050" s="1649">
        <v>20531.900000000001</v>
      </c>
      <c r="J1050" s="1649">
        <v>20571.900000000001</v>
      </c>
      <c r="K1050" s="562" t="s">
        <v>1719</v>
      </c>
      <c r="L1050" s="540" t="s">
        <v>979</v>
      </c>
      <c r="M1050" s="540">
        <v>2</v>
      </c>
      <c r="N1050" s="540">
        <v>1</v>
      </c>
      <c r="O1050" s="540">
        <v>1</v>
      </c>
      <c r="P1050" s="540">
        <v>1</v>
      </c>
      <c r="Q1050" s="540">
        <v>1</v>
      </c>
    </row>
    <row r="1051" spans="1:17" x14ac:dyDescent="0.25">
      <c r="A1051" s="394"/>
      <c r="B1051" s="2056"/>
      <c r="C1051" s="2057"/>
      <c r="D1051" s="2057"/>
      <c r="E1051" s="1978"/>
      <c r="F1051" s="2033"/>
      <c r="G1051" s="2033"/>
      <c r="H1051" s="2033"/>
      <c r="I1051" s="2033"/>
      <c r="J1051" s="2033"/>
      <c r="K1051" s="562" t="s">
        <v>1720</v>
      </c>
      <c r="L1051" s="540" t="s">
        <v>979</v>
      </c>
      <c r="M1051" s="540">
        <v>6</v>
      </c>
      <c r="N1051" s="540">
        <v>3</v>
      </c>
      <c r="O1051" s="540">
        <v>3</v>
      </c>
      <c r="P1051" s="540">
        <v>3</v>
      </c>
      <c r="Q1051" s="540">
        <v>3</v>
      </c>
    </row>
    <row r="1052" spans="1:17" ht="45" x14ac:dyDescent="0.25">
      <c r="A1052" s="394"/>
      <c r="B1052" s="1865"/>
      <c r="C1052" s="1835"/>
      <c r="D1052" s="1835"/>
      <c r="E1052" s="1851"/>
      <c r="F1052" s="1650"/>
      <c r="G1052" s="1650"/>
      <c r="H1052" s="1650"/>
      <c r="I1052" s="1650"/>
      <c r="J1052" s="1650"/>
      <c r="K1052" s="562" t="s">
        <v>1721</v>
      </c>
      <c r="L1052" s="540" t="s">
        <v>979</v>
      </c>
      <c r="M1052" s="540">
        <v>10</v>
      </c>
      <c r="N1052" s="540">
        <v>10</v>
      </c>
      <c r="O1052" s="540">
        <v>10</v>
      </c>
      <c r="P1052" s="540">
        <v>10</v>
      </c>
      <c r="Q1052" s="540">
        <v>10</v>
      </c>
    </row>
    <row r="1053" spans="1:17" ht="30" x14ac:dyDescent="0.25">
      <c r="A1053" s="394"/>
      <c r="B1053" s="660"/>
      <c r="C1053" s="540" t="s">
        <v>3</v>
      </c>
      <c r="D1053" s="540"/>
      <c r="E1053" s="562" t="s">
        <v>1722</v>
      </c>
      <c r="F1053" s="729">
        <v>41477.1</v>
      </c>
      <c r="G1053" s="729">
        <v>26240.1</v>
      </c>
      <c r="H1053" s="729">
        <f>51244.3+7483.4</f>
        <v>58727.700000000004</v>
      </c>
      <c r="I1053" s="729">
        <v>26271.5</v>
      </c>
      <c r="J1053" s="729">
        <v>26345.5</v>
      </c>
      <c r="K1053" s="562" t="s">
        <v>1720</v>
      </c>
      <c r="L1053" s="540" t="s">
        <v>979</v>
      </c>
      <c r="M1053" s="540">
        <v>7</v>
      </c>
      <c r="N1053" s="540">
        <v>5</v>
      </c>
      <c r="O1053" s="540">
        <v>7</v>
      </c>
      <c r="P1053" s="540">
        <v>7</v>
      </c>
      <c r="Q1053" s="540">
        <v>7</v>
      </c>
    </row>
    <row r="1054" spans="1:17" ht="30" x14ac:dyDescent="0.25">
      <c r="A1054" s="394"/>
      <c r="B1054" s="1864"/>
      <c r="C1054" s="1834" t="s">
        <v>4</v>
      </c>
      <c r="D1054" s="1834"/>
      <c r="E1054" s="1850" t="s">
        <v>1723</v>
      </c>
      <c r="F1054" s="1649">
        <v>18650</v>
      </c>
      <c r="G1054" s="1649">
        <v>22872</v>
      </c>
      <c r="H1054" s="1649">
        <f>17161.8+5636.6</f>
        <v>22798.400000000001</v>
      </c>
      <c r="I1054" s="1649">
        <v>22872</v>
      </c>
      <c r="J1054" s="1649">
        <v>22872</v>
      </c>
      <c r="K1054" s="589" t="s">
        <v>1724</v>
      </c>
      <c r="L1054" s="540" t="s">
        <v>14</v>
      </c>
      <c r="M1054" s="540">
        <v>20</v>
      </c>
      <c r="N1054" s="540">
        <v>24</v>
      </c>
      <c r="O1054" s="540">
        <v>27</v>
      </c>
      <c r="P1054" s="540">
        <v>30</v>
      </c>
      <c r="Q1054" s="540">
        <v>30</v>
      </c>
    </row>
    <row r="1055" spans="1:17" ht="30" x14ac:dyDescent="0.25">
      <c r="A1055" s="394"/>
      <c r="B1055" s="2056"/>
      <c r="C1055" s="2057"/>
      <c r="D1055" s="2057"/>
      <c r="E1055" s="1978"/>
      <c r="F1055" s="2033"/>
      <c r="G1055" s="2033"/>
      <c r="H1055" s="2033"/>
      <c r="I1055" s="2033"/>
      <c r="J1055" s="2033"/>
      <c r="K1055" s="562" t="s">
        <v>1725</v>
      </c>
      <c r="L1055" s="540" t="s">
        <v>979</v>
      </c>
      <c r="M1055" s="540">
        <v>2300</v>
      </c>
      <c r="N1055" s="540">
        <v>2500</v>
      </c>
      <c r="O1055" s="540">
        <v>2700</v>
      </c>
      <c r="P1055" s="540">
        <v>2300</v>
      </c>
      <c r="Q1055" s="540">
        <v>2300</v>
      </c>
    </row>
    <row r="1056" spans="1:17" x14ac:dyDescent="0.25">
      <c r="A1056" s="394"/>
      <c r="B1056" s="1865"/>
      <c r="C1056" s="1835"/>
      <c r="D1056" s="1835"/>
      <c r="E1056" s="1851"/>
      <c r="F1056" s="1650"/>
      <c r="G1056" s="1650"/>
      <c r="H1056" s="1650"/>
      <c r="I1056" s="1650"/>
      <c r="J1056" s="1650"/>
      <c r="K1056" s="562" t="s">
        <v>1726</v>
      </c>
      <c r="L1056" s="540" t="s">
        <v>977</v>
      </c>
      <c r="M1056" s="540">
        <v>4419</v>
      </c>
      <c r="N1056" s="540">
        <v>4700</v>
      </c>
      <c r="O1056" s="540">
        <v>4900</v>
      </c>
      <c r="P1056" s="540">
        <v>5000</v>
      </c>
      <c r="Q1056" s="540">
        <v>5000</v>
      </c>
    </row>
    <row r="1057" spans="1:17" ht="59.25" x14ac:dyDescent="0.25">
      <c r="A1057" s="394"/>
      <c r="B1057" s="660" t="s">
        <v>1421</v>
      </c>
      <c r="C1057" s="660"/>
      <c r="D1057" s="660"/>
      <c r="E1057" s="486" t="s">
        <v>1727</v>
      </c>
      <c r="F1057" s="420">
        <v>21280.400000000001</v>
      </c>
      <c r="G1057" s="420">
        <v>8429.2999999999993</v>
      </c>
      <c r="H1057" s="420">
        <v>8429.2999999999993</v>
      </c>
      <c r="I1057" s="420">
        <v>8436.7000000000007</v>
      </c>
      <c r="J1057" s="420">
        <v>8453.5999999999985</v>
      </c>
      <c r="K1057" s="589"/>
      <c r="L1057" s="660"/>
      <c r="M1057" s="660"/>
      <c r="N1057" s="660"/>
      <c r="O1057" s="660"/>
      <c r="P1057" s="660"/>
      <c r="Q1057" s="660"/>
    </row>
    <row r="1058" spans="1:17" ht="60" x14ac:dyDescent="0.25">
      <c r="A1058" s="394"/>
      <c r="B1058" s="660"/>
      <c r="C1058" s="540" t="s">
        <v>2</v>
      </c>
      <c r="D1058" s="540"/>
      <c r="E1058" s="562" t="s">
        <v>1728</v>
      </c>
      <c r="F1058" s="729">
        <v>5126.2</v>
      </c>
      <c r="G1058" s="729">
        <v>5181.5</v>
      </c>
      <c r="H1058" s="729">
        <v>5825</v>
      </c>
      <c r="I1058" s="729">
        <v>5824.9</v>
      </c>
      <c r="J1058" s="729">
        <v>5825.4</v>
      </c>
      <c r="K1058" s="562" t="s">
        <v>1729</v>
      </c>
      <c r="L1058" s="540" t="s">
        <v>1414</v>
      </c>
      <c r="M1058" s="540">
        <v>4500</v>
      </c>
      <c r="N1058" s="540">
        <v>4800</v>
      </c>
      <c r="O1058" s="540">
        <v>5100</v>
      </c>
      <c r="P1058" s="540">
        <v>5300</v>
      </c>
      <c r="Q1058" s="540">
        <v>5600</v>
      </c>
    </row>
    <row r="1059" spans="1:17" x14ac:dyDescent="0.25">
      <c r="A1059" s="394"/>
      <c r="B1059" s="1864"/>
      <c r="C1059" s="1834" t="s">
        <v>3</v>
      </c>
      <c r="D1059" s="1834"/>
      <c r="E1059" s="1850" t="s">
        <v>1730</v>
      </c>
      <c r="F1059" s="1649">
        <v>16154.2</v>
      </c>
      <c r="G1059" s="1649">
        <v>3247.8</v>
      </c>
      <c r="H1059" s="1649">
        <v>2604.3000000000002</v>
      </c>
      <c r="I1059" s="1649">
        <v>2611.8000000000002</v>
      </c>
      <c r="J1059" s="1649">
        <v>2628.2</v>
      </c>
      <c r="K1059" s="589" t="s">
        <v>1731</v>
      </c>
      <c r="L1059" s="540" t="s">
        <v>14</v>
      </c>
      <c r="M1059" s="540">
        <v>4.8</v>
      </c>
      <c r="N1059" s="540">
        <v>5.2</v>
      </c>
      <c r="O1059" s="540">
        <v>5.6</v>
      </c>
      <c r="P1059" s="540">
        <v>6</v>
      </c>
      <c r="Q1059" s="540">
        <v>6.4</v>
      </c>
    </row>
    <row r="1060" spans="1:17" ht="45" x14ac:dyDescent="0.25">
      <c r="A1060" s="394"/>
      <c r="B1060" s="2056"/>
      <c r="C1060" s="2057"/>
      <c r="D1060" s="2057"/>
      <c r="E1060" s="1978"/>
      <c r="F1060" s="2033"/>
      <c r="G1060" s="2033"/>
      <c r="H1060" s="2033"/>
      <c r="I1060" s="2033"/>
      <c r="J1060" s="2033"/>
      <c r="K1060" s="589" t="s">
        <v>1732</v>
      </c>
      <c r="L1060" s="540" t="s">
        <v>1733</v>
      </c>
      <c r="M1060" s="540">
        <v>390</v>
      </c>
      <c r="N1060" s="540">
        <v>434</v>
      </c>
      <c r="O1060" s="540">
        <v>452</v>
      </c>
      <c r="P1060" s="540">
        <v>470</v>
      </c>
      <c r="Q1060" s="540">
        <v>489</v>
      </c>
    </row>
    <row r="1061" spans="1:17" ht="30" x14ac:dyDescent="0.25">
      <c r="A1061" s="394"/>
      <c r="B1061" s="1865"/>
      <c r="C1061" s="1835"/>
      <c r="D1061" s="1835"/>
      <c r="E1061" s="1851"/>
      <c r="F1061" s="1650"/>
      <c r="G1061" s="1650"/>
      <c r="H1061" s="1650"/>
      <c r="I1061" s="1650"/>
      <c r="J1061" s="1650"/>
      <c r="K1061" s="589" t="s">
        <v>1734</v>
      </c>
      <c r="L1061" s="540" t="s">
        <v>68</v>
      </c>
      <c r="M1061" s="540">
        <v>24400</v>
      </c>
      <c r="N1061" s="540">
        <v>27090</v>
      </c>
      <c r="O1061" s="540">
        <v>30100</v>
      </c>
      <c r="P1061" s="540">
        <v>33075</v>
      </c>
      <c r="Q1061" s="540">
        <v>36385</v>
      </c>
    </row>
    <row r="1062" spans="1:17" ht="44.25" x14ac:dyDescent="0.25">
      <c r="A1062" s="394"/>
      <c r="B1062" s="660" t="s">
        <v>1735</v>
      </c>
      <c r="C1062" s="660"/>
      <c r="D1062" s="660"/>
      <c r="E1062" s="486" t="s">
        <v>1736</v>
      </c>
      <c r="F1062" s="420">
        <f>F1063+F1064+F1065</f>
        <v>510742.9</v>
      </c>
      <c r="G1062" s="420">
        <f t="shared" ref="G1062:J1062" si="104">G1063+G1064+G1065</f>
        <v>383874.9</v>
      </c>
      <c r="H1062" s="420">
        <f t="shared" si="104"/>
        <v>383875</v>
      </c>
      <c r="I1062" s="420">
        <f t="shared" si="104"/>
        <v>384209.9</v>
      </c>
      <c r="J1062" s="420">
        <f t="shared" si="104"/>
        <v>384983.8</v>
      </c>
      <c r="K1062" s="582"/>
      <c r="L1062" s="660"/>
      <c r="M1062" s="660"/>
      <c r="N1062" s="660"/>
      <c r="O1062" s="660"/>
      <c r="P1062" s="660"/>
      <c r="Q1062" s="660"/>
    </row>
    <row r="1063" spans="1:17" ht="30" x14ac:dyDescent="0.25">
      <c r="A1063" s="394"/>
      <c r="B1063" s="540"/>
      <c r="C1063" s="540" t="s">
        <v>2</v>
      </c>
      <c r="D1063" s="540"/>
      <c r="E1063" s="589" t="s">
        <v>1737</v>
      </c>
      <c r="F1063" s="729">
        <v>28069.4</v>
      </c>
      <c r="G1063" s="729">
        <v>4876</v>
      </c>
      <c r="H1063" s="729">
        <v>9607.7999999999993</v>
      </c>
      <c r="I1063" s="729">
        <v>9612.1</v>
      </c>
      <c r="J1063" s="729">
        <v>9621.6</v>
      </c>
      <c r="K1063" s="589" t="s">
        <v>13</v>
      </c>
      <c r="L1063" s="540" t="s">
        <v>968</v>
      </c>
      <c r="M1063" s="540">
        <v>550</v>
      </c>
      <c r="N1063" s="540">
        <v>600</v>
      </c>
      <c r="O1063" s="540">
        <v>620</v>
      </c>
      <c r="P1063" s="540">
        <v>620</v>
      </c>
      <c r="Q1063" s="540">
        <v>620</v>
      </c>
    </row>
    <row r="1064" spans="1:17" ht="45" x14ac:dyDescent="0.25">
      <c r="A1064" s="394"/>
      <c r="B1064" s="540"/>
      <c r="C1064" s="540" t="s">
        <v>3</v>
      </c>
      <c r="D1064" s="540"/>
      <c r="E1064" s="562" t="s">
        <v>1738</v>
      </c>
      <c r="F1064" s="729">
        <v>150347</v>
      </c>
      <c r="G1064" s="729">
        <v>152672.5</v>
      </c>
      <c r="H1064" s="729">
        <v>72677.600000000006</v>
      </c>
      <c r="I1064" s="729">
        <v>148073.29999999999</v>
      </c>
      <c r="J1064" s="729">
        <v>148395.29999999999</v>
      </c>
      <c r="K1064" s="589" t="s">
        <v>1739</v>
      </c>
      <c r="L1064" s="540" t="s">
        <v>975</v>
      </c>
      <c r="M1064" s="540">
        <v>40</v>
      </c>
      <c r="N1064" s="540">
        <v>60</v>
      </c>
      <c r="O1064" s="540">
        <v>80</v>
      </c>
      <c r="P1064" s="540">
        <v>80</v>
      </c>
      <c r="Q1064" s="540">
        <v>80</v>
      </c>
    </row>
    <row r="1065" spans="1:17" ht="45" x14ac:dyDescent="0.25">
      <c r="A1065" s="394"/>
      <c r="B1065" s="540"/>
      <c r="C1065" s="540" t="s">
        <v>4</v>
      </c>
      <c r="D1065" s="540"/>
      <c r="E1065" s="589" t="s">
        <v>1740</v>
      </c>
      <c r="F1065" s="729">
        <v>332326.5</v>
      </c>
      <c r="G1065" s="729">
        <f>226326.5-0.1</f>
        <v>226326.39999999999</v>
      </c>
      <c r="H1065" s="729">
        <v>301589.59999999998</v>
      </c>
      <c r="I1065" s="729">
        <f>226524.4+0.1</f>
        <v>226524.5</v>
      </c>
      <c r="J1065" s="729">
        <f>226967-0.1</f>
        <v>226966.9</v>
      </c>
      <c r="K1065" s="589" t="s">
        <v>1741</v>
      </c>
      <c r="L1065" s="540" t="s">
        <v>979</v>
      </c>
      <c r="M1065" s="540">
        <v>15</v>
      </c>
      <c r="N1065" s="540">
        <v>15</v>
      </c>
      <c r="O1065" s="540">
        <v>15</v>
      </c>
      <c r="P1065" s="540">
        <v>15</v>
      </c>
      <c r="Q1065" s="540">
        <v>15</v>
      </c>
    </row>
    <row r="1066" spans="1:17" x14ac:dyDescent="0.25">
      <c r="B1066" s="1973" t="s">
        <v>1427</v>
      </c>
      <c r="C1066" s="1973"/>
      <c r="D1066" s="1973"/>
      <c r="E1066" s="1973"/>
      <c r="F1066" s="205">
        <f>F1015+F1026+F1038+F1044+F1049+F1057+F1062</f>
        <v>2229675.1999999997</v>
      </c>
      <c r="G1066" s="205">
        <f t="shared" ref="G1066:J1066" si="105">G1015+G1026+G1038+G1044+G1049+G1057+G1062</f>
        <v>2002714.9000000004</v>
      </c>
      <c r="H1066" s="205">
        <f t="shared" si="105"/>
        <v>2244616.2999999998</v>
      </c>
      <c r="I1066" s="205">
        <f t="shared" si="105"/>
        <v>2025544</v>
      </c>
      <c r="J1066" s="205">
        <f t="shared" si="105"/>
        <v>2029234.5000000002</v>
      </c>
      <c r="K1066" s="567"/>
      <c r="L1066" s="673"/>
      <c r="M1066" s="567"/>
      <c r="N1066" s="567"/>
      <c r="O1066" s="567"/>
      <c r="P1066" s="567"/>
      <c r="Q1066" s="567"/>
    </row>
    <row r="1067" spans="1:17" x14ac:dyDescent="0.25">
      <c r="A1067" s="929"/>
      <c r="B1067" s="2052" t="s">
        <v>1742</v>
      </c>
      <c r="C1067" s="2052"/>
      <c r="D1067" s="2052"/>
      <c r="E1067" s="2052"/>
      <c r="F1067" s="1892"/>
      <c r="G1067" s="1892"/>
      <c r="H1067" s="1892"/>
      <c r="I1067" s="1892"/>
      <c r="J1067" s="1892"/>
      <c r="K1067" s="1892"/>
      <c r="L1067" s="1892"/>
      <c r="M1067" s="1892"/>
      <c r="N1067" s="1892"/>
      <c r="O1067" s="1892"/>
      <c r="P1067" s="1892"/>
      <c r="Q1067" s="1892"/>
    </row>
    <row r="1068" spans="1:17" x14ac:dyDescent="0.25">
      <c r="A1068" s="921"/>
      <c r="B1068" s="1573" t="s">
        <v>1743</v>
      </c>
      <c r="C1068" s="1573"/>
      <c r="D1068" s="1573"/>
      <c r="E1068" s="1573"/>
      <c r="F1068" s="1573"/>
      <c r="G1068" s="1573"/>
      <c r="H1068" s="1573"/>
      <c r="I1068" s="1573"/>
      <c r="J1068" s="1573"/>
      <c r="K1068" s="1573"/>
      <c r="L1068" s="1573"/>
      <c r="M1068" s="1573"/>
      <c r="N1068" s="1573"/>
      <c r="O1068" s="1573"/>
      <c r="P1068" s="1573"/>
      <c r="Q1068" s="1573"/>
    </row>
    <row r="1069" spans="1:17" ht="28.5" x14ac:dyDescent="0.25">
      <c r="A1069" s="394"/>
      <c r="B1069" s="733">
        <v>1</v>
      </c>
      <c r="C1069" s="655"/>
      <c r="D1069" s="878"/>
      <c r="E1069" s="582" t="s">
        <v>1641</v>
      </c>
      <c r="F1069" s="932">
        <f>F1070+F1072</f>
        <v>797.4</v>
      </c>
      <c r="G1069" s="932">
        <f t="shared" ref="G1069:J1069" si="106">G1070+G1072</f>
        <v>842.7</v>
      </c>
      <c r="H1069" s="932">
        <f>H1070</f>
        <v>842.7</v>
      </c>
      <c r="I1069" s="932">
        <f t="shared" si="106"/>
        <v>843.4</v>
      </c>
      <c r="J1069" s="932">
        <f t="shared" si="106"/>
        <v>845.1</v>
      </c>
      <c r="K1069" s="582" t="s">
        <v>1744</v>
      </c>
      <c r="L1069" s="660" t="s">
        <v>14</v>
      </c>
      <c r="M1069" s="584">
        <v>100</v>
      </c>
      <c r="N1069" s="584">
        <v>100</v>
      </c>
      <c r="O1069" s="584">
        <v>100</v>
      </c>
      <c r="P1069" s="584">
        <v>100</v>
      </c>
      <c r="Q1069" s="584">
        <v>100</v>
      </c>
    </row>
    <row r="1070" spans="1:17" ht="60" x14ac:dyDescent="0.25">
      <c r="A1070" s="394"/>
      <c r="B1070" s="933"/>
      <c r="C1070" s="655" t="s">
        <v>2</v>
      </c>
      <c r="D1070" s="762"/>
      <c r="E1070" s="589" t="s">
        <v>140</v>
      </c>
      <c r="F1070" s="729">
        <v>797.4</v>
      </c>
      <c r="G1070" s="729">
        <v>842.7</v>
      </c>
      <c r="H1070" s="729">
        <v>842.7</v>
      </c>
      <c r="I1070" s="729">
        <v>843.4</v>
      </c>
      <c r="J1070" s="729">
        <v>845.1</v>
      </c>
      <c r="K1070" s="589" t="s">
        <v>1745</v>
      </c>
      <c r="L1070" s="660"/>
      <c r="M1070" s="660">
        <v>100</v>
      </c>
      <c r="N1070" s="660">
        <v>100</v>
      </c>
      <c r="O1070" s="660">
        <v>100</v>
      </c>
      <c r="P1070" s="660">
        <v>100</v>
      </c>
      <c r="Q1070" s="660">
        <v>100</v>
      </c>
    </row>
    <row r="1071" spans="1:17" ht="42.75" x14ac:dyDescent="0.25">
      <c r="A1071" s="394"/>
      <c r="B1071" s="733">
        <v>8</v>
      </c>
      <c r="C1071" s="655"/>
      <c r="D1071" s="762"/>
      <c r="E1071" s="486" t="s">
        <v>1746</v>
      </c>
      <c r="F1071" s="420">
        <f>F1072</f>
        <v>0</v>
      </c>
      <c r="G1071" s="420">
        <f t="shared" ref="G1071:J1071" si="107">G1072</f>
        <v>0</v>
      </c>
      <c r="H1071" s="420">
        <f t="shared" si="107"/>
        <v>352</v>
      </c>
      <c r="I1071" s="420">
        <f t="shared" si="107"/>
        <v>0</v>
      </c>
      <c r="J1071" s="420">
        <f t="shared" si="107"/>
        <v>0</v>
      </c>
      <c r="K1071" s="93"/>
      <c r="L1071" s="660" t="s">
        <v>14</v>
      </c>
      <c r="M1071" s="660"/>
      <c r="N1071" s="660"/>
      <c r="O1071" s="660"/>
      <c r="P1071" s="660"/>
      <c r="Q1071" s="660"/>
    </row>
    <row r="1072" spans="1:17" ht="45" x14ac:dyDescent="0.25">
      <c r="A1072" s="394"/>
      <c r="B1072" s="933"/>
      <c r="C1072" s="655" t="s">
        <v>3</v>
      </c>
      <c r="D1072" s="762"/>
      <c r="E1072" s="527" t="s">
        <v>1747</v>
      </c>
      <c r="F1072" s="729"/>
      <c r="G1072" s="729"/>
      <c r="H1072" s="729">
        <v>352</v>
      </c>
      <c r="I1072" s="729"/>
      <c r="J1072" s="729"/>
      <c r="K1072" s="589" t="s">
        <v>1748</v>
      </c>
      <c r="L1072" s="540" t="s">
        <v>896</v>
      </c>
      <c r="M1072" s="660"/>
      <c r="N1072" s="660"/>
      <c r="O1072" s="660"/>
      <c r="P1072" s="660"/>
      <c r="Q1072" s="660">
        <v>3</v>
      </c>
    </row>
    <row r="1073" spans="1:17" x14ac:dyDescent="0.25">
      <c r="B1073" s="1973" t="s">
        <v>1427</v>
      </c>
      <c r="C1073" s="1973"/>
      <c r="D1073" s="1973"/>
      <c r="E1073" s="1973"/>
      <c r="F1073" s="207">
        <f>F1069</f>
        <v>797.4</v>
      </c>
      <c r="G1073" s="207">
        <f t="shared" ref="G1073:J1073" si="108">G1069</f>
        <v>842.7</v>
      </c>
      <c r="H1073" s="207">
        <f>H1069+H1071</f>
        <v>1194.7</v>
      </c>
      <c r="I1073" s="207">
        <f t="shared" si="108"/>
        <v>843.4</v>
      </c>
      <c r="J1073" s="207">
        <f t="shared" si="108"/>
        <v>845.1</v>
      </c>
      <c r="K1073" s="832"/>
      <c r="L1073" s="2053"/>
      <c r="M1073" s="2053"/>
      <c r="N1073" s="2053"/>
      <c r="O1073" s="2053"/>
      <c r="P1073" s="2053"/>
      <c r="Q1073" s="2053"/>
    </row>
    <row r="1074" spans="1:17" x14ac:dyDescent="0.25">
      <c r="A1074" s="921"/>
      <c r="B1074" s="1573" t="s">
        <v>1749</v>
      </c>
      <c r="C1074" s="1573"/>
      <c r="D1074" s="1573"/>
      <c r="E1074" s="1573"/>
      <c r="F1074" s="1573"/>
      <c r="G1074" s="1573"/>
      <c r="H1074" s="1573"/>
      <c r="I1074" s="1573"/>
      <c r="J1074" s="1573"/>
      <c r="K1074" s="1573"/>
      <c r="L1074" s="1573"/>
      <c r="M1074" s="1573"/>
      <c r="N1074" s="1573"/>
      <c r="O1074" s="1573"/>
      <c r="P1074" s="1573"/>
      <c r="Q1074" s="1573"/>
    </row>
    <row r="1075" spans="1:17" ht="75" x14ac:dyDescent="0.25">
      <c r="A1075" s="394"/>
      <c r="B1075" s="935">
        <v>1</v>
      </c>
      <c r="C1075" s="936"/>
      <c r="D1075" s="937"/>
      <c r="E1075" s="938" t="s">
        <v>1750</v>
      </c>
      <c r="F1075" s="939">
        <f t="shared" ref="F1075:G1075" si="109">F1076+F1077+F1081+F1078+F1079+F1080</f>
        <v>10280.6</v>
      </c>
      <c r="G1075" s="939">
        <f t="shared" si="109"/>
        <v>10280.799999999999</v>
      </c>
      <c r="H1075" s="939">
        <f>H1076+H1077+H1081+H1078+H1079+H1080</f>
        <v>10323.299999999999</v>
      </c>
      <c r="I1075" s="939">
        <f>I1076+I1077+I1081+I1078+I1079+I1080</f>
        <v>11216.399999999998</v>
      </c>
      <c r="J1075" s="939">
        <f>J1076+J1077+J1081+J1078+J1079+J1080</f>
        <v>11216.399999999998</v>
      </c>
      <c r="K1075" s="477" t="s">
        <v>1669</v>
      </c>
      <c r="L1075" s="940" t="s">
        <v>14</v>
      </c>
      <c r="M1075" s="940">
        <v>100</v>
      </c>
      <c r="N1075" s="940">
        <v>100</v>
      </c>
      <c r="O1075" s="940">
        <v>100</v>
      </c>
      <c r="P1075" s="940">
        <v>100</v>
      </c>
      <c r="Q1075" s="940">
        <v>100</v>
      </c>
    </row>
    <row r="1076" spans="1:17" x14ac:dyDescent="0.25">
      <c r="A1076" s="394"/>
      <c r="B1076" s="941"/>
      <c r="C1076" s="642">
        <v>1</v>
      </c>
      <c r="D1076" s="942"/>
      <c r="E1076" s="943" t="s">
        <v>140</v>
      </c>
      <c r="F1076" s="421">
        <v>4811.3</v>
      </c>
      <c r="G1076" s="421">
        <v>4811.3999999999996</v>
      </c>
      <c r="H1076" s="421">
        <v>4821.7</v>
      </c>
      <c r="I1076" s="421">
        <f>H1076+297.7</f>
        <v>5119.3999999999996</v>
      </c>
      <c r="J1076" s="421">
        <f>I1076</f>
        <v>5119.3999999999996</v>
      </c>
      <c r="K1076" s="589" t="s">
        <v>1751</v>
      </c>
      <c r="L1076" s="262" t="s">
        <v>15</v>
      </c>
      <c r="M1076" s="281"/>
      <c r="N1076" s="281"/>
      <c r="O1076" s="281"/>
      <c r="P1076" s="281"/>
      <c r="Q1076" s="281"/>
    </row>
    <row r="1077" spans="1:17" ht="30" x14ac:dyDescent="0.25">
      <c r="A1077" s="394"/>
      <c r="B1077" s="941"/>
      <c r="C1077" s="944">
        <v>2</v>
      </c>
      <c r="D1077" s="942"/>
      <c r="E1077" s="945" t="s">
        <v>1752</v>
      </c>
      <c r="F1077" s="421">
        <v>2323.5</v>
      </c>
      <c r="G1077" s="421">
        <v>2323.6</v>
      </c>
      <c r="H1077" s="421">
        <v>2296.1</v>
      </c>
      <c r="I1077" s="421">
        <f>H1077+297.7</f>
        <v>2593.7999999999997</v>
      </c>
      <c r="J1077" s="421">
        <f>I1077</f>
        <v>2593.7999999999997</v>
      </c>
      <c r="K1077" s="589" t="s">
        <v>1753</v>
      </c>
      <c r="L1077" s="262" t="s">
        <v>14</v>
      </c>
      <c r="M1077" s="281">
        <v>100</v>
      </c>
      <c r="N1077" s="281">
        <v>100</v>
      </c>
      <c r="O1077" s="281">
        <v>100</v>
      </c>
      <c r="P1077" s="281">
        <v>100</v>
      </c>
      <c r="Q1077" s="281">
        <v>100</v>
      </c>
    </row>
    <row r="1078" spans="1:17" ht="30" x14ac:dyDescent="0.25">
      <c r="A1078" s="394"/>
      <c r="B1078" s="941"/>
      <c r="C1078" s="944">
        <v>3</v>
      </c>
      <c r="D1078" s="942"/>
      <c r="E1078" s="945" t="s">
        <v>142</v>
      </c>
      <c r="F1078" s="421"/>
      <c r="G1078" s="421"/>
      <c r="H1078" s="421"/>
      <c r="I1078" s="421"/>
      <c r="J1078" s="421"/>
      <c r="K1078" s="930" t="s">
        <v>1674</v>
      </c>
      <c r="L1078" s="262" t="s">
        <v>14</v>
      </c>
      <c r="M1078" s="281"/>
      <c r="N1078" s="281"/>
      <c r="O1078" s="281"/>
      <c r="P1078" s="281"/>
      <c r="Q1078" s="281"/>
    </row>
    <row r="1079" spans="1:17" ht="30" x14ac:dyDescent="0.25">
      <c r="A1079" s="394"/>
      <c r="B1079" s="941"/>
      <c r="C1079" s="944">
        <v>4</v>
      </c>
      <c r="D1079" s="942"/>
      <c r="E1079" s="945" t="s">
        <v>143</v>
      </c>
      <c r="F1079" s="421"/>
      <c r="G1079" s="421"/>
      <c r="H1079" s="421"/>
      <c r="I1079" s="421"/>
      <c r="J1079" s="421"/>
      <c r="K1079" s="257" t="s">
        <v>1754</v>
      </c>
      <c r="L1079" s="262" t="s">
        <v>1054</v>
      </c>
      <c r="M1079" s="281"/>
      <c r="N1079" s="281"/>
      <c r="O1079" s="281"/>
      <c r="P1079" s="281"/>
      <c r="Q1079" s="281"/>
    </row>
    <row r="1080" spans="1:17" ht="30" x14ac:dyDescent="0.25">
      <c r="A1080" s="394"/>
      <c r="B1080" s="941"/>
      <c r="C1080" s="944">
        <v>5</v>
      </c>
      <c r="D1080" s="942"/>
      <c r="E1080" s="945" t="s">
        <v>1755</v>
      </c>
      <c r="F1080" s="421"/>
      <c r="G1080" s="421"/>
      <c r="H1080" s="421"/>
      <c r="I1080" s="421"/>
      <c r="J1080" s="421"/>
      <c r="K1080" s="589" t="s">
        <v>1756</v>
      </c>
      <c r="L1080" s="262" t="s">
        <v>968</v>
      </c>
      <c r="M1080" s="281"/>
      <c r="N1080" s="281"/>
      <c r="O1080" s="281"/>
      <c r="P1080" s="281"/>
      <c r="Q1080" s="281"/>
    </row>
    <row r="1081" spans="1:17" ht="45" x14ac:dyDescent="0.25">
      <c r="A1081" s="394"/>
      <c r="B1081" s="941"/>
      <c r="C1081" s="946">
        <v>6</v>
      </c>
      <c r="D1081" s="942"/>
      <c r="E1081" s="947" t="s">
        <v>998</v>
      </c>
      <c r="F1081" s="421">
        <v>3145.8</v>
      </c>
      <c r="G1081" s="421">
        <v>3145.8</v>
      </c>
      <c r="H1081" s="421">
        <v>3205.5</v>
      </c>
      <c r="I1081" s="421">
        <f>H1081+297.7</f>
        <v>3503.2</v>
      </c>
      <c r="J1081" s="421">
        <f>I1081</f>
        <v>3503.2</v>
      </c>
      <c r="K1081" s="589" t="s">
        <v>1433</v>
      </c>
      <c r="L1081" s="262" t="s">
        <v>14</v>
      </c>
      <c r="M1081" s="281"/>
      <c r="N1081" s="281"/>
      <c r="O1081" s="281"/>
      <c r="P1081" s="281"/>
      <c r="Q1081" s="281"/>
    </row>
    <row r="1082" spans="1:17" ht="30" x14ac:dyDescent="0.25">
      <c r="A1082" s="394"/>
      <c r="B1082" s="941"/>
      <c r="C1082" s="946">
        <v>7</v>
      </c>
      <c r="D1082" s="942"/>
      <c r="E1082" s="947" t="s">
        <v>1757</v>
      </c>
      <c r="F1082" s="421"/>
      <c r="G1082" s="421"/>
      <c r="H1082" s="421"/>
      <c r="I1082" s="421"/>
      <c r="J1082" s="421"/>
      <c r="K1082" s="257"/>
      <c r="L1082" s="262"/>
      <c r="M1082" s="281"/>
      <c r="N1082" s="281"/>
      <c r="O1082" s="281"/>
      <c r="P1082" s="281"/>
      <c r="Q1082" s="281"/>
    </row>
    <row r="1083" spans="1:17" x14ac:dyDescent="0.25">
      <c r="A1083" s="394"/>
      <c r="B1083" s="941"/>
      <c r="C1083" s="946">
        <v>8</v>
      </c>
      <c r="D1083" s="942"/>
      <c r="E1083" s="947" t="s">
        <v>295</v>
      </c>
      <c r="F1083" s="421"/>
      <c r="G1083" s="421"/>
      <c r="H1083" s="421"/>
      <c r="I1083" s="421"/>
      <c r="J1083" s="421"/>
      <c r="K1083" s="257"/>
      <c r="L1083" s="262"/>
      <c r="M1083" s="281"/>
      <c r="N1083" s="281"/>
      <c r="O1083" s="281"/>
      <c r="P1083" s="281"/>
      <c r="Q1083" s="281"/>
    </row>
    <row r="1084" spans="1:17" ht="88.5" x14ac:dyDescent="0.25">
      <c r="A1084" s="394"/>
      <c r="B1084" s="948" t="s">
        <v>1758</v>
      </c>
      <c r="C1084" s="949"/>
      <c r="D1084" s="949"/>
      <c r="E1084" s="582" t="s">
        <v>1759</v>
      </c>
      <c r="F1084" s="419">
        <f t="shared" ref="F1084:G1084" si="110">SUM(F1085:F1087)</f>
        <v>11665.7</v>
      </c>
      <c r="G1084" s="419">
        <f t="shared" si="110"/>
        <v>11665.7</v>
      </c>
      <c r="H1084" s="419">
        <f>SUM(H1085:H1087)</f>
        <v>11623.2</v>
      </c>
      <c r="I1084" s="419">
        <f>I1085+I1086+I1087</f>
        <v>12516.2</v>
      </c>
      <c r="J1084" s="419">
        <f>I1084</f>
        <v>12516.2</v>
      </c>
      <c r="K1084" s="589" t="s">
        <v>1760</v>
      </c>
      <c r="L1084" s="262" t="s">
        <v>979</v>
      </c>
      <c r="M1084" s="262">
        <v>49500</v>
      </c>
      <c r="N1084" s="950">
        <v>50500</v>
      </c>
      <c r="O1084" s="950">
        <v>51000</v>
      </c>
      <c r="P1084" s="950">
        <v>51500</v>
      </c>
      <c r="Q1084" s="950">
        <v>52000</v>
      </c>
    </row>
    <row r="1085" spans="1:17" ht="45" x14ac:dyDescent="0.25">
      <c r="A1085" s="394"/>
      <c r="B1085" s="951"/>
      <c r="C1085" s="952" t="s">
        <v>2</v>
      </c>
      <c r="D1085" s="949"/>
      <c r="E1085" s="589" t="s">
        <v>1761</v>
      </c>
      <c r="F1085" s="417">
        <v>4766.2</v>
      </c>
      <c r="G1085" s="417">
        <v>4766.2</v>
      </c>
      <c r="H1085" s="421">
        <v>4795.6000000000004</v>
      </c>
      <c r="I1085" s="421">
        <f>H1085+297.7</f>
        <v>5093.3</v>
      </c>
      <c r="J1085" s="421">
        <f>I1085</f>
        <v>5093.3</v>
      </c>
      <c r="K1085" s="589" t="s">
        <v>1762</v>
      </c>
      <c r="L1085" s="262" t="s">
        <v>1763</v>
      </c>
      <c r="M1085" s="265">
        <v>11</v>
      </c>
      <c r="N1085" s="953">
        <v>12</v>
      </c>
      <c r="O1085" s="953">
        <v>12</v>
      </c>
      <c r="P1085" s="953">
        <v>12</v>
      </c>
      <c r="Q1085" s="953">
        <v>12</v>
      </c>
    </row>
    <row r="1086" spans="1:17" ht="45" x14ac:dyDescent="0.25">
      <c r="A1086" s="394"/>
      <c r="B1086" s="951"/>
      <c r="C1086" s="952" t="s">
        <v>3</v>
      </c>
      <c r="D1086" s="949"/>
      <c r="E1086" s="589" t="s">
        <v>1764</v>
      </c>
      <c r="F1086" s="417">
        <v>2702.3</v>
      </c>
      <c r="G1086" s="417">
        <v>2702.3</v>
      </c>
      <c r="H1086" s="421">
        <v>2602.6999999999998</v>
      </c>
      <c r="I1086" s="421">
        <f>H1086+297.7</f>
        <v>2900.3999999999996</v>
      </c>
      <c r="J1086" s="421">
        <f>I1086</f>
        <v>2900.3999999999996</v>
      </c>
      <c r="K1086" s="589" t="s">
        <v>1765</v>
      </c>
      <c r="L1086" s="262" t="s">
        <v>979</v>
      </c>
      <c r="M1086" s="265">
        <v>5000</v>
      </c>
      <c r="N1086" s="954">
        <v>5100</v>
      </c>
      <c r="O1086" s="954">
        <v>5200</v>
      </c>
      <c r="P1086" s="954">
        <v>5300</v>
      </c>
      <c r="Q1086" s="954">
        <v>5400</v>
      </c>
    </row>
    <row r="1087" spans="1:17" ht="30" x14ac:dyDescent="0.25">
      <c r="A1087" s="394"/>
      <c r="B1087" s="955"/>
      <c r="C1087" s="956" t="s">
        <v>4</v>
      </c>
      <c r="D1087" s="957"/>
      <c r="E1087" s="589" t="s">
        <v>1766</v>
      </c>
      <c r="F1087" s="421">
        <v>4197.2</v>
      </c>
      <c r="G1087" s="421">
        <v>4197.2</v>
      </c>
      <c r="H1087" s="421">
        <v>4224.8999999999996</v>
      </c>
      <c r="I1087" s="421">
        <f>H1087+297.6</f>
        <v>4522.5</v>
      </c>
      <c r="J1087" s="421">
        <f>I1087</f>
        <v>4522.5</v>
      </c>
      <c r="K1087" s="589" t="s">
        <v>1767</v>
      </c>
      <c r="L1087" s="262" t="s">
        <v>975</v>
      </c>
      <c r="M1087" s="265">
        <v>924000</v>
      </c>
      <c r="N1087" s="953">
        <v>1056000</v>
      </c>
      <c r="O1087" s="953">
        <v>1100000</v>
      </c>
      <c r="P1087" s="953">
        <v>1188000</v>
      </c>
      <c r="Q1087" s="953">
        <v>1320000</v>
      </c>
    </row>
    <row r="1088" spans="1:17" x14ac:dyDescent="0.25">
      <c r="B1088" s="2054" t="s">
        <v>1427</v>
      </c>
      <c r="C1088" s="2054"/>
      <c r="D1088" s="2054"/>
      <c r="E1088" s="2054"/>
      <c r="F1088" s="463">
        <f t="shared" ref="F1088:G1088" si="111">F1075+F1084</f>
        <v>21946.300000000003</v>
      </c>
      <c r="G1088" s="463">
        <f t="shared" si="111"/>
        <v>21946.5</v>
      </c>
      <c r="H1088" s="463">
        <f>H1075+H1084</f>
        <v>21946.5</v>
      </c>
      <c r="I1088" s="463">
        <f>I1075+I1084</f>
        <v>23732.6</v>
      </c>
      <c r="J1088" s="463">
        <f>J1075+J1084</f>
        <v>23732.6</v>
      </c>
      <c r="K1088" s="326"/>
      <c r="L1088" s="2055"/>
      <c r="M1088" s="2055"/>
      <c r="N1088" s="2055"/>
      <c r="O1088" s="2055"/>
      <c r="P1088" s="2055"/>
      <c r="Q1088" s="2055"/>
    </row>
    <row r="1089" spans="1:17" x14ac:dyDescent="0.25">
      <c r="A1089" s="921"/>
      <c r="B1089" s="1573" t="s">
        <v>1768</v>
      </c>
      <c r="C1089" s="1573"/>
      <c r="D1089" s="1573"/>
      <c r="E1089" s="1573"/>
      <c r="F1089" s="1573"/>
      <c r="G1089" s="1573"/>
      <c r="H1089" s="1573"/>
      <c r="I1089" s="1573"/>
      <c r="J1089" s="1573"/>
      <c r="K1089" s="1573"/>
      <c r="L1089" s="1573"/>
      <c r="M1089" s="1573"/>
      <c r="N1089" s="1573"/>
      <c r="O1089" s="1573"/>
      <c r="P1089" s="1573"/>
      <c r="Q1089" s="1573"/>
    </row>
    <row r="1090" spans="1:17" ht="114" x14ac:dyDescent="0.25">
      <c r="A1090" s="394"/>
      <c r="B1090" s="328">
        <v>972</v>
      </c>
      <c r="C1090" s="958"/>
      <c r="D1090" s="959"/>
      <c r="E1090" s="960" t="s">
        <v>1769</v>
      </c>
      <c r="F1090" s="430">
        <f>F1091</f>
        <v>17250.5</v>
      </c>
      <c r="G1090" s="430">
        <f t="shared" ref="G1090:J1090" si="112">G1091</f>
        <v>17157.599999999999</v>
      </c>
      <c r="H1090" s="430">
        <f t="shared" si="112"/>
        <v>17157.599999999999</v>
      </c>
      <c r="I1090" s="430">
        <f t="shared" si="112"/>
        <v>17170</v>
      </c>
      <c r="J1090" s="430">
        <f t="shared" si="112"/>
        <v>17198.599999999999</v>
      </c>
      <c r="K1090" s="582" t="s">
        <v>1770</v>
      </c>
      <c r="L1090" s="511" t="s">
        <v>1414</v>
      </c>
      <c r="M1090" s="511">
        <v>130</v>
      </c>
      <c r="N1090" s="511">
        <v>150</v>
      </c>
      <c r="O1090" s="511">
        <v>170</v>
      </c>
      <c r="P1090" s="511">
        <v>200</v>
      </c>
      <c r="Q1090" s="511">
        <v>210</v>
      </c>
    </row>
    <row r="1091" spans="1:17" x14ac:dyDescent="0.25">
      <c r="A1091" s="394"/>
      <c r="B1091" s="1826"/>
      <c r="C1091" s="1827">
        <v>1</v>
      </c>
      <c r="D1091" s="1828"/>
      <c r="E1091" s="2051" t="s">
        <v>1771</v>
      </c>
      <c r="F1091" s="1599">
        <v>17250.5</v>
      </c>
      <c r="G1091" s="1599">
        <v>17157.599999999999</v>
      </c>
      <c r="H1091" s="1599">
        <f>14207.6+2950</f>
        <v>17157.599999999999</v>
      </c>
      <c r="I1091" s="1599">
        <v>17170</v>
      </c>
      <c r="J1091" s="1599">
        <v>17198.599999999999</v>
      </c>
      <c r="K1091" s="589" t="s">
        <v>1772</v>
      </c>
      <c r="L1091" s="511" t="s">
        <v>979</v>
      </c>
      <c r="M1091" s="511">
        <v>6.8</v>
      </c>
      <c r="N1091" s="511">
        <v>7</v>
      </c>
      <c r="O1091" s="511">
        <v>7.5</v>
      </c>
      <c r="P1091" s="511">
        <v>8</v>
      </c>
      <c r="Q1091" s="511">
        <v>8.1999999999999993</v>
      </c>
    </row>
    <row r="1092" spans="1:17" x14ac:dyDescent="0.25">
      <c r="A1092" s="394"/>
      <c r="B1092" s="1826"/>
      <c r="C1092" s="1827"/>
      <c r="D1092" s="1828"/>
      <c r="E1092" s="2051"/>
      <c r="F1092" s="1610"/>
      <c r="G1092" s="1610"/>
      <c r="H1092" s="1610"/>
      <c r="I1092" s="1610"/>
      <c r="J1092" s="1610"/>
      <c r="K1092" s="589" t="s">
        <v>1773</v>
      </c>
      <c r="L1092" s="511"/>
      <c r="M1092" s="511">
        <v>11000</v>
      </c>
      <c r="N1092" s="511">
        <v>11700</v>
      </c>
      <c r="O1092" s="511">
        <v>12000</v>
      </c>
      <c r="P1092" s="511">
        <v>12100</v>
      </c>
      <c r="Q1092" s="511">
        <v>12200</v>
      </c>
    </row>
    <row r="1093" spans="1:17" ht="60" x14ac:dyDescent="0.25">
      <c r="A1093" s="394"/>
      <c r="B1093" s="1826"/>
      <c r="C1093" s="1827"/>
      <c r="D1093" s="1828"/>
      <c r="E1093" s="2051"/>
      <c r="F1093" s="1610"/>
      <c r="G1093" s="1610"/>
      <c r="H1093" s="1610"/>
      <c r="I1093" s="1610"/>
      <c r="J1093" s="1610"/>
      <c r="K1093" s="589" t="s">
        <v>1774</v>
      </c>
      <c r="L1093" s="511" t="s">
        <v>1414</v>
      </c>
      <c r="M1093" s="511">
        <v>14</v>
      </c>
      <c r="N1093" s="511">
        <v>15</v>
      </c>
      <c r="O1093" s="511">
        <v>16</v>
      </c>
      <c r="P1093" s="511">
        <v>17</v>
      </c>
      <c r="Q1093" s="511">
        <v>18</v>
      </c>
    </row>
    <row r="1094" spans="1:17" x14ac:dyDescent="0.25">
      <c r="A1094" s="394"/>
      <c r="B1094" s="1826"/>
      <c r="C1094" s="1827"/>
      <c r="D1094" s="1828"/>
      <c r="E1094" s="2051"/>
      <c r="F1094" s="1600"/>
      <c r="G1094" s="1600"/>
      <c r="H1094" s="1600"/>
      <c r="I1094" s="1600"/>
      <c r="J1094" s="1600"/>
      <c r="K1094" s="589" t="s">
        <v>1775</v>
      </c>
      <c r="L1094" s="511" t="s">
        <v>1776</v>
      </c>
      <c r="M1094" s="511">
        <v>3500</v>
      </c>
      <c r="N1094" s="511">
        <v>3800</v>
      </c>
      <c r="O1094" s="511">
        <v>4000</v>
      </c>
      <c r="P1094" s="511">
        <v>4200</v>
      </c>
      <c r="Q1094" s="511">
        <v>4300</v>
      </c>
    </row>
    <row r="1095" spans="1:17" x14ac:dyDescent="0.25">
      <c r="B1095" s="1973" t="s">
        <v>1427</v>
      </c>
      <c r="C1095" s="1973"/>
      <c r="D1095" s="1973"/>
      <c r="E1095" s="1973"/>
      <c r="F1095" s="207">
        <f>SUM(F1090)</f>
        <v>17250.5</v>
      </c>
      <c r="G1095" s="207">
        <f>SUM(G1090)</f>
        <v>17157.599999999999</v>
      </c>
      <c r="H1095" s="207">
        <f>SUM(H1090)</f>
        <v>17157.599999999999</v>
      </c>
      <c r="I1095" s="207">
        <f>SUM(I1090)</f>
        <v>17170</v>
      </c>
      <c r="J1095" s="207">
        <f>SUM(J1090)</f>
        <v>17198.599999999999</v>
      </c>
      <c r="K1095" s="133"/>
      <c r="L1095" s="1771"/>
      <c r="M1095" s="1771"/>
      <c r="N1095" s="1771"/>
      <c r="O1095" s="1771"/>
      <c r="P1095" s="1771"/>
      <c r="Q1095" s="1771"/>
    </row>
    <row r="1096" spans="1:17" x14ac:dyDescent="0.25">
      <c r="A1096" s="921"/>
      <c r="B1096" s="1643" t="s">
        <v>1777</v>
      </c>
      <c r="C1096" s="1643"/>
      <c r="D1096" s="1643"/>
      <c r="E1096" s="1643"/>
      <c r="F1096" s="1573"/>
      <c r="G1096" s="1573"/>
      <c r="H1096" s="1573"/>
      <c r="I1096" s="1573"/>
      <c r="J1096" s="1573"/>
      <c r="K1096" s="1573"/>
      <c r="L1096" s="1573"/>
      <c r="M1096" s="1573"/>
      <c r="N1096" s="1573"/>
      <c r="O1096" s="1573"/>
      <c r="P1096" s="1573"/>
      <c r="Q1096" s="1573"/>
    </row>
    <row r="1097" spans="1:17" ht="88.5" x14ac:dyDescent="0.25">
      <c r="A1097" s="394"/>
      <c r="B1097" s="961">
        <v>1</v>
      </c>
      <c r="C1097" s="962"/>
      <c r="D1097" s="962"/>
      <c r="E1097" s="963" t="s">
        <v>1778</v>
      </c>
      <c r="F1097" s="419">
        <f>F1098+F1099+F1100+F1101+F1102+F1103+F1104</f>
        <v>82988.399999999994</v>
      </c>
      <c r="G1097" s="420">
        <f>G1098+G1099+G1100+G1101+G1102+G1103+G1104</f>
        <v>77155.8</v>
      </c>
      <c r="H1097" s="420">
        <f>H1098+H1099+H1100+H1101+H1102+H1103+H1104+H1105</f>
        <v>123117</v>
      </c>
      <c r="I1097" s="420">
        <f>I1098+I1099+I1100+I1101+I1102+I1103+I1104+I1105</f>
        <v>123240.117</v>
      </c>
      <c r="J1097" s="420">
        <f>J1098+J1099+J1100+J1101+J1102+J1103+J1104+J1105</f>
        <v>123486.59723399999</v>
      </c>
      <c r="K1097" s="265" t="s">
        <v>1779</v>
      </c>
      <c r="L1097" s="281" t="s">
        <v>14</v>
      </c>
      <c r="M1097" s="281">
        <v>100</v>
      </c>
      <c r="N1097" s="281"/>
      <c r="O1097" s="281"/>
      <c r="P1097" s="281"/>
      <c r="Q1097" s="281"/>
    </row>
    <row r="1098" spans="1:17" x14ac:dyDescent="0.25">
      <c r="A1098" s="394"/>
      <c r="B1098" s="964"/>
      <c r="C1098" s="946">
        <v>1</v>
      </c>
      <c r="D1098" s="965"/>
      <c r="E1098" s="943" t="s">
        <v>205</v>
      </c>
      <c r="F1098" s="966">
        <v>14273.7</v>
      </c>
      <c r="G1098" s="729">
        <f>13985.8-1156.8</f>
        <v>12829</v>
      </c>
      <c r="H1098" s="729">
        <v>8443.7000000000007</v>
      </c>
      <c r="I1098" s="421">
        <f>H1098*100.1/100</f>
        <v>8452.1437000000005</v>
      </c>
      <c r="J1098" s="421">
        <f>I1098*100.2/100</f>
        <v>8469.0479874000011</v>
      </c>
      <c r="K1098" s="257" t="s">
        <v>1780</v>
      </c>
      <c r="L1098" s="262" t="s">
        <v>15</v>
      </c>
      <c r="M1098" s="262">
        <v>96</v>
      </c>
      <c r="N1098" s="262"/>
      <c r="O1098" s="262"/>
      <c r="P1098" s="262"/>
      <c r="Q1098" s="262"/>
    </row>
    <row r="1099" spans="1:17" ht="30" x14ac:dyDescent="0.25">
      <c r="A1099" s="394"/>
      <c r="B1099" s="964"/>
      <c r="C1099" s="946">
        <v>2</v>
      </c>
      <c r="D1099" s="965"/>
      <c r="E1099" s="945" t="s">
        <v>206</v>
      </c>
      <c r="F1099" s="966">
        <v>7908.8</v>
      </c>
      <c r="G1099" s="729">
        <f>7806-500</f>
        <v>7306</v>
      </c>
      <c r="H1099" s="729"/>
      <c r="I1099" s="421">
        <f t="shared" ref="I1099:I1105" si="113">H1099*100.1/100</f>
        <v>0</v>
      </c>
      <c r="J1099" s="421">
        <f t="shared" ref="J1099:J1105" si="114">I1099*100.2/100</f>
        <v>0</v>
      </c>
      <c r="K1099" s="257" t="s">
        <v>1781</v>
      </c>
      <c r="L1099" s="262" t="s">
        <v>14</v>
      </c>
      <c r="M1099" s="262">
        <v>100</v>
      </c>
      <c r="N1099" s="262"/>
      <c r="O1099" s="262"/>
      <c r="P1099" s="262"/>
      <c r="Q1099" s="262"/>
    </row>
    <row r="1100" spans="1:17" ht="30" x14ac:dyDescent="0.25">
      <c r="A1100" s="394"/>
      <c r="B1100" s="964"/>
      <c r="C1100" s="946">
        <v>3</v>
      </c>
      <c r="D1100" s="965"/>
      <c r="E1100" s="945" t="s">
        <v>262</v>
      </c>
      <c r="F1100" s="966">
        <v>9651.6</v>
      </c>
      <c r="G1100" s="729">
        <f>9432.3-1000</f>
        <v>8432.2999999999993</v>
      </c>
      <c r="H1100" s="729"/>
      <c r="I1100" s="421">
        <f t="shared" si="113"/>
        <v>0</v>
      </c>
      <c r="J1100" s="421">
        <f t="shared" si="114"/>
        <v>0</v>
      </c>
      <c r="K1100" s="967" t="s">
        <v>1782</v>
      </c>
      <c r="L1100" s="262" t="s">
        <v>14</v>
      </c>
      <c r="M1100" s="262">
        <v>0</v>
      </c>
      <c r="N1100" s="262"/>
      <c r="O1100" s="262"/>
      <c r="P1100" s="262"/>
      <c r="Q1100" s="262"/>
    </row>
    <row r="1101" spans="1:17" ht="30" x14ac:dyDescent="0.25">
      <c r="A1101" s="394"/>
      <c r="B1101" s="964"/>
      <c r="C1101" s="946">
        <v>4</v>
      </c>
      <c r="D1101" s="965"/>
      <c r="E1101" s="945" t="s">
        <v>143</v>
      </c>
      <c r="F1101" s="966">
        <v>3643.2</v>
      </c>
      <c r="G1101" s="729">
        <v>3577.8</v>
      </c>
      <c r="H1101" s="729"/>
      <c r="I1101" s="421">
        <f t="shared" si="113"/>
        <v>0</v>
      </c>
      <c r="J1101" s="421">
        <f t="shared" si="114"/>
        <v>0</v>
      </c>
      <c r="K1101" s="257" t="s">
        <v>1754</v>
      </c>
      <c r="L1101" s="262" t="s">
        <v>968</v>
      </c>
      <c r="M1101" s="262">
        <v>4</v>
      </c>
      <c r="N1101" s="262"/>
      <c r="O1101" s="262"/>
      <c r="P1101" s="262"/>
      <c r="Q1101" s="262"/>
    </row>
    <row r="1102" spans="1:17" ht="45" x14ac:dyDescent="0.25">
      <c r="A1102" s="394"/>
      <c r="B1102" s="964"/>
      <c r="C1102" s="946">
        <v>5</v>
      </c>
      <c r="D1102" s="965"/>
      <c r="E1102" s="945" t="s">
        <v>1783</v>
      </c>
      <c r="F1102" s="966">
        <v>6539.5</v>
      </c>
      <c r="G1102" s="729">
        <f>6423.8-500</f>
        <v>5923.8</v>
      </c>
      <c r="H1102" s="729"/>
      <c r="I1102" s="421">
        <f t="shared" si="113"/>
        <v>0</v>
      </c>
      <c r="J1102" s="421">
        <f t="shared" si="114"/>
        <v>0</v>
      </c>
      <c r="K1102" s="257" t="s">
        <v>1784</v>
      </c>
      <c r="L1102" s="262" t="s">
        <v>974</v>
      </c>
      <c r="M1102" s="262">
        <v>12682</v>
      </c>
      <c r="N1102" s="262"/>
      <c r="O1102" s="262"/>
      <c r="P1102" s="262"/>
      <c r="Q1102" s="262"/>
    </row>
    <row r="1103" spans="1:17" ht="45" x14ac:dyDescent="0.25">
      <c r="A1103" s="394"/>
      <c r="B1103" s="964"/>
      <c r="C1103" s="946">
        <v>6</v>
      </c>
      <c r="D1103" s="965"/>
      <c r="E1103" s="562" t="s">
        <v>1785</v>
      </c>
      <c r="F1103" s="421">
        <v>34150</v>
      </c>
      <c r="G1103" s="729">
        <v>32419.200000000001</v>
      </c>
      <c r="H1103" s="729">
        <v>13884.3</v>
      </c>
      <c r="I1103" s="421">
        <f t="shared" si="113"/>
        <v>13898.184299999999</v>
      </c>
      <c r="J1103" s="421">
        <f t="shared" si="114"/>
        <v>13925.980668599999</v>
      </c>
      <c r="K1103" s="257" t="s">
        <v>1786</v>
      </c>
      <c r="L1103" s="262" t="s">
        <v>14</v>
      </c>
      <c r="M1103" s="262">
        <v>0</v>
      </c>
      <c r="N1103" s="262"/>
      <c r="O1103" s="262"/>
      <c r="P1103" s="262"/>
      <c r="Q1103" s="262"/>
    </row>
    <row r="1104" spans="1:17" ht="30" x14ac:dyDescent="0.25">
      <c r="A1104" s="394"/>
      <c r="B1104" s="964"/>
      <c r="C1104" s="946">
        <v>7</v>
      </c>
      <c r="D1104" s="965"/>
      <c r="E1104" s="589" t="s">
        <v>1787</v>
      </c>
      <c r="F1104" s="421">
        <v>6821.6</v>
      </c>
      <c r="G1104" s="729">
        <v>6667.7</v>
      </c>
      <c r="H1104" s="729"/>
      <c r="I1104" s="421">
        <f t="shared" si="113"/>
        <v>0</v>
      </c>
      <c r="J1104" s="421">
        <f t="shared" si="114"/>
        <v>0</v>
      </c>
      <c r="K1104" s="589"/>
      <c r="L1104" s="262" t="s">
        <v>14</v>
      </c>
      <c r="M1104" s="262"/>
      <c r="N1104" s="262"/>
      <c r="O1104" s="262"/>
      <c r="P1104" s="262"/>
      <c r="Q1104" s="262"/>
    </row>
    <row r="1105" spans="1:17" ht="45" x14ac:dyDescent="0.25">
      <c r="A1105" s="394"/>
      <c r="B1105" s="964"/>
      <c r="C1105" s="946">
        <v>52</v>
      </c>
      <c r="D1105" s="965"/>
      <c r="E1105" s="589" t="s">
        <v>1788</v>
      </c>
      <c r="F1105" s="421">
        <v>0</v>
      </c>
      <c r="G1105" s="729">
        <v>0</v>
      </c>
      <c r="H1105" s="729">
        <v>100789</v>
      </c>
      <c r="I1105" s="421">
        <f t="shared" si="113"/>
        <v>100889.78899999999</v>
      </c>
      <c r="J1105" s="421">
        <f t="shared" si="114"/>
        <v>101091.56857799999</v>
      </c>
      <c r="K1105" s="265" t="s">
        <v>1789</v>
      </c>
      <c r="L1105" s="262" t="s">
        <v>14</v>
      </c>
      <c r="M1105" s="262">
        <v>0</v>
      </c>
      <c r="N1105" s="262"/>
      <c r="O1105" s="262"/>
      <c r="P1105" s="262"/>
      <c r="Q1105" s="262"/>
    </row>
    <row r="1106" spans="1:17" ht="88.5" x14ac:dyDescent="0.25">
      <c r="A1106" s="394"/>
      <c r="B1106" s="439" t="s">
        <v>91</v>
      </c>
      <c r="C1106" s="439"/>
      <c r="D1106" s="439"/>
      <c r="E1106" s="348" t="s">
        <v>1790</v>
      </c>
      <c r="F1106" s="420">
        <f>F1107+F1108+F1109+F1110</f>
        <v>290220.7</v>
      </c>
      <c r="G1106" s="420">
        <f>G1107+G1108+G1109+G1110</f>
        <v>427754.7</v>
      </c>
      <c r="H1106" s="420">
        <f>H1107+H1108+H1109+H1110</f>
        <v>570100.69999999995</v>
      </c>
      <c r="I1106" s="420">
        <f>I1107+I1108+I1109+I1110</f>
        <v>715206.42370000004</v>
      </c>
      <c r="J1106" s="420">
        <f>J1107+J1108+J1109+J1110</f>
        <v>483726.30094739998</v>
      </c>
      <c r="K1106" s="812" t="s">
        <v>1791</v>
      </c>
      <c r="L1106" s="660" t="s">
        <v>14</v>
      </c>
      <c r="M1106" s="660">
        <v>98</v>
      </c>
      <c r="N1106" s="968"/>
      <c r="O1106" s="968"/>
      <c r="P1106" s="968"/>
      <c r="Q1106" s="968"/>
    </row>
    <row r="1107" spans="1:17" ht="60" x14ac:dyDescent="0.25">
      <c r="A1107" s="394"/>
      <c r="B1107" s="956"/>
      <c r="C1107" s="956" t="s">
        <v>2</v>
      </c>
      <c r="D1107" s="956"/>
      <c r="E1107" s="589" t="s">
        <v>1792</v>
      </c>
      <c r="F1107" s="421">
        <f>14531.5</f>
        <v>14531.5</v>
      </c>
      <c r="G1107" s="729">
        <f>14271.9+2581.1</f>
        <v>16853</v>
      </c>
      <c r="H1107" s="729">
        <v>14923.7</v>
      </c>
      <c r="I1107" s="421">
        <f>H1107*100.1/100</f>
        <v>14938.623699999998</v>
      </c>
      <c r="J1107" s="421">
        <f>I1107*100.2/100</f>
        <v>14968.500947399998</v>
      </c>
      <c r="K1107" s="257" t="s">
        <v>1793</v>
      </c>
      <c r="L1107" s="262" t="s">
        <v>974</v>
      </c>
      <c r="M1107" s="262">
        <v>1857</v>
      </c>
      <c r="N1107" s="965"/>
      <c r="O1107" s="965"/>
      <c r="P1107" s="965"/>
      <c r="Q1107" s="965"/>
    </row>
    <row r="1108" spans="1:17" x14ac:dyDescent="0.25">
      <c r="A1108" s="394"/>
      <c r="B1108" s="2028"/>
      <c r="C1108" s="2028" t="s">
        <v>3</v>
      </c>
      <c r="D1108" s="2028"/>
      <c r="E1108" s="2017" t="s">
        <v>1794</v>
      </c>
      <c r="F1108" s="2029">
        <v>147265.1</v>
      </c>
      <c r="G1108" s="1649">
        <v>144852</v>
      </c>
      <c r="H1108" s="1649">
        <v>144867</v>
      </c>
      <c r="I1108" s="2029">
        <v>145011.9</v>
      </c>
      <c r="J1108" s="2029">
        <v>145301.79999999999</v>
      </c>
      <c r="K1108" s="2045" t="s">
        <v>1795</v>
      </c>
      <c r="L1108" s="2047" t="s">
        <v>14</v>
      </c>
      <c r="M1108" s="2047">
        <v>98</v>
      </c>
      <c r="N1108" s="2049"/>
      <c r="O1108" s="2049"/>
      <c r="P1108" s="2049"/>
      <c r="Q1108" s="2049"/>
    </row>
    <row r="1109" spans="1:17" x14ac:dyDescent="0.25">
      <c r="A1109" s="394"/>
      <c r="B1109" s="2028"/>
      <c r="C1109" s="2028"/>
      <c r="D1109" s="2028"/>
      <c r="E1109" s="2018"/>
      <c r="F1109" s="2030"/>
      <c r="G1109" s="1650"/>
      <c r="H1109" s="1650"/>
      <c r="I1109" s="2030"/>
      <c r="J1109" s="2030"/>
      <c r="K1109" s="2046"/>
      <c r="L1109" s="2048"/>
      <c r="M1109" s="2048"/>
      <c r="N1109" s="2050"/>
      <c r="O1109" s="2050"/>
      <c r="P1109" s="2050"/>
      <c r="Q1109" s="2050"/>
    </row>
    <row r="1110" spans="1:17" ht="30" x14ac:dyDescent="0.25">
      <c r="A1110" s="394"/>
      <c r="B1110" s="956"/>
      <c r="C1110" s="956" t="s">
        <v>4</v>
      </c>
      <c r="D1110" s="956"/>
      <c r="E1110" s="969" t="s">
        <v>1796</v>
      </c>
      <c r="F1110" s="421">
        <v>128424.1</v>
      </c>
      <c r="G1110" s="970">
        <v>266049.7</v>
      </c>
      <c r="H1110" s="729">
        <v>410310</v>
      </c>
      <c r="I1110" s="421">
        <v>555255.9</v>
      </c>
      <c r="J1110" s="421">
        <v>323456</v>
      </c>
      <c r="K1110" s="971" t="s">
        <v>1797</v>
      </c>
      <c r="L1110" s="262"/>
      <c r="M1110" s="262"/>
      <c r="N1110" s="965"/>
      <c r="O1110" s="965"/>
      <c r="P1110" s="965"/>
      <c r="Q1110" s="965"/>
    </row>
    <row r="1111" spans="1:17" ht="30" x14ac:dyDescent="0.25">
      <c r="A1111" s="394"/>
      <c r="B1111" s="2039" t="s">
        <v>98</v>
      </c>
      <c r="C1111" s="2042"/>
      <c r="D1111" s="2042"/>
      <c r="E1111" s="1994" t="s">
        <v>1798</v>
      </c>
      <c r="F1111" s="2036">
        <f>F1115+F1119</f>
        <v>522698.19999999995</v>
      </c>
      <c r="G1111" s="1980">
        <f>G1115+G1119</f>
        <v>391373</v>
      </c>
      <c r="H1111" s="1980">
        <f>H1115+H1119</f>
        <v>401409.1</v>
      </c>
      <c r="I1111" s="2036">
        <f>I1115+I1119</f>
        <v>401810.50909999997</v>
      </c>
      <c r="J1111" s="2036">
        <f>J1115+J1119</f>
        <v>402614.13011819997</v>
      </c>
      <c r="K1111" s="257" t="s">
        <v>1799</v>
      </c>
      <c r="L1111" s="281" t="s">
        <v>977</v>
      </c>
      <c r="M1111" s="282">
        <f>M1115+M1119</f>
        <v>546622.6</v>
      </c>
      <c r="N1111" s="282">
        <f>N1115+N1119</f>
        <v>0</v>
      </c>
      <c r="O1111" s="965"/>
      <c r="P1111" s="965"/>
      <c r="Q1111" s="965"/>
    </row>
    <row r="1112" spans="1:17" x14ac:dyDescent="0.25">
      <c r="A1112" s="394"/>
      <c r="B1112" s="2040"/>
      <c r="C1112" s="2043"/>
      <c r="D1112" s="2043"/>
      <c r="E1112" s="2035"/>
      <c r="F1112" s="2036"/>
      <c r="G1112" s="1980"/>
      <c r="H1112" s="1980"/>
      <c r="I1112" s="2036"/>
      <c r="J1112" s="2036"/>
      <c r="K1112" s="265" t="s">
        <v>1800</v>
      </c>
      <c r="L1112" s="281" t="s">
        <v>968</v>
      </c>
      <c r="M1112" s="281">
        <f t="shared" ref="M1112:N1114" si="115">M1116</f>
        <v>72</v>
      </c>
      <c r="N1112" s="281">
        <f t="shared" si="115"/>
        <v>43</v>
      </c>
      <c r="O1112" s="965"/>
      <c r="P1112" s="965"/>
      <c r="Q1112" s="965"/>
    </row>
    <row r="1113" spans="1:17" x14ac:dyDescent="0.25">
      <c r="A1113" s="394"/>
      <c r="B1113" s="2040"/>
      <c r="C1113" s="2043"/>
      <c r="D1113" s="2043"/>
      <c r="E1113" s="2035"/>
      <c r="F1113" s="2036"/>
      <c r="G1113" s="1980"/>
      <c r="H1113" s="1980"/>
      <c r="I1113" s="2036"/>
      <c r="J1113" s="2036"/>
      <c r="K1113" s="265" t="s">
        <v>1801</v>
      </c>
      <c r="L1113" s="281" t="s">
        <v>968</v>
      </c>
      <c r="M1113" s="281">
        <f t="shared" si="115"/>
        <v>14274</v>
      </c>
      <c r="N1113" s="281">
        <f t="shared" si="115"/>
        <v>10772</v>
      </c>
      <c r="O1113" s="965"/>
      <c r="P1113" s="965"/>
      <c r="Q1113" s="965"/>
    </row>
    <row r="1114" spans="1:17" x14ac:dyDescent="0.25">
      <c r="A1114" s="394"/>
      <c r="B1114" s="2041"/>
      <c r="C1114" s="2044"/>
      <c r="D1114" s="2044"/>
      <c r="E1114" s="1995"/>
      <c r="F1114" s="2036"/>
      <c r="G1114" s="1980"/>
      <c r="H1114" s="1980"/>
      <c r="I1114" s="2036"/>
      <c r="J1114" s="2036"/>
      <c r="K1114" s="265" t="s">
        <v>1802</v>
      </c>
      <c r="L1114" s="281" t="s">
        <v>1803</v>
      </c>
      <c r="M1114" s="281">
        <f t="shared" si="115"/>
        <v>15082</v>
      </c>
      <c r="N1114" s="281">
        <f t="shared" si="115"/>
        <v>12767</v>
      </c>
      <c r="O1114" s="962"/>
      <c r="P1114" s="962"/>
      <c r="Q1114" s="962"/>
    </row>
    <row r="1115" spans="1:17" x14ac:dyDescent="0.25">
      <c r="A1115" s="394"/>
      <c r="B1115" s="2028"/>
      <c r="C1115" s="2028" t="s">
        <v>2</v>
      </c>
      <c r="D1115" s="2028"/>
      <c r="E1115" s="2017" t="s">
        <v>1804</v>
      </c>
      <c r="F1115" s="2038">
        <f>223351.8+185124.4+81529</f>
        <v>490005.19999999995</v>
      </c>
      <c r="G1115" s="1632">
        <f>68010.9+48491.2+100000+127803+7020.2+1557.7+1691.3</f>
        <v>354574.3</v>
      </c>
      <c r="H1115" s="1649">
        <f>134823.2+48235.9+87423.2+100000</f>
        <v>370482.3</v>
      </c>
      <c r="I1115" s="2038">
        <f>H1115*100.1/100</f>
        <v>370852.78229999996</v>
      </c>
      <c r="J1115" s="2029">
        <f>I1115*100.2/100</f>
        <v>371594.48786459997</v>
      </c>
      <c r="K1115" s="257" t="s">
        <v>1805</v>
      </c>
      <c r="L1115" s="540" t="s">
        <v>977</v>
      </c>
      <c r="M1115" s="972">
        <v>541098.6</v>
      </c>
      <c r="N1115" s="973">
        <v>0</v>
      </c>
      <c r="O1115" s="965"/>
      <c r="P1115" s="965"/>
      <c r="Q1115" s="965"/>
    </row>
    <row r="1116" spans="1:17" x14ac:dyDescent="0.25">
      <c r="A1116" s="394"/>
      <c r="B1116" s="2028"/>
      <c r="C1116" s="2028"/>
      <c r="D1116" s="2028"/>
      <c r="E1116" s="2037"/>
      <c r="F1116" s="2038"/>
      <c r="G1116" s="1632"/>
      <c r="H1116" s="2033"/>
      <c r="I1116" s="2038"/>
      <c r="J1116" s="2032"/>
      <c r="K1116" s="265" t="s">
        <v>1800</v>
      </c>
      <c r="L1116" s="540" t="s">
        <v>968</v>
      </c>
      <c r="M1116" s="540">
        <v>72</v>
      </c>
      <c r="N1116" s="41">
        <v>43</v>
      </c>
      <c r="O1116" s="965"/>
      <c r="P1116" s="965"/>
      <c r="Q1116" s="965"/>
    </row>
    <row r="1117" spans="1:17" x14ac:dyDescent="0.25">
      <c r="A1117" s="394"/>
      <c r="B1117" s="2028"/>
      <c r="C1117" s="2028"/>
      <c r="D1117" s="2028"/>
      <c r="E1117" s="2037"/>
      <c r="F1117" s="2038"/>
      <c r="G1117" s="1632"/>
      <c r="H1117" s="2033"/>
      <c r="I1117" s="2038"/>
      <c r="J1117" s="2032"/>
      <c r="K1117" s="265" t="s">
        <v>1801</v>
      </c>
      <c r="L1117" s="540" t="s">
        <v>968</v>
      </c>
      <c r="M1117" s="540">
        <v>14274</v>
      </c>
      <c r="N1117" s="41">
        <v>10772</v>
      </c>
      <c r="O1117" s="965"/>
      <c r="P1117" s="965"/>
      <c r="Q1117" s="965"/>
    </row>
    <row r="1118" spans="1:17" x14ac:dyDescent="0.25">
      <c r="A1118" s="394"/>
      <c r="B1118" s="2028"/>
      <c r="C1118" s="2028"/>
      <c r="D1118" s="2028"/>
      <c r="E1118" s="2018"/>
      <c r="F1118" s="2038"/>
      <c r="G1118" s="1632"/>
      <c r="H1118" s="1650"/>
      <c r="I1118" s="2038"/>
      <c r="J1118" s="2030"/>
      <c r="K1118" s="265" t="s">
        <v>1802</v>
      </c>
      <c r="L1118" s="540" t="s">
        <v>1803</v>
      </c>
      <c r="M1118" s="540">
        <v>15082</v>
      </c>
      <c r="N1118" s="41">
        <v>12767</v>
      </c>
      <c r="O1118" s="965"/>
      <c r="P1118" s="965"/>
      <c r="Q1118" s="965"/>
    </row>
    <row r="1119" spans="1:17" ht="90" x14ac:dyDescent="0.25">
      <c r="A1119" s="394"/>
      <c r="B1119" s="956"/>
      <c r="C1119" s="956" t="s">
        <v>3</v>
      </c>
      <c r="D1119" s="956"/>
      <c r="E1119" s="969" t="s">
        <v>1806</v>
      </c>
      <c r="F1119" s="421">
        <v>32693</v>
      </c>
      <c r="G1119" s="729">
        <f>35349.7+1449</f>
        <v>36798.699999999997</v>
      </c>
      <c r="H1119" s="729">
        <v>30926.799999999999</v>
      </c>
      <c r="I1119" s="421">
        <f>H1119*100.1/100</f>
        <v>30957.726799999997</v>
      </c>
      <c r="J1119" s="421">
        <f>I1119*100.2/100</f>
        <v>31019.642253599995</v>
      </c>
      <c r="K1119" s="257" t="s">
        <v>1805</v>
      </c>
      <c r="L1119" s="262" t="s">
        <v>977</v>
      </c>
      <c r="M1119" s="266">
        <v>5524</v>
      </c>
      <c r="N1119" s="965"/>
      <c r="O1119" s="965"/>
      <c r="P1119" s="965"/>
      <c r="Q1119" s="965"/>
    </row>
    <row r="1120" spans="1:17" ht="28.5" x14ac:dyDescent="0.25">
      <c r="A1120" s="394"/>
      <c r="B1120" s="2034" t="s">
        <v>101</v>
      </c>
      <c r="C1120" s="2028"/>
      <c r="D1120" s="2028"/>
      <c r="E1120" s="1994" t="s">
        <v>1807</v>
      </c>
      <c r="F1120" s="2036">
        <f>F1123+F1125</f>
        <v>1275211.2</v>
      </c>
      <c r="G1120" s="2036">
        <f t="shared" ref="G1120" si="116">G1123+G1125</f>
        <v>1271631</v>
      </c>
      <c r="H1120" s="1980">
        <f>H1123+H1125</f>
        <v>1215356.6000000001</v>
      </c>
      <c r="I1120" s="2036">
        <f t="shared" ref="I1120:J1120" si="117">I1123+I1125</f>
        <v>1216317.8</v>
      </c>
      <c r="J1120" s="2036">
        <f t="shared" si="117"/>
        <v>1218635.3999999999</v>
      </c>
      <c r="K1120" s="826" t="s">
        <v>1808</v>
      </c>
      <c r="L1120" s="281" t="s">
        <v>975</v>
      </c>
      <c r="M1120" s="262">
        <f>M1123</f>
        <v>184</v>
      </c>
      <c r="N1120" s="262">
        <f>N1123</f>
        <v>0</v>
      </c>
      <c r="O1120" s="962"/>
      <c r="P1120" s="962"/>
      <c r="Q1120" s="962"/>
    </row>
    <row r="1121" spans="1:17" x14ac:dyDescent="0.25">
      <c r="A1121" s="394"/>
      <c r="B1121" s="2034"/>
      <c r="C1121" s="2028"/>
      <c r="D1121" s="2028"/>
      <c r="E1121" s="2035"/>
      <c r="F1121" s="2036"/>
      <c r="G1121" s="2036"/>
      <c r="H1121" s="1980"/>
      <c r="I1121" s="2036"/>
      <c r="J1121" s="2036"/>
      <c r="K1121" s="826" t="s">
        <v>1809</v>
      </c>
      <c r="L1121" s="281" t="s">
        <v>975</v>
      </c>
      <c r="M1121" s="262">
        <f t="shared" ref="M1121:N1122" si="118">M1124</f>
        <v>135</v>
      </c>
      <c r="N1121" s="262">
        <f t="shared" si="118"/>
        <v>0</v>
      </c>
      <c r="O1121" s="962"/>
      <c r="P1121" s="962"/>
      <c r="Q1121" s="962"/>
    </row>
    <row r="1122" spans="1:17" ht="42.75" x14ac:dyDescent="0.25">
      <c r="A1122" s="394"/>
      <c r="B1122" s="2034"/>
      <c r="C1122" s="2028"/>
      <c r="D1122" s="2028"/>
      <c r="E1122" s="1995"/>
      <c r="F1122" s="2036"/>
      <c r="G1122" s="2036"/>
      <c r="H1122" s="1980"/>
      <c r="I1122" s="2036"/>
      <c r="J1122" s="2036"/>
      <c r="K1122" s="826" t="s">
        <v>1810</v>
      </c>
      <c r="L1122" s="281" t="s">
        <v>977</v>
      </c>
      <c r="M1122" s="262">
        <f t="shared" si="118"/>
        <v>408198.9</v>
      </c>
      <c r="N1122" s="262">
        <f t="shared" si="118"/>
        <v>0</v>
      </c>
      <c r="O1122" s="962"/>
      <c r="P1122" s="962"/>
      <c r="Q1122" s="962"/>
    </row>
    <row r="1123" spans="1:17" ht="30" x14ac:dyDescent="0.25">
      <c r="A1123" s="394"/>
      <c r="B1123" s="2028"/>
      <c r="C1123" s="2028" t="s">
        <v>2</v>
      </c>
      <c r="D1123" s="2028"/>
      <c r="E1123" s="1669" t="s">
        <v>1811</v>
      </c>
      <c r="F1123" s="2029">
        <v>1275211.2</v>
      </c>
      <c r="G1123" s="1649">
        <v>1271631</v>
      </c>
      <c r="H1123" s="1649">
        <v>1215356.6000000001</v>
      </c>
      <c r="I1123" s="2029">
        <v>1216317.8</v>
      </c>
      <c r="J1123" s="2029">
        <v>1218635.3999999999</v>
      </c>
      <c r="K1123" s="265" t="s">
        <v>1812</v>
      </c>
      <c r="L1123" s="262" t="s">
        <v>975</v>
      </c>
      <c r="M1123" s="262">
        <v>184</v>
      </c>
      <c r="N1123" s="965"/>
      <c r="O1123" s="965"/>
      <c r="P1123" s="965"/>
      <c r="Q1123" s="965"/>
    </row>
    <row r="1124" spans="1:17" ht="30" x14ac:dyDescent="0.25">
      <c r="A1124" s="394"/>
      <c r="B1124" s="2028"/>
      <c r="C1124" s="2028"/>
      <c r="D1124" s="2028"/>
      <c r="E1124" s="1669"/>
      <c r="F1124" s="2032"/>
      <c r="G1124" s="2033"/>
      <c r="H1124" s="2033"/>
      <c r="I1124" s="2032"/>
      <c r="J1124" s="2032"/>
      <c r="K1124" s="265" t="s">
        <v>1813</v>
      </c>
      <c r="L1124" s="262" t="s">
        <v>975</v>
      </c>
      <c r="M1124" s="262">
        <v>135</v>
      </c>
      <c r="N1124" s="965"/>
      <c r="O1124" s="965"/>
      <c r="P1124" s="965"/>
      <c r="Q1124" s="965"/>
    </row>
    <row r="1125" spans="1:17" ht="45" x14ac:dyDescent="0.25">
      <c r="A1125" s="394"/>
      <c r="B1125" s="2028"/>
      <c r="C1125" s="2028"/>
      <c r="D1125" s="2028"/>
      <c r="E1125" s="1669"/>
      <c r="F1125" s="2030"/>
      <c r="G1125" s="1650"/>
      <c r="H1125" s="1650"/>
      <c r="I1125" s="2030"/>
      <c r="J1125" s="2030"/>
      <c r="K1125" s="974" t="s">
        <v>1814</v>
      </c>
      <c r="L1125" s="262" t="s">
        <v>977</v>
      </c>
      <c r="M1125" s="262">
        <v>408198.9</v>
      </c>
      <c r="N1125" s="965"/>
      <c r="O1125" s="965"/>
      <c r="P1125" s="965"/>
      <c r="Q1125" s="965"/>
    </row>
    <row r="1126" spans="1:17" ht="147.75" x14ac:dyDescent="0.25">
      <c r="A1126" s="394"/>
      <c r="B1126" s="975" t="s">
        <v>110</v>
      </c>
      <c r="C1126" s="956"/>
      <c r="D1126" s="956"/>
      <c r="E1126" s="582" t="s">
        <v>1815</v>
      </c>
      <c r="F1126" s="419">
        <f>F1127+F1128+F1129+F1130</f>
        <v>28970.2</v>
      </c>
      <c r="G1126" s="420">
        <f>G1127+G1128+G1129+G1130</f>
        <v>25520.300000000003</v>
      </c>
      <c r="H1126" s="420">
        <f>H1127+H1128+H1129+H1130</f>
        <v>27711.7</v>
      </c>
      <c r="I1126" s="419">
        <f>I1127+I1128+I1129+I1130</f>
        <v>27739.4</v>
      </c>
      <c r="J1126" s="419">
        <f>J1127+J1128+J1129+J1130</f>
        <v>27794.799999999999</v>
      </c>
      <c r="K1126" s="826" t="s">
        <v>1816</v>
      </c>
      <c r="L1126" s="281" t="s">
        <v>975</v>
      </c>
      <c r="M1126" s="281">
        <f>M1127+M1128+M1129+M1130</f>
        <v>34373</v>
      </c>
      <c r="N1126" s="281">
        <f>N1127+N1128+N1129+N1130</f>
        <v>34373</v>
      </c>
      <c r="O1126" s="281">
        <f>O1127+O1128+O1129+O1130</f>
        <v>33912</v>
      </c>
      <c r="P1126" s="281">
        <f>P1127+P1128+P1129+P1130</f>
        <v>34932</v>
      </c>
      <c r="Q1126" s="281">
        <f>Q1127+Q1128+Q1129+Q1130</f>
        <v>35952</v>
      </c>
    </row>
    <row r="1127" spans="1:17" x14ac:dyDescent="0.25">
      <c r="A1127" s="394"/>
      <c r="B1127" s="2028"/>
      <c r="C1127" s="2028" t="s">
        <v>2</v>
      </c>
      <c r="D1127" s="2028"/>
      <c r="E1127" s="2017" t="s">
        <v>1817</v>
      </c>
      <c r="F1127" s="2029">
        <v>17515</v>
      </c>
      <c r="G1127" s="2029">
        <v>14325.2</v>
      </c>
      <c r="H1127" s="2029">
        <v>17200.2</v>
      </c>
      <c r="I1127" s="2029">
        <v>17217.400000000001</v>
      </c>
      <c r="J1127" s="2029">
        <v>17251.8</v>
      </c>
      <c r="K1127" s="2026" t="s">
        <v>1818</v>
      </c>
      <c r="L1127" s="262" t="s">
        <v>975</v>
      </c>
      <c r="M1127" s="262">
        <v>33728</v>
      </c>
      <c r="N1127" s="262">
        <v>33728</v>
      </c>
      <c r="O1127" s="262">
        <v>33748</v>
      </c>
      <c r="P1127" s="965">
        <v>34748</v>
      </c>
      <c r="Q1127" s="965">
        <v>35748</v>
      </c>
    </row>
    <row r="1128" spans="1:17" x14ac:dyDescent="0.25">
      <c r="A1128" s="394"/>
      <c r="B1128" s="2028"/>
      <c r="C1128" s="2028"/>
      <c r="D1128" s="2028"/>
      <c r="E1128" s="2018"/>
      <c r="F1128" s="2030"/>
      <c r="G1128" s="2030"/>
      <c r="H1128" s="2030"/>
      <c r="I1128" s="2030"/>
      <c r="J1128" s="2030"/>
      <c r="K1128" s="2027"/>
      <c r="L1128" s="262" t="s">
        <v>975</v>
      </c>
      <c r="M1128" s="262">
        <v>368</v>
      </c>
      <c r="N1128" s="262">
        <v>368</v>
      </c>
      <c r="O1128" s="262"/>
      <c r="P1128" s="965"/>
      <c r="Q1128" s="965"/>
    </row>
    <row r="1129" spans="1:17" x14ac:dyDescent="0.25">
      <c r="A1129" s="394"/>
      <c r="B1129" s="2028"/>
      <c r="C1129" s="2028" t="s">
        <v>3</v>
      </c>
      <c r="D1129" s="2028"/>
      <c r="E1129" s="1850" t="s">
        <v>1819</v>
      </c>
      <c r="F1129" s="2029">
        <v>11455.2</v>
      </c>
      <c r="G1129" s="1649">
        <v>11195.1</v>
      </c>
      <c r="H1129" s="1649">
        <v>10511.5</v>
      </c>
      <c r="I1129" s="1649">
        <v>10522</v>
      </c>
      <c r="J1129" s="1649">
        <v>10543</v>
      </c>
      <c r="K1129" s="2026" t="s">
        <v>1820</v>
      </c>
      <c r="L1129" s="262" t="s">
        <v>975</v>
      </c>
      <c r="M1129" s="262">
        <v>158</v>
      </c>
      <c r="N1129" s="262">
        <v>158</v>
      </c>
      <c r="O1129" s="262">
        <v>164</v>
      </c>
      <c r="P1129" s="965">
        <v>184</v>
      </c>
      <c r="Q1129" s="965">
        <v>204</v>
      </c>
    </row>
    <row r="1130" spans="1:17" x14ac:dyDescent="0.25">
      <c r="A1130" s="394"/>
      <c r="B1130" s="2028"/>
      <c r="C1130" s="2028"/>
      <c r="D1130" s="2028"/>
      <c r="E1130" s="1978"/>
      <c r="F1130" s="2030"/>
      <c r="G1130" s="1650"/>
      <c r="H1130" s="1650"/>
      <c r="I1130" s="1650"/>
      <c r="J1130" s="1650"/>
      <c r="K1130" s="2031"/>
      <c r="L1130" s="262" t="s">
        <v>975</v>
      </c>
      <c r="M1130" s="262">
        <v>119</v>
      </c>
      <c r="N1130" s="262">
        <v>119</v>
      </c>
      <c r="O1130" s="262"/>
      <c r="P1130" s="965"/>
      <c r="Q1130" s="965"/>
    </row>
    <row r="1131" spans="1:17" x14ac:dyDescent="0.25">
      <c r="B1131" s="1973" t="s">
        <v>1427</v>
      </c>
      <c r="C1131" s="1973"/>
      <c r="D1131" s="1973"/>
      <c r="E1131" s="1973"/>
      <c r="F1131" s="304">
        <f>F1126+F1120+F1111+F1106+F1097</f>
        <v>2200088.6999999997</v>
      </c>
      <c r="G1131" s="976">
        <f>G1126+G1120+G1111+G1106+G1097</f>
        <v>2193434.7999999998</v>
      </c>
      <c r="H1131" s="976">
        <f>H1126+H1120+H1111+H1106+H1097</f>
        <v>2337695.0999999996</v>
      </c>
      <c r="I1131" s="976">
        <f t="shared" ref="I1131:J1131" si="119">I1126+I1120+I1111+I1106+I1097</f>
        <v>2484314.2497999999</v>
      </c>
      <c r="J1131" s="976">
        <f t="shared" si="119"/>
        <v>2256257.2282995996</v>
      </c>
      <c r="K1131" s="977"/>
      <c r="L1131" s="978"/>
      <c r="M1131" s="978"/>
      <c r="N1131" s="979"/>
      <c r="O1131" s="979"/>
      <c r="P1131" s="979"/>
      <c r="Q1131" s="979"/>
    </row>
    <row r="1132" spans="1:17" ht="15.75" thickBot="1" x14ac:dyDescent="0.3">
      <c r="A1132" s="921"/>
      <c r="B1132" s="1589" t="s">
        <v>1821</v>
      </c>
      <c r="C1132" s="1590"/>
      <c r="D1132" s="1590"/>
      <c r="E1132" s="1590"/>
      <c r="F1132" s="1590"/>
      <c r="G1132" s="1590"/>
      <c r="H1132" s="1590"/>
      <c r="I1132" s="1590"/>
      <c r="J1132" s="1590"/>
      <c r="K1132" s="1590"/>
      <c r="L1132" s="1590"/>
      <c r="M1132" s="1590"/>
      <c r="N1132" s="1590"/>
      <c r="O1132" s="1590"/>
      <c r="P1132" s="1590"/>
      <c r="Q1132" s="1590"/>
    </row>
    <row r="1133" spans="1:17" ht="73.5" x14ac:dyDescent="0.25">
      <c r="A1133" s="394"/>
      <c r="B1133" s="980">
        <v>1</v>
      </c>
      <c r="C1133" s="422"/>
      <c r="D1133" s="981"/>
      <c r="E1133" s="826" t="s">
        <v>1822</v>
      </c>
      <c r="F1133" s="627">
        <f>SUM(F1134:F1140)</f>
        <v>26197.47</v>
      </c>
      <c r="G1133" s="627">
        <f>SUM(G1134:G1140)</f>
        <v>3170.9</v>
      </c>
      <c r="H1133" s="627">
        <f>SUM(H1134:H1140)</f>
        <v>3170.9</v>
      </c>
      <c r="I1133" s="627">
        <f>SUM(I1134:I1140)</f>
        <v>4638.1538100000007</v>
      </c>
      <c r="J1133" s="627">
        <f>SUM(J1134:J1140)</f>
        <v>4892.6785199999995</v>
      </c>
      <c r="K1133" s="477" t="s">
        <v>1669</v>
      </c>
      <c r="L1133" s="635" t="s">
        <v>14</v>
      </c>
      <c r="M1133" s="267">
        <v>21.671667719519899</v>
      </c>
      <c r="N1133" s="267">
        <v>21.671667719519899</v>
      </c>
      <c r="O1133" s="267">
        <v>21.671667719519899</v>
      </c>
      <c r="P1133" s="267">
        <v>21.671667719519899</v>
      </c>
      <c r="Q1133" s="267">
        <v>21.671667719519899</v>
      </c>
    </row>
    <row r="1134" spans="1:17" x14ac:dyDescent="0.25">
      <c r="A1134" s="394"/>
      <c r="B1134" s="982"/>
      <c r="C1134" s="633">
        <v>1</v>
      </c>
      <c r="D1134" s="422"/>
      <c r="E1134" s="983" t="s">
        <v>1823</v>
      </c>
      <c r="F1134" s="557">
        <f>500.66-15.23</f>
        <v>485.43</v>
      </c>
      <c r="G1134" s="557">
        <v>487.8</v>
      </c>
      <c r="H1134" s="557">
        <v>3170.9</v>
      </c>
      <c r="I1134" s="557">
        <f>H1134*100.09%</f>
        <v>3173.7538100000006</v>
      </c>
      <c r="J1134" s="557">
        <f>H1134*100.28%</f>
        <v>3179.7785199999998</v>
      </c>
      <c r="K1134" s="562" t="s">
        <v>501</v>
      </c>
      <c r="L1134" s="511" t="s">
        <v>15</v>
      </c>
      <c r="M1134" s="511">
        <v>1</v>
      </c>
      <c r="N1134" s="511">
        <v>1</v>
      </c>
      <c r="O1134" s="511">
        <v>1</v>
      </c>
      <c r="P1134" s="511">
        <v>1</v>
      </c>
      <c r="Q1134" s="511">
        <v>1</v>
      </c>
    </row>
    <row r="1135" spans="1:17" ht="30" x14ac:dyDescent="0.25">
      <c r="A1135" s="394"/>
      <c r="B1135" s="982"/>
      <c r="C1135" s="365">
        <v>2</v>
      </c>
      <c r="D1135" s="422"/>
      <c r="E1135" s="984" t="s">
        <v>206</v>
      </c>
      <c r="F1135" s="557">
        <f>1002.32-15.13</f>
        <v>987.19</v>
      </c>
      <c r="G1135" s="557">
        <v>975.7</v>
      </c>
      <c r="H1135" s="557"/>
      <c r="I1135" s="557">
        <f>H1135*100.09%</f>
        <v>0</v>
      </c>
      <c r="J1135" s="557">
        <f>H1135*100.28%</f>
        <v>0</v>
      </c>
      <c r="K1135" s="562" t="s">
        <v>1753</v>
      </c>
      <c r="L1135" s="511" t="s">
        <v>14</v>
      </c>
      <c r="M1135" s="511">
        <v>100</v>
      </c>
      <c r="N1135" s="511">
        <v>100</v>
      </c>
      <c r="O1135" s="511">
        <v>100</v>
      </c>
      <c r="P1135" s="511">
        <v>100</v>
      </c>
      <c r="Q1135" s="511">
        <v>100</v>
      </c>
    </row>
    <row r="1136" spans="1:17" ht="30" x14ac:dyDescent="0.25">
      <c r="A1136" s="394"/>
      <c r="B1136" s="982"/>
      <c r="C1136" s="365">
        <v>3</v>
      </c>
      <c r="D1136" s="422"/>
      <c r="E1136" s="984" t="s">
        <v>262</v>
      </c>
      <c r="F1136" s="557">
        <f>250.83-15.13</f>
        <v>235.70000000000002</v>
      </c>
      <c r="G1136" s="557">
        <v>243.9</v>
      </c>
      <c r="H1136" s="557"/>
      <c r="I1136" s="557">
        <f>H1136*100.09%</f>
        <v>0</v>
      </c>
      <c r="J1136" s="557">
        <v>245</v>
      </c>
      <c r="K1136" s="562" t="s">
        <v>1824</v>
      </c>
      <c r="L1136" s="511" t="s">
        <v>14</v>
      </c>
      <c r="M1136" s="511">
        <v>10</v>
      </c>
      <c r="N1136" s="511">
        <v>5</v>
      </c>
      <c r="O1136" s="511">
        <v>5</v>
      </c>
      <c r="P1136" s="511">
        <v>5</v>
      </c>
      <c r="Q1136" s="511">
        <v>5</v>
      </c>
    </row>
    <row r="1137" spans="1:17" ht="30" x14ac:dyDescent="0.25">
      <c r="A1137" s="394"/>
      <c r="B1137" s="982"/>
      <c r="C1137" s="365">
        <v>4</v>
      </c>
      <c r="D1137" s="422"/>
      <c r="E1137" s="984" t="s">
        <v>241</v>
      </c>
      <c r="F1137" s="557"/>
      <c r="G1137" s="557"/>
      <c r="H1137" s="557"/>
      <c r="I1137" s="557"/>
      <c r="J1137" s="557"/>
      <c r="K1137" s="32" t="s">
        <v>1825</v>
      </c>
      <c r="L1137" s="511" t="s">
        <v>968</v>
      </c>
      <c r="M1137" s="583"/>
      <c r="N1137" s="583"/>
      <c r="O1137" s="583"/>
      <c r="P1137" s="583"/>
      <c r="Q1137" s="583"/>
    </row>
    <row r="1138" spans="1:17" ht="30" x14ac:dyDescent="0.25">
      <c r="A1138" s="394"/>
      <c r="B1138" s="982"/>
      <c r="C1138" s="365">
        <v>5</v>
      </c>
      <c r="D1138" s="422"/>
      <c r="E1138" s="984" t="s">
        <v>1783</v>
      </c>
      <c r="F1138" s="557"/>
      <c r="G1138" s="557"/>
      <c r="H1138" s="557"/>
      <c r="I1138" s="557"/>
      <c r="J1138" s="557"/>
      <c r="K1138" s="589" t="s">
        <v>1756</v>
      </c>
      <c r="L1138" s="511" t="s">
        <v>968</v>
      </c>
      <c r="M1138" s="583"/>
      <c r="N1138" s="583"/>
      <c r="O1138" s="583"/>
      <c r="P1138" s="583"/>
      <c r="Q1138" s="583"/>
    </row>
    <row r="1139" spans="1:17" ht="45" x14ac:dyDescent="0.25">
      <c r="A1139" s="394"/>
      <c r="B1139" s="982"/>
      <c r="C1139" s="652">
        <v>6</v>
      </c>
      <c r="D1139" s="422"/>
      <c r="E1139" s="265" t="s">
        <v>345</v>
      </c>
      <c r="F1139" s="557">
        <f>1504.28-15.13</f>
        <v>1489.1499999999999</v>
      </c>
      <c r="G1139" s="557">
        <v>1463.5</v>
      </c>
      <c r="H1139" s="557"/>
      <c r="I1139" s="557">
        <v>1464.4</v>
      </c>
      <c r="J1139" s="557">
        <v>1467.9</v>
      </c>
      <c r="K1139" s="32" t="s">
        <v>1826</v>
      </c>
      <c r="L1139" s="511" t="s">
        <v>14</v>
      </c>
      <c r="M1139" s="511">
        <v>10</v>
      </c>
      <c r="N1139" s="511">
        <v>11</v>
      </c>
      <c r="O1139" s="511">
        <v>11</v>
      </c>
      <c r="P1139" s="511">
        <v>12</v>
      </c>
      <c r="Q1139" s="511">
        <v>12</v>
      </c>
    </row>
    <row r="1140" spans="1:17" x14ac:dyDescent="0.25">
      <c r="A1140" s="394"/>
      <c r="B1140" s="982"/>
      <c r="C1140" s="652">
        <v>7</v>
      </c>
      <c r="D1140" s="422"/>
      <c r="E1140" s="265" t="s">
        <v>1827</v>
      </c>
      <c r="F1140" s="557">
        <v>23000</v>
      </c>
      <c r="G1140" s="557"/>
      <c r="H1140" s="557"/>
      <c r="I1140" s="557"/>
      <c r="J1140" s="557"/>
      <c r="K1140" s="628"/>
      <c r="L1140" s="511"/>
      <c r="M1140" s="583"/>
      <c r="N1140" s="583"/>
      <c r="O1140" s="583"/>
      <c r="P1140" s="583"/>
      <c r="Q1140" s="583"/>
    </row>
    <row r="1141" spans="1:17" ht="71.25" x14ac:dyDescent="0.25">
      <c r="A1141" s="394"/>
      <c r="B1141" s="898" t="s">
        <v>91</v>
      </c>
      <c r="C1141" s="985"/>
      <c r="D1141" s="985"/>
      <c r="E1141" s="496" t="s">
        <v>1828</v>
      </c>
      <c r="F1141" s="901">
        <f>SUM(F1142:F1149)</f>
        <v>11726.48</v>
      </c>
      <c r="G1141" s="901">
        <f>SUM(G1142:G1149)</f>
        <v>11753.1</v>
      </c>
      <c r="H1141" s="901">
        <f>SUM(H1142:H1149)</f>
        <v>11753.1</v>
      </c>
      <c r="I1141" s="901">
        <f>SUM(I1142:I1149)</f>
        <v>11763.677790000002</v>
      </c>
      <c r="J1141" s="901">
        <f>SUM(J1142:J1149)</f>
        <v>11786.008679999999</v>
      </c>
      <c r="K1141" s="826" t="s">
        <v>1686</v>
      </c>
      <c r="L1141" s="511"/>
      <c r="M1141" s="284"/>
      <c r="N1141" s="284"/>
      <c r="O1141" s="284"/>
      <c r="P1141" s="284"/>
      <c r="Q1141" s="284"/>
    </row>
    <row r="1142" spans="1:17" x14ac:dyDescent="0.25">
      <c r="A1142" s="394"/>
      <c r="B1142" s="2019"/>
      <c r="C1142" s="1619" t="s">
        <v>2</v>
      </c>
      <c r="D1142" s="2004"/>
      <c r="E1142" s="2025" t="s">
        <v>1829</v>
      </c>
      <c r="F1142" s="1599">
        <f>3010-15.13</f>
        <v>2994.87</v>
      </c>
      <c r="G1142" s="1599">
        <v>3000.5</v>
      </c>
      <c r="H1142" s="1599">
        <v>11753.1</v>
      </c>
      <c r="I1142" s="1599">
        <f>H1142*100.09%</f>
        <v>11763.677790000002</v>
      </c>
      <c r="J1142" s="1599">
        <f>H1142*100.28%</f>
        <v>11786.008679999999</v>
      </c>
      <c r="K1142" s="265" t="s">
        <v>1830</v>
      </c>
      <c r="L1142" s="511" t="s">
        <v>1831</v>
      </c>
      <c r="M1142" s="511">
        <v>27</v>
      </c>
      <c r="N1142" s="511">
        <v>30</v>
      </c>
      <c r="O1142" s="511">
        <v>30</v>
      </c>
      <c r="P1142" s="511">
        <v>30</v>
      </c>
      <c r="Q1142" s="511">
        <v>30</v>
      </c>
    </row>
    <row r="1143" spans="1:17" x14ac:dyDescent="0.25">
      <c r="A1143" s="394"/>
      <c r="B1143" s="2020"/>
      <c r="C1143" s="1620"/>
      <c r="D1143" s="2021"/>
      <c r="E1143" s="2025"/>
      <c r="F1143" s="1600"/>
      <c r="G1143" s="1600"/>
      <c r="H1143" s="1600"/>
      <c r="I1143" s="1600"/>
      <c r="J1143" s="1600"/>
      <c r="K1143" s="265" t="s">
        <v>1832</v>
      </c>
      <c r="L1143" s="511" t="s">
        <v>1833</v>
      </c>
      <c r="M1143" s="914">
        <v>7</v>
      </c>
      <c r="N1143" s="914">
        <v>9</v>
      </c>
      <c r="O1143" s="914">
        <v>9</v>
      </c>
      <c r="P1143" s="914">
        <v>13</v>
      </c>
      <c r="Q1143" s="914">
        <v>13</v>
      </c>
    </row>
    <row r="1144" spans="1:17" x14ac:dyDescent="0.25">
      <c r="A1144" s="394"/>
      <c r="B1144" s="2019"/>
      <c r="C1144" s="1619" t="s">
        <v>3</v>
      </c>
      <c r="D1144" s="2004"/>
      <c r="E1144" s="2025" t="s">
        <v>1834</v>
      </c>
      <c r="F1144" s="1830">
        <f>3010-15.13</f>
        <v>2994.87</v>
      </c>
      <c r="G1144" s="1599">
        <v>3000.5</v>
      </c>
      <c r="H1144" s="1599"/>
      <c r="I1144" s="1599">
        <f>H1144*100.09%</f>
        <v>0</v>
      </c>
      <c r="J1144" s="1599">
        <f>H1144*100.28%</f>
        <v>0</v>
      </c>
      <c r="K1144" s="265" t="s">
        <v>1835</v>
      </c>
      <c r="L1144" s="511" t="s">
        <v>1836</v>
      </c>
      <c r="M1144" s="511">
        <v>14</v>
      </c>
      <c r="N1144" s="511">
        <v>13</v>
      </c>
      <c r="O1144" s="511">
        <v>13</v>
      </c>
      <c r="P1144" s="511">
        <v>13</v>
      </c>
      <c r="Q1144" s="511">
        <v>13</v>
      </c>
    </row>
    <row r="1145" spans="1:17" ht="30" x14ac:dyDescent="0.25">
      <c r="A1145" s="394"/>
      <c r="B1145" s="2020"/>
      <c r="C1145" s="1620"/>
      <c r="D1145" s="2021"/>
      <c r="E1145" s="2025"/>
      <c r="F1145" s="1831"/>
      <c r="G1145" s="1600"/>
      <c r="H1145" s="1600"/>
      <c r="I1145" s="1600"/>
      <c r="J1145" s="1600"/>
      <c r="K1145" s="265" t="s">
        <v>1837</v>
      </c>
      <c r="L1145" s="511" t="s">
        <v>1838</v>
      </c>
      <c r="M1145" s="557">
        <v>3</v>
      </c>
      <c r="N1145" s="729">
        <v>3</v>
      </c>
      <c r="O1145" s="729">
        <v>3</v>
      </c>
      <c r="P1145" s="729">
        <v>3</v>
      </c>
      <c r="Q1145" s="729">
        <v>3</v>
      </c>
    </row>
    <row r="1146" spans="1:17" x14ac:dyDescent="0.25">
      <c r="A1146" s="394"/>
      <c r="B1146" s="2019"/>
      <c r="C1146" s="1619" t="s">
        <v>4</v>
      </c>
      <c r="D1146" s="2004"/>
      <c r="E1146" s="2025" t="s">
        <v>1839</v>
      </c>
      <c r="F1146" s="1599">
        <f>4263-15.13</f>
        <v>4247.87</v>
      </c>
      <c r="G1146" s="1599">
        <v>4250.7</v>
      </c>
      <c r="H1146" s="1599"/>
      <c r="I1146" s="1599">
        <f>H1146*100.09%</f>
        <v>0</v>
      </c>
      <c r="J1146" s="1599">
        <f>H1146*100.28%</f>
        <v>0</v>
      </c>
      <c r="K1146" s="2017" t="s">
        <v>1840</v>
      </c>
      <c r="L1146" s="1597" t="s">
        <v>1841</v>
      </c>
      <c r="M1146" s="1599">
        <v>30</v>
      </c>
      <c r="N1146" s="1649">
        <v>30</v>
      </c>
      <c r="O1146" s="1649">
        <v>30</v>
      </c>
      <c r="P1146" s="1649">
        <v>30</v>
      </c>
      <c r="Q1146" s="1649">
        <v>30</v>
      </c>
    </row>
    <row r="1147" spans="1:17" x14ac:dyDescent="0.25">
      <c r="A1147" s="394"/>
      <c r="B1147" s="2020"/>
      <c r="C1147" s="1620"/>
      <c r="D1147" s="2021"/>
      <c r="E1147" s="2025"/>
      <c r="F1147" s="1600"/>
      <c r="G1147" s="1600"/>
      <c r="H1147" s="1600"/>
      <c r="I1147" s="1600"/>
      <c r="J1147" s="1600"/>
      <c r="K1147" s="2018"/>
      <c r="L1147" s="1598"/>
      <c r="M1147" s="1600"/>
      <c r="N1147" s="1650"/>
      <c r="O1147" s="1650"/>
      <c r="P1147" s="1650"/>
      <c r="Q1147" s="1650"/>
    </row>
    <row r="1148" spans="1:17" x14ac:dyDescent="0.25">
      <c r="A1148" s="394"/>
      <c r="B1148" s="2019"/>
      <c r="C1148" s="1619" t="s">
        <v>5</v>
      </c>
      <c r="D1148" s="2004"/>
      <c r="E1148" s="2022" t="s">
        <v>1842</v>
      </c>
      <c r="F1148" s="1599">
        <f>1504-15.13</f>
        <v>1488.87</v>
      </c>
      <c r="G1148" s="1599">
        <v>1501.4</v>
      </c>
      <c r="H1148" s="1599"/>
      <c r="I1148" s="1599">
        <f>H1148*100.09%</f>
        <v>0</v>
      </c>
      <c r="J1148" s="1599"/>
      <c r="K1148" s="1597"/>
      <c r="L1148" s="1597"/>
      <c r="M1148" s="2023"/>
      <c r="N1148" s="2023"/>
      <c r="O1148" s="2023"/>
      <c r="P1148" s="2023"/>
      <c r="Q1148" s="2023"/>
    </row>
    <row r="1149" spans="1:17" x14ac:dyDescent="0.25">
      <c r="A1149" s="394"/>
      <c r="B1149" s="2020"/>
      <c r="C1149" s="1620"/>
      <c r="D1149" s="2021"/>
      <c r="E1149" s="2022"/>
      <c r="F1149" s="1600"/>
      <c r="G1149" s="1600"/>
      <c r="H1149" s="1600"/>
      <c r="I1149" s="1600"/>
      <c r="J1149" s="1600"/>
      <c r="K1149" s="1598"/>
      <c r="L1149" s="1598"/>
      <c r="M1149" s="2024"/>
      <c r="N1149" s="2024"/>
      <c r="O1149" s="2024"/>
      <c r="P1149" s="2024"/>
      <c r="Q1149" s="2024"/>
    </row>
    <row r="1150" spans="1:17" ht="15.75" thickBot="1" x14ac:dyDescent="0.3">
      <c r="B1150" s="2005" t="s">
        <v>1427</v>
      </c>
      <c r="C1150" s="2006"/>
      <c r="D1150" s="2006"/>
      <c r="E1150" s="2007"/>
      <c r="F1150" s="1164">
        <f>F1133+F1141</f>
        <v>37923.949999999997</v>
      </c>
      <c r="G1150" s="1164">
        <f>G1133+G1141</f>
        <v>14924</v>
      </c>
      <c r="H1150" s="1164">
        <f>H1133+H1141</f>
        <v>14924</v>
      </c>
      <c r="I1150" s="1164">
        <f>I1133+I1141</f>
        <v>16401.831600000001</v>
      </c>
      <c r="J1150" s="1164">
        <f>J1133+J1141</f>
        <v>16678.6872</v>
      </c>
      <c r="K1150" s="986"/>
      <c r="L1150" s="2008"/>
      <c r="M1150" s="2008"/>
      <c r="N1150" s="2008"/>
      <c r="O1150" s="2008"/>
      <c r="P1150" s="2009"/>
      <c r="Q1150" s="2010"/>
    </row>
    <row r="1151" spans="1:17" x14ac:dyDescent="0.25">
      <c r="A1151" s="929"/>
      <c r="B1151" s="1589" t="s">
        <v>1843</v>
      </c>
      <c r="C1151" s="1590"/>
      <c r="D1151" s="1590"/>
      <c r="E1151" s="1590"/>
      <c r="F1151" s="1590"/>
      <c r="G1151" s="1590"/>
      <c r="H1151" s="1590"/>
      <c r="I1151" s="1590"/>
      <c r="J1151" s="1590"/>
      <c r="K1151" s="1590"/>
      <c r="L1151" s="1590"/>
      <c r="M1151" s="1590"/>
      <c r="N1151" s="1590"/>
      <c r="O1151" s="1590"/>
      <c r="P1151" s="1590"/>
      <c r="Q1151" s="1590"/>
    </row>
    <row r="1152" spans="1:17" ht="88.5" x14ac:dyDescent="0.25">
      <c r="A1152" s="394"/>
      <c r="B1152" s="428" t="s">
        <v>102</v>
      </c>
      <c r="C1152" s="254"/>
      <c r="D1152" s="254"/>
      <c r="E1152" s="987" t="s">
        <v>1844</v>
      </c>
      <c r="F1152" s="430">
        <f>F1153+F1154+F1157+F1155+F1156</f>
        <v>156048.4</v>
      </c>
      <c r="G1152" s="430">
        <f>G1153+G1154+G1157+G1155+G1156</f>
        <v>202331.69999999998</v>
      </c>
      <c r="H1152" s="430">
        <f>H1153+H1154+H1157+H1155+H1156</f>
        <v>220839.60000000003</v>
      </c>
      <c r="I1152" s="430">
        <f>I1153+I1154+I1157+I1155+I1156</f>
        <v>221032.1721312</v>
      </c>
      <c r="J1152" s="430">
        <f>J1153+J1154+J1157+J1155+J1156</f>
        <v>221468.2907100321</v>
      </c>
      <c r="K1152" s="987" t="s">
        <v>1845</v>
      </c>
      <c r="L1152" s="428" t="s">
        <v>14</v>
      </c>
      <c r="M1152" s="988" t="s">
        <v>1846</v>
      </c>
      <c r="N1152" s="988" t="s">
        <v>1847</v>
      </c>
      <c r="O1152" s="989" t="s">
        <v>88</v>
      </c>
      <c r="P1152" s="989" t="s">
        <v>88</v>
      </c>
      <c r="Q1152" s="989" t="s">
        <v>88</v>
      </c>
    </row>
    <row r="1153" spans="1:17" ht="30" x14ac:dyDescent="0.25">
      <c r="A1153" s="394"/>
      <c r="B1153" s="328"/>
      <c r="C1153" s="652">
        <v>1</v>
      </c>
      <c r="D1153" s="958"/>
      <c r="E1153" s="593" t="s">
        <v>1848</v>
      </c>
      <c r="F1153" s="557">
        <v>10587.5</v>
      </c>
      <c r="G1153" s="557">
        <v>8100.6</v>
      </c>
      <c r="H1153" s="557">
        <v>8891.2000000000007</v>
      </c>
      <c r="I1153" s="431">
        <v>8898.9531263999997</v>
      </c>
      <c r="J1153" s="431">
        <v>8916.5116508136998</v>
      </c>
      <c r="K1153" s="589" t="s">
        <v>501</v>
      </c>
      <c r="L1153" s="511" t="s">
        <v>15</v>
      </c>
      <c r="M1153" s="267">
        <v>20</v>
      </c>
      <c r="N1153" s="511">
        <v>20.5</v>
      </c>
      <c r="O1153" s="511">
        <v>20.5</v>
      </c>
      <c r="P1153" s="511">
        <v>20.5</v>
      </c>
      <c r="Q1153" s="511">
        <v>20.5</v>
      </c>
    </row>
    <row r="1154" spans="1:17" ht="30" x14ac:dyDescent="0.25">
      <c r="A1154" s="394"/>
      <c r="B1154" s="328"/>
      <c r="C1154" s="652">
        <v>2</v>
      </c>
      <c r="D1154" s="958"/>
      <c r="E1154" s="562" t="s">
        <v>1849</v>
      </c>
      <c r="F1154" s="557">
        <v>11167.9</v>
      </c>
      <c r="G1154" s="557">
        <v>7468.5</v>
      </c>
      <c r="H1154" s="557">
        <v>8281.4</v>
      </c>
      <c r="I1154" s="431">
        <v>8288.6213807999993</v>
      </c>
      <c r="J1154" s="431">
        <v>8304.9756596464558</v>
      </c>
      <c r="K1154" s="32" t="s">
        <v>1753</v>
      </c>
      <c r="L1154" s="511" t="s">
        <v>14</v>
      </c>
      <c r="M1154" s="511">
        <v>100</v>
      </c>
      <c r="N1154" s="511">
        <v>100</v>
      </c>
      <c r="O1154" s="511">
        <v>100</v>
      </c>
      <c r="P1154" s="511">
        <v>100</v>
      </c>
      <c r="Q1154" s="511">
        <v>100</v>
      </c>
    </row>
    <row r="1155" spans="1:17" ht="30" x14ac:dyDescent="0.25">
      <c r="A1155" s="394"/>
      <c r="B1155" s="328"/>
      <c r="C1155" s="652">
        <v>3</v>
      </c>
      <c r="D1155" s="958"/>
      <c r="E1155" s="562" t="s">
        <v>1850</v>
      </c>
      <c r="F1155" s="557"/>
      <c r="G1155" s="557">
        <v>6008.3</v>
      </c>
      <c r="H1155" s="557">
        <v>6782.4000000000005</v>
      </c>
      <c r="I1155" s="431">
        <v>6788.3142528000008</v>
      </c>
      <c r="J1155" s="431">
        <v>6801.7082756522004</v>
      </c>
      <c r="K1155" s="32" t="s">
        <v>1825</v>
      </c>
      <c r="L1155" s="511" t="s">
        <v>14</v>
      </c>
      <c r="M1155" s="511">
        <v>78.7</v>
      </c>
      <c r="N1155" s="511">
        <v>80</v>
      </c>
      <c r="O1155" s="511">
        <v>90</v>
      </c>
      <c r="P1155" s="511">
        <v>100</v>
      </c>
      <c r="Q1155" s="511">
        <v>100</v>
      </c>
    </row>
    <row r="1156" spans="1:17" ht="30" x14ac:dyDescent="0.25">
      <c r="A1156" s="394"/>
      <c r="B1156" s="328"/>
      <c r="C1156" s="652">
        <v>4</v>
      </c>
      <c r="D1156" s="958"/>
      <c r="E1156" s="562" t="s">
        <v>241</v>
      </c>
      <c r="F1156" s="557"/>
      <c r="G1156" s="557">
        <v>4019</v>
      </c>
      <c r="H1156" s="557">
        <v>4349.2</v>
      </c>
      <c r="I1156" s="431">
        <v>4352.9925023999995</v>
      </c>
      <c r="J1156" s="431">
        <v>4361.5813919064849</v>
      </c>
      <c r="K1156" s="32" t="s">
        <v>1851</v>
      </c>
      <c r="L1156" s="511" t="s">
        <v>1054</v>
      </c>
      <c r="M1156" s="511" t="s">
        <v>1852</v>
      </c>
      <c r="N1156" s="511">
        <v>100</v>
      </c>
      <c r="O1156" s="511">
        <v>100</v>
      </c>
      <c r="P1156" s="511">
        <v>100</v>
      </c>
      <c r="Q1156" s="511">
        <v>100</v>
      </c>
    </row>
    <row r="1157" spans="1:17" ht="45" x14ac:dyDescent="0.25">
      <c r="A1157" s="394"/>
      <c r="B1157" s="328"/>
      <c r="C1157" s="652">
        <v>6</v>
      </c>
      <c r="D1157" s="958"/>
      <c r="E1157" s="562" t="s">
        <v>1853</v>
      </c>
      <c r="F1157" s="557">
        <v>134293</v>
      </c>
      <c r="G1157" s="557">
        <v>176735.3</v>
      </c>
      <c r="H1157" s="557">
        <v>192535.40000000002</v>
      </c>
      <c r="I1157" s="431">
        <v>192703.29086880002</v>
      </c>
      <c r="J1157" s="431">
        <v>193083.51373201326</v>
      </c>
      <c r="K1157" s="32" t="s">
        <v>1826</v>
      </c>
      <c r="L1157" s="511" t="s">
        <v>14</v>
      </c>
      <c r="M1157" s="511">
        <v>16</v>
      </c>
      <c r="N1157" s="511" t="s">
        <v>1854</v>
      </c>
      <c r="O1157" s="511" t="s">
        <v>1854</v>
      </c>
      <c r="P1157" s="511" t="s">
        <v>1854</v>
      </c>
      <c r="Q1157" s="511" t="s">
        <v>1854</v>
      </c>
    </row>
    <row r="1158" spans="1:17" x14ac:dyDescent="0.25">
      <c r="A1158" s="394"/>
      <c r="B1158" s="2011" t="s">
        <v>91</v>
      </c>
      <c r="C1158" s="1909"/>
      <c r="D1158" s="2012"/>
      <c r="E1158" s="2013" t="s">
        <v>1855</v>
      </c>
      <c r="F1158" s="1571">
        <f>F1160+F1161+F1162</f>
        <v>1082131.7999999998</v>
      </c>
      <c r="G1158" s="1571">
        <f>G1160+G1161+G1162</f>
        <v>1421292.5999999999</v>
      </c>
      <c r="H1158" s="1571">
        <f>H1160+H1161+H1162+H1163+H1164</f>
        <v>1412070.3999999999</v>
      </c>
      <c r="I1158" s="1571">
        <f>I1160+I1161+I1162+I1163+I1164</f>
        <v>1404008.1017728001</v>
      </c>
      <c r="J1158" s="1571">
        <f>J1160+J1161+J1162+J1163+J1164</f>
        <v>1406739.4646678679</v>
      </c>
      <c r="K1158" s="2015" t="s">
        <v>1856</v>
      </c>
      <c r="L1158" s="1593"/>
      <c r="M1158" s="1828">
        <v>114.3</v>
      </c>
      <c r="N1158" s="1828">
        <v>111.9</v>
      </c>
      <c r="O1158" s="1828">
        <v>108.2</v>
      </c>
      <c r="P1158" s="1828">
        <v>107.7</v>
      </c>
      <c r="Q1158" s="1828"/>
    </row>
    <row r="1159" spans="1:17" x14ac:dyDescent="0.25">
      <c r="A1159" s="394"/>
      <c r="B1159" s="2011"/>
      <c r="C1159" s="1909"/>
      <c r="D1159" s="2012"/>
      <c r="E1159" s="2014"/>
      <c r="F1159" s="1571"/>
      <c r="G1159" s="1571"/>
      <c r="H1159" s="1571"/>
      <c r="I1159" s="1571"/>
      <c r="J1159" s="1571"/>
      <c r="K1159" s="2016"/>
      <c r="L1159" s="1593"/>
      <c r="M1159" s="1828"/>
      <c r="N1159" s="1828"/>
      <c r="O1159" s="1828"/>
      <c r="P1159" s="1828"/>
      <c r="Q1159" s="1828"/>
    </row>
    <row r="1160" spans="1:17" ht="45" x14ac:dyDescent="0.25">
      <c r="A1160" s="394"/>
      <c r="B1160" s="428"/>
      <c r="C1160" s="413" t="s">
        <v>2</v>
      </c>
      <c r="D1160" s="429"/>
      <c r="E1160" s="495" t="s">
        <v>1855</v>
      </c>
      <c r="F1160" s="557">
        <v>647651.69999999995</v>
      </c>
      <c r="G1160" s="557">
        <v>650442.5</v>
      </c>
      <c r="H1160" s="557">
        <v>446128</v>
      </c>
      <c r="I1160" s="431">
        <f>437223.4</f>
        <v>437223.4</v>
      </c>
      <c r="J1160" s="431">
        <f>438085.8-38.6</f>
        <v>438047.2</v>
      </c>
      <c r="K1160" s="32" t="s">
        <v>1857</v>
      </c>
      <c r="L1160" s="511" t="s">
        <v>14</v>
      </c>
      <c r="M1160" s="511">
        <v>97.8</v>
      </c>
      <c r="N1160" s="511">
        <v>100</v>
      </c>
      <c r="O1160" s="511">
        <v>100</v>
      </c>
      <c r="P1160" s="511">
        <v>100</v>
      </c>
      <c r="Q1160" s="511">
        <v>100</v>
      </c>
    </row>
    <row r="1161" spans="1:17" ht="30" x14ac:dyDescent="0.25">
      <c r="A1161" s="394"/>
      <c r="B1161" s="428"/>
      <c r="C1161" s="413" t="s">
        <v>3</v>
      </c>
      <c r="D1161" s="429"/>
      <c r="E1161" s="32" t="s">
        <v>1858</v>
      </c>
      <c r="F1161" s="557">
        <v>434480.1</v>
      </c>
      <c r="G1161" s="557">
        <v>433648.9</v>
      </c>
      <c r="H1161" s="557">
        <v>421025</v>
      </c>
      <c r="I1161" s="431">
        <v>421392.13379999995</v>
      </c>
      <c r="J1161" s="431">
        <v>422223.58261920069</v>
      </c>
      <c r="K1161" s="32" t="s">
        <v>1859</v>
      </c>
      <c r="L1161" s="511" t="s">
        <v>968</v>
      </c>
      <c r="M1161" s="990">
        <v>29733</v>
      </c>
      <c r="N1161" s="511">
        <v>50000</v>
      </c>
      <c r="O1161" s="511">
        <v>15000</v>
      </c>
      <c r="P1161" s="511">
        <v>10000</v>
      </c>
      <c r="Q1161" s="511">
        <v>10000</v>
      </c>
    </row>
    <row r="1162" spans="1:17" ht="30" x14ac:dyDescent="0.25">
      <c r="A1162" s="394"/>
      <c r="B1162" s="428"/>
      <c r="C1162" s="413" t="s">
        <v>4</v>
      </c>
      <c r="D1162" s="429"/>
      <c r="E1162" s="32" t="s">
        <v>1860</v>
      </c>
      <c r="F1162" s="557"/>
      <c r="G1162" s="557">
        <v>337201.2</v>
      </c>
      <c r="H1162" s="557">
        <v>272458.3</v>
      </c>
      <c r="I1162" s="431">
        <v>272695.8836376</v>
      </c>
      <c r="J1162" s="431">
        <v>273233.93988560536</v>
      </c>
      <c r="K1162" s="32" t="s">
        <v>1861</v>
      </c>
      <c r="L1162" s="511" t="s">
        <v>14</v>
      </c>
      <c r="M1162" s="416">
        <v>2.9</v>
      </c>
      <c r="N1162" s="416">
        <v>5</v>
      </c>
      <c r="O1162" s="416">
        <v>5</v>
      </c>
      <c r="P1162" s="416">
        <v>5</v>
      </c>
      <c r="Q1162" s="416">
        <v>5</v>
      </c>
    </row>
    <row r="1163" spans="1:17" ht="45" x14ac:dyDescent="0.25">
      <c r="A1163" s="394"/>
      <c r="B1163" s="428"/>
      <c r="C1163" s="413" t="s">
        <v>5</v>
      </c>
      <c r="D1163" s="429"/>
      <c r="E1163" s="495" t="s">
        <v>1862</v>
      </c>
      <c r="F1163" s="557"/>
      <c r="G1163" s="557"/>
      <c r="H1163" s="557">
        <v>136229.4</v>
      </c>
      <c r="I1163" s="431">
        <v>136348.1920368</v>
      </c>
      <c r="J1163" s="431">
        <v>136617.22065450781</v>
      </c>
      <c r="K1163" s="628" t="s">
        <v>1863</v>
      </c>
      <c r="L1163" s="511" t="s">
        <v>14</v>
      </c>
      <c r="M1163" s="416">
        <v>0</v>
      </c>
      <c r="N1163" s="416">
        <v>20</v>
      </c>
      <c r="O1163" s="416">
        <v>20</v>
      </c>
      <c r="P1163" s="416">
        <v>20</v>
      </c>
      <c r="Q1163" s="416">
        <v>20</v>
      </c>
    </row>
    <row r="1164" spans="1:17" ht="45" x14ac:dyDescent="0.25">
      <c r="A1164" s="394"/>
      <c r="B1164" s="428"/>
      <c r="C1164" s="413" t="s">
        <v>49</v>
      </c>
      <c r="D1164" s="429"/>
      <c r="E1164" s="495" t="s">
        <v>1864</v>
      </c>
      <c r="F1164" s="557"/>
      <c r="G1164" s="557"/>
      <c r="H1164" s="557">
        <v>136229.70000000001</v>
      </c>
      <c r="I1164" s="431">
        <v>136348.4922984</v>
      </c>
      <c r="J1164" s="431">
        <f>136617.521508554</f>
        <v>136617.521508554</v>
      </c>
      <c r="K1164" s="628" t="s">
        <v>1865</v>
      </c>
      <c r="L1164" s="511" t="s">
        <v>14</v>
      </c>
      <c r="M1164" s="416">
        <v>0</v>
      </c>
      <c r="N1164" s="416">
        <v>10</v>
      </c>
      <c r="O1164" s="416">
        <v>10</v>
      </c>
      <c r="P1164" s="416">
        <v>10</v>
      </c>
      <c r="Q1164" s="416">
        <v>10</v>
      </c>
    </row>
    <row r="1165" spans="1:17" x14ac:dyDescent="0.25">
      <c r="B1165" s="2001" t="s">
        <v>1427</v>
      </c>
      <c r="C1165" s="1975"/>
      <c r="D1165" s="1975"/>
      <c r="E1165" s="1975"/>
      <c r="F1165" s="991">
        <f>F1152+F1158</f>
        <v>1238180.1999999997</v>
      </c>
      <c r="G1165" s="991">
        <f>G1152+G1158</f>
        <v>1623624.2999999998</v>
      </c>
      <c r="H1165" s="991">
        <f>H1152+H1158</f>
        <v>1632910</v>
      </c>
      <c r="I1165" s="991">
        <f>I1152+I1158</f>
        <v>1625040.2739040002</v>
      </c>
      <c r="J1165" s="991">
        <f>J1152+J1158</f>
        <v>1628207.7553778999</v>
      </c>
      <c r="K1165" s="992"/>
      <c r="L1165" s="2002"/>
      <c r="M1165" s="2002"/>
      <c r="N1165" s="2002"/>
      <c r="O1165" s="2002"/>
      <c r="P1165" s="2002"/>
      <c r="Q1165" s="2003"/>
    </row>
    <row r="1166" spans="1:17" x14ac:dyDescent="0.25">
      <c r="A1166" s="921"/>
      <c r="B1166" s="1573" t="s">
        <v>1866</v>
      </c>
      <c r="C1166" s="1573"/>
      <c r="D1166" s="1573"/>
      <c r="E1166" s="1573"/>
      <c r="F1166" s="1573"/>
      <c r="G1166" s="1573"/>
      <c r="H1166" s="1573"/>
      <c r="I1166" s="1573"/>
      <c r="J1166" s="1573"/>
      <c r="K1166" s="1573"/>
      <c r="L1166" s="1573"/>
      <c r="M1166" s="1573"/>
      <c r="N1166" s="1573"/>
      <c r="O1166" s="1573"/>
      <c r="P1166" s="1573"/>
      <c r="Q1166" s="1573"/>
    </row>
    <row r="1167" spans="1:17" ht="59.25" x14ac:dyDescent="0.25">
      <c r="A1167" s="394"/>
      <c r="B1167" s="600">
        <v>1</v>
      </c>
      <c r="C1167" s="422"/>
      <c r="D1167" s="981"/>
      <c r="E1167" s="562" t="s">
        <v>1867</v>
      </c>
      <c r="F1167" s="627">
        <f>F1168+F1169+F1170+F1171+F1172+F1173+F1174</f>
        <v>191643.7</v>
      </c>
      <c r="G1167" s="627">
        <f>G1168+G1169+G1170+G1171+G1172+G1173+G1174</f>
        <v>345476.50000000006</v>
      </c>
      <c r="H1167" s="627">
        <f>H1168+H1169+H1170+H1171+H1172+H1173+H1174</f>
        <v>374576.6</v>
      </c>
      <c r="I1167" s="627">
        <f>I1168+I1169+I1170+I1171+I1172+I1173+I1174</f>
        <v>372427.9</v>
      </c>
      <c r="J1167" s="627">
        <f t="shared" ref="J1167" si="120">J1168+J1169+J1170+J1171+J1172+J1173+J1174</f>
        <v>373846.8</v>
      </c>
      <c r="K1167" s="582" t="s">
        <v>1845</v>
      </c>
      <c r="L1167" s="660" t="s">
        <v>14</v>
      </c>
      <c r="M1167" s="635" t="s">
        <v>60</v>
      </c>
      <c r="N1167" s="635" t="s">
        <v>60</v>
      </c>
      <c r="O1167" s="635" t="s">
        <v>60</v>
      </c>
      <c r="P1167" s="635" t="s">
        <v>60</v>
      </c>
      <c r="Q1167" s="635" t="s">
        <v>60</v>
      </c>
    </row>
    <row r="1168" spans="1:17" x14ac:dyDescent="0.25">
      <c r="A1168" s="394"/>
      <c r="B1168" s="599"/>
      <c r="C1168" s="633">
        <v>1</v>
      </c>
      <c r="D1168" s="422"/>
      <c r="E1168" s="197" t="s">
        <v>1868</v>
      </c>
      <c r="F1168" s="557">
        <f>2291+9927.7+381.8+763.7</f>
        <v>13364.2</v>
      </c>
      <c r="G1168" s="557">
        <v>38482.699999999997</v>
      </c>
      <c r="H1168" s="557">
        <v>56279.5</v>
      </c>
      <c r="I1168" s="557">
        <v>56749.3</v>
      </c>
      <c r="J1168" s="557">
        <v>56885.3</v>
      </c>
      <c r="K1168" s="589" t="s">
        <v>1869</v>
      </c>
      <c r="L1168" s="540" t="s">
        <v>15</v>
      </c>
      <c r="M1168" s="511">
        <v>7.3</v>
      </c>
      <c r="N1168" s="511" t="s">
        <v>60</v>
      </c>
      <c r="O1168" s="511" t="s">
        <v>60</v>
      </c>
      <c r="P1168" s="511" t="s">
        <v>60</v>
      </c>
      <c r="Q1168" s="511" t="s">
        <v>60</v>
      </c>
    </row>
    <row r="1169" spans="1:17" ht="30" x14ac:dyDescent="0.25">
      <c r="A1169" s="394"/>
      <c r="B1169" s="599"/>
      <c r="C1169" s="365">
        <v>2</v>
      </c>
      <c r="D1169" s="422"/>
      <c r="E1169" s="527" t="s">
        <v>1849</v>
      </c>
      <c r="F1169" s="557">
        <f>4200.2+1145.5+14509.7</f>
        <v>19855.400000000001</v>
      </c>
      <c r="G1169" s="557">
        <v>49027.4</v>
      </c>
      <c r="H1169" s="557">
        <v>55987.199999999997</v>
      </c>
      <c r="I1169" s="557">
        <v>56540.5</v>
      </c>
      <c r="J1169" s="557">
        <v>56750</v>
      </c>
      <c r="K1169" s="589" t="s">
        <v>1870</v>
      </c>
      <c r="L1169" s="540" t="s">
        <v>14</v>
      </c>
      <c r="M1169" s="511">
        <v>67</v>
      </c>
      <c r="N1169" s="511">
        <v>100</v>
      </c>
      <c r="O1169" s="511">
        <v>100</v>
      </c>
      <c r="P1169" s="511">
        <v>100</v>
      </c>
      <c r="Q1169" s="511">
        <v>100</v>
      </c>
    </row>
    <row r="1170" spans="1:17" ht="30" x14ac:dyDescent="0.25">
      <c r="A1170" s="394"/>
      <c r="B1170" s="599"/>
      <c r="C1170" s="365">
        <v>3</v>
      </c>
      <c r="D1170" s="422"/>
      <c r="E1170" s="527" t="s">
        <v>262</v>
      </c>
      <c r="F1170" s="557">
        <f>10691.3+4200.2+6109.3</f>
        <v>21000.799999999999</v>
      </c>
      <c r="G1170" s="557">
        <v>46145.3</v>
      </c>
      <c r="H1170" s="557">
        <v>57915.5</v>
      </c>
      <c r="I1170" s="557">
        <v>58690.400000000001</v>
      </c>
      <c r="J1170" s="557">
        <v>58939.3</v>
      </c>
      <c r="K1170" s="589" t="s">
        <v>1825</v>
      </c>
      <c r="L1170" s="540" t="s">
        <v>14</v>
      </c>
      <c r="M1170" s="511"/>
      <c r="N1170" s="511" t="s">
        <v>60</v>
      </c>
      <c r="O1170" s="511" t="s">
        <v>60</v>
      </c>
      <c r="P1170" s="511" t="s">
        <v>60</v>
      </c>
      <c r="Q1170" s="511" t="s">
        <v>60</v>
      </c>
    </row>
    <row r="1171" spans="1:17" ht="30" x14ac:dyDescent="0.25">
      <c r="A1171" s="394"/>
      <c r="B1171" s="599"/>
      <c r="C1171" s="365">
        <v>4</v>
      </c>
      <c r="D1171" s="422"/>
      <c r="E1171" s="527" t="s">
        <v>241</v>
      </c>
      <c r="F1171" s="557">
        <f>8018.5</f>
        <v>8018.5</v>
      </c>
      <c r="G1171" s="557">
        <v>24223.4</v>
      </c>
      <c r="H1171" s="557">
        <v>29209.4</v>
      </c>
      <c r="I1171" s="557">
        <v>30100.1</v>
      </c>
      <c r="J1171" s="557">
        <v>30370.9</v>
      </c>
      <c r="K1171" s="589" t="s">
        <v>1871</v>
      </c>
      <c r="L1171" s="540" t="s">
        <v>1872</v>
      </c>
      <c r="M1171" s="511"/>
      <c r="N1171" s="511" t="s">
        <v>60</v>
      </c>
      <c r="O1171" s="511" t="s">
        <v>60</v>
      </c>
      <c r="P1171" s="511" t="s">
        <v>60</v>
      </c>
      <c r="Q1171" s="511" t="s">
        <v>60</v>
      </c>
    </row>
    <row r="1172" spans="1:17" ht="30" x14ac:dyDescent="0.25">
      <c r="A1172" s="394"/>
      <c r="B1172" s="599"/>
      <c r="C1172" s="365">
        <v>5</v>
      </c>
      <c r="D1172" s="422"/>
      <c r="E1172" s="527" t="s">
        <v>1873</v>
      </c>
      <c r="F1172" s="557">
        <f>2291+13746+3054.7+5727.5</f>
        <v>24819.200000000001</v>
      </c>
      <c r="G1172" s="557">
        <v>58053.8</v>
      </c>
      <c r="H1172" s="557">
        <v>58966.599999999991</v>
      </c>
      <c r="I1172" s="557">
        <v>59666.9</v>
      </c>
      <c r="J1172" s="557">
        <v>59900</v>
      </c>
      <c r="K1172" s="589" t="s">
        <v>1874</v>
      </c>
      <c r="L1172" s="540" t="s">
        <v>968</v>
      </c>
      <c r="M1172" s="511"/>
      <c r="N1172" s="511" t="s">
        <v>60</v>
      </c>
      <c r="O1172" s="511" t="s">
        <v>60</v>
      </c>
      <c r="P1172" s="511" t="s">
        <v>60</v>
      </c>
      <c r="Q1172" s="511" t="s">
        <v>60</v>
      </c>
    </row>
    <row r="1173" spans="1:17" ht="45" x14ac:dyDescent="0.25">
      <c r="A1173" s="394"/>
      <c r="B1173" s="599"/>
      <c r="C1173" s="652">
        <v>6</v>
      </c>
      <c r="D1173" s="422"/>
      <c r="E1173" s="562" t="s">
        <v>1875</v>
      </c>
      <c r="F1173" s="557">
        <v>86439.5</v>
      </c>
      <c r="G1173" s="557">
        <v>70172.100000000006</v>
      </c>
      <c r="H1173" s="557">
        <v>62403.799999999988</v>
      </c>
      <c r="I1173" s="557">
        <v>55780.5</v>
      </c>
      <c r="J1173" s="557">
        <v>55851.199999999997</v>
      </c>
      <c r="K1173" s="589" t="s">
        <v>1876</v>
      </c>
      <c r="L1173" s="540" t="s">
        <v>14</v>
      </c>
      <c r="M1173" s="276">
        <v>20</v>
      </c>
      <c r="N1173" s="511">
        <v>20</v>
      </c>
      <c r="O1173" s="511">
        <v>20</v>
      </c>
      <c r="P1173" s="511">
        <v>20</v>
      </c>
      <c r="Q1173" s="511">
        <v>20</v>
      </c>
    </row>
    <row r="1174" spans="1:17" ht="45" x14ac:dyDescent="0.25">
      <c r="A1174" s="394"/>
      <c r="B1174" s="599"/>
      <c r="C1174" s="652">
        <v>7</v>
      </c>
      <c r="D1174" s="422"/>
      <c r="E1174" s="562" t="s">
        <v>1877</v>
      </c>
      <c r="F1174" s="557">
        <f>381.8+15473.3+2291</f>
        <v>18146.099999999999</v>
      </c>
      <c r="G1174" s="557">
        <v>59371.8</v>
      </c>
      <c r="H1174" s="557">
        <v>53814.6</v>
      </c>
      <c r="I1174" s="557">
        <v>54900.2</v>
      </c>
      <c r="J1174" s="557">
        <v>55150.1</v>
      </c>
      <c r="K1174" s="589" t="s">
        <v>1878</v>
      </c>
      <c r="L1174" s="540" t="s">
        <v>968</v>
      </c>
      <c r="M1174" s="511" t="s">
        <v>60</v>
      </c>
      <c r="N1174" s="511" t="s">
        <v>60</v>
      </c>
      <c r="O1174" s="511" t="s">
        <v>60</v>
      </c>
      <c r="P1174" s="511" t="s">
        <v>60</v>
      </c>
      <c r="Q1174" s="511" t="s">
        <v>60</v>
      </c>
    </row>
    <row r="1175" spans="1:17" ht="44.25" x14ac:dyDescent="0.25">
      <c r="A1175" s="394"/>
      <c r="B1175" s="599">
        <v>2</v>
      </c>
      <c r="C1175" s="1172"/>
      <c r="D1175" s="985"/>
      <c r="E1175" s="582" t="s">
        <v>1879</v>
      </c>
      <c r="F1175" s="430">
        <f>F1176+F1178</f>
        <v>48492.800000000003</v>
      </c>
      <c r="G1175" s="430">
        <f>G1176+G1178</f>
        <v>91566.599999999991</v>
      </c>
      <c r="H1175" s="430">
        <f>H1176+H1178</f>
        <v>306122.59999999998</v>
      </c>
      <c r="I1175" s="430">
        <f>I1176+I1178</f>
        <v>307592.5</v>
      </c>
      <c r="J1175" s="430">
        <f>J1176+J1178</f>
        <v>308061.2</v>
      </c>
      <c r="K1175" s="562" t="s">
        <v>1880</v>
      </c>
      <c r="L1175" s="511"/>
      <c r="M1175" s="1173"/>
      <c r="N1175" s="416" t="s">
        <v>60</v>
      </c>
      <c r="O1175" s="416" t="s">
        <v>60</v>
      </c>
      <c r="P1175" s="416" t="s">
        <v>60</v>
      </c>
      <c r="Q1175" s="416" t="s">
        <v>60</v>
      </c>
    </row>
    <row r="1176" spans="1:17" ht="30" x14ac:dyDescent="0.25">
      <c r="A1176" s="394"/>
      <c r="B1176" s="1998"/>
      <c r="C1176" s="1881">
        <v>1</v>
      </c>
      <c r="D1176" s="2004"/>
      <c r="E1176" s="1832" t="s">
        <v>1881</v>
      </c>
      <c r="F1176" s="1599">
        <f>18328+22146.3+6491.2</f>
        <v>46965.5</v>
      </c>
      <c r="G1176" s="1599">
        <v>87202.2</v>
      </c>
      <c r="H1176" s="1599">
        <v>300613.8</v>
      </c>
      <c r="I1176" s="1599">
        <v>301401.8</v>
      </c>
      <c r="J1176" s="1599">
        <v>301751</v>
      </c>
      <c r="K1176" s="562" t="s">
        <v>1882</v>
      </c>
      <c r="L1176" s="511" t="s">
        <v>977</v>
      </c>
      <c r="M1176" s="1173"/>
      <c r="N1176" s="431"/>
      <c r="O1176" s="431"/>
      <c r="P1176" s="431"/>
      <c r="Q1176" s="431"/>
    </row>
    <row r="1177" spans="1:17" ht="45" x14ac:dyDescent="0.25">
      <c r="A1177" s="394"/>
      <c r="B1177" s="1740"/>
      <c r="C1177" s="1740"/>
      <c r="D1177" s="1871"/>
      <c r="E1177" s="1936"/>
      <c r="F1177" s="1600"/>
      <c r="G1177" s="1600"/>
      <c r="H1177" s="1600"/>
      <c r="I1177" s="1600"/>
      <c r="J1177" s="1600"/>
      <c r="K1177" s="562" t="s">
        <v>1883</v>
      </c>
      <c r="L1177" s="511" t="s">
        <v>14</v>
      </c>
      <c r="M1177" s="495">
        <v>98.4</v>
      </c>
      <c r="N1177" s="249">
        <v>100</v>
      </c>
      <c r="O1177" s="249">
        <v>100</v>
      </c>
      <c r="P1177" s="249">
        <v>100</v>
      </c>
      <c r="Q1177" s="249">
        <v>100</v>
      </c>
    </row>
    <row r="1178" spans="1:17" ht="60" x14ac:dyDescent="0.25">
      <c r="A1178" s="394"/>
      <c r="B1178" s="328"/>
      <c r="C1178" s="652">
        <v>2</v>
      </c>
      <c r="D1178" s="436"/>
      <c r="E1178" s="562" t="s">
        <v>1884</v>
      </c>
      <c r="F1178" s="557">
        <f>1527.3</f>
        <v>1527.3</v>
      </c>
      <c r="G1178" s="557">
        <v>4364.3999999999996</v>
      </c>
      <c r="H1178" s="557">
        <v>5508.8</v>
      </c>
      <c r="I1178" s="557">
        <v>6190.7</v>
      </c>
      <c r="J1178" s="557">
        <v>6310.2</v>
      </c>
      <c r="K1178" s="426" t="s">
        <v>1885</v>
      </c>
      <c r="L1178" s="511" t="s">
        <v>1886</v>
      </c>
      <c r="M1178" s="495"/>
      <c r="N1178" s="1030"/>
      <c r="O1178" s="1030"/>
      <c r="P1178" s="249"/>
      <c r="Q1178" s="249"/>
    </row>
    <row r="1179" spans="1:17" ht="58.5" x14ac:dyDescent="0.25">
      <c r="A1179" s="394"/>
      <c r="B1179" s="599">
        <v>3</v>
      </c>
      <c r="C1179" s="1172"/>
      <c r="D1179" s="985"/>
      <c r="E1179" s="582" t="s">
        <v>1887</v>
      </c>
      <c r="F1179" s="430">
        <f>F1180</f>
        <v>331731.40000000002</v>
      </c>
      <c r="G1179" s="430">
        <f>G1180</f>
        <v>634824.80000000005</v>
      </c>
      <c r="H1179" s="430">
        <f>H1180</f>
        <v>363072.5</v>
      </c>
      <c r="I1179" s="430">
        <f>I1180</f>
        <v>364661.6</v>
      </c>
      <c r="J1179" s="430">
        <f>J1180</f>
        <v>364810.3</v>
      </c>
      <c r="K1179" s="562" t="s">
        <v>1888</v>
      </c>
      <c r="L1179" s="511" t="s">
        <v>974</v>
      </c>
      <c r="M1179" s="495">
        <v>195</v>
      </c>
      <c r="N1179" s="284"/>
      <c r="O1179" s="284"/>
      <c r="P1179" s="284"/>
      <c r="Q1179" s="284"/>
    </row>
    <row r="1180" spans="1:17" ht="30" x14ac:dyDescent="0.25">
      <c r="A1180" s="394"/>
      <c r="B1180" s="1998"/>
      <c r="C1180" s="1881">
        <v>1</v>
      </c>
      <c r="D1180" s="1619"/>
      <c r="E1180" s="1669" t="s">
        <v>1889</v>
      </c>
      <c r="F1180" s="1599">
        <f>89730.8+23291.8+131129.2+5345.7+4582+30486.7+39528.7+7636.5</f>
        <v>331731.40000000002</v>
      </c>
      <c r="G1180" s="1599">
        <f>637305.8-2451-30</f>
        <v>634824.80000000005</v>
      </c>
      <c r="H1180" s="1599">
        <v>363072.5</v>
      </c>
      <c r="I1180" s="1599">
        <v>364661.6</v>
      </c>
      <c r="J1180" s="1599">
        <v>364810.3</v>
      </c>
      <c r="K1180" s="562" t="s">
        <v>1890</v>
      </c>
      <c r="L1180" s="1597" t="s">
        <v>974</v>
      </c>
      <c r="M1180" s="268">
        <v>195</v>
      </c>
      <c r="N1180" s="249" t="s">
        <v>60</v>
      </c>
      <c r="O1180" s="249" t="s">
        <v>60</v>
      </c>
      <c r="P1180" s="249" t="s">
        <v>60</v>
      </c>
      <c r="Q1180" s="249" t="s">
        <v>60</v>
      </c>
    </row>
    <row r="1181" spans="1:17" ht="30" x14ac:dyDescent="0.25">
      <c r="A1181" s="394"/>
      <c r="B1181" s="1999"/>
      <c r="C1181" s="2000"/>
      <c r="D1181" s="1745"/>
      <c r="E1181" s="1669"/>
      <c r="F1181" s="1610"/>
      <c r="G1181" s="1610"/>
      <c r="H1181" s="1610"/>
      <c r="I1181" s="1600"/>
      <c r="J1181" s="1600"/>
      <c r="K1181" s="562" t="s">
        <v>1891</v>
      </c>
      <c r="L1181" s="1598"/>
      <c r="M1181" s="644" t="s">
        <v>60</v>
      </c>
      <c r="N1181" s="253" t="s">
        <v>60</v>
      </c>
      <c r="O1181" s="253" t="s">
        <v>60</v>
      </c>
      <c r="P1181" s="253" t="s">
        <v>60</v>
      </c>
      <c r="Q1181" s="253" t="s">
        <v>60</v>
      </c>
    </row>
    <row r="1182" spans="1:17" x14ac:dyDescent="0.25">
      <c r="B1182" s="1973" t="s">
        <v>1427</v>
      </c>
      <c r="C1182" s="1973"/>
      <c r="D1182" s="1973"/>
      <c r="E1182" s="1973"/>
      <c r="F1182" s="207">
        <f>F1179+F1175+F1167</f>
        <v>571867.9</v>
      </c>
      <c r="G1182" s="207">
        <f>G1179+G1175+G1167</f>
        <v>1071867.9000000001</v>
      </c>
      <c r="H1182" s="207">
        <f>H1179+H1175+H1167</f>
        <v>1043771.7</v>
      </c>
      <c r="I1182" s="207">
        <f>I1179+I1175+I1167</f>
        <v>1044682</v>
      </c>
      <c r="J1182" s="207">
        <f>J1179+J1175+J1167</f>
        <v>1046718.3</v>
      </c>
      <c r="K1182" s="133"/>
      <c r="L1182" s="1771"/>
      <c r="M1182" s="1771"/>
      <c r="N1182" s="1771"/>
      <c r="O1182" s="1771"/>
      <c r="P1182" s="1771"/>
      <c r="Q1182" s="1771"/>
    </row>
    <row r="1183" spans="1:17" x14ac:dyDescent="0.25">
      <c r="A1183" s="929"/>
      <c r="B1183" s="1573" t="s">
        <v>1892</v>
      </c>
      <c r="C1183" s="1573"/>
      <c r="D1183" s="1573"/>
      <c r="E1183" s="1573"/>
      <c r="F1183" s="1573"/>
      <c r="G1183" s="1573"/>
      <c r="H1183" s="1573"/>
      <c r="I1183" s="1573"/>
      <c r="J1183" s="1573"/>
      <c r="K1183" s="1573"/>
      <c r="L1183" s="1573"/>
      <c r="M1183" s="1573"/>
      <c r="N1183" s="1573"/>
      <c r="O1183" s="1573"/>
      <c r="P1183" s="1573"/>
      <c r="Q1183" s="1573"/>
    </row>
    <row r="1184" spans="1:17" ht="75" x14ac:dyDescent="0.25">
      <c r="A1184" s="394"/>
      <c r="B1184" s="1617" t="s">
        <v>91</v>
      </c>
      <c r="C1184" s="1619"/>
      <c r="D1184" s="1619"/>
      <c r="E1184" s="1800" t="s">
        <v>1893</v>
      </c>
      <c r="F1184" s="1996">
        <f>F1186+F1188+F1189</f>
        <v>11692.6</v>
      </c>
      <c r="G1184" s="1996">
        <f>G1186+G1188+G1189</f>
        <v>11692.6</v>
      </c>
      <c r="H1184" s="1996">
        <f t="shared" ref="H1184:J1184" si="121">H1186+H1188+H1189</f>
        <v>11692.6</v>
      </c>
      <c r="I1184" s="1996">
        <f t="shared" si="121"/>
        <v>11702.8</v>
      </c>
      <c r="J1184" s="1996">
        <f t="shared" si="121"/>
        <v>11725.6</v>
      </c>
      <c r="K1184" s="589" t="s">
        <v>1894</v>
      </c>
      <c r="L1184" s="540" t="s">
        <v>975</v>
      </c>
      <c r="M1184" s="511">
        <v>427</v>
      </c>
      <c r="N1184" s="416">
        <v>450</v>
      </c>
      <c r="O1184" s="416">
        <v>450</v>
      </c>
      <c r="P1184" s="416">
        <v>450</v>
      </c>
      <c r="Q1184" s="416">
        <v>450</v>
      </c>
    </row>
    <row r="1185" spans="1:17" ht="60" x14ac:dyDescent="0.25">
      <c r="A1185" s="394"/>
      <c r="B1185" s="1740"/>
      <c r="C1185" s="1740"/>
      <c r="D1185" s="1740"/>
      <c r="E1185" s="1800"/>
      <c r="F1185" s="1600"/>
      <c r="G1185" s="1600"/>
      <c r="H1185" s="1600"/>
      <c r="I1185" s="1600"/>
      <c r="J1185" s="1600"/>
      <c r="K1185" s="589" t="s">
        <v>1895</v>
      </c>
      <c r="L1185" s="540" t="s">
        <v>1896</v>
      </c>
      <c r="M1185" s="511" t="s">
        <v>1897</v>
      </c>
      <c r="N1185" s="557" t="s">
        <v>1898</v>
      </c>
      <c r="O1185" s="557" t="s">
        <v>1899</v>
      </c>
      <c r="P1185" s="557" t="s">
        <v>1900</v>
      </c>
      <c r="Q1185" s="557" t="s">
        <v>1901</v>
      </c>
    </row>
    <row r="1186" spans="1:17" ht="45" x14ac:dyDescent="0.25">
      <c r="A1186" s="394"/>
      <c r="B1186" s="1617"/>
      <c r="C1186" s="1619" t="s">
        <v>2</v>
      </c>
      <c r="D1186" s="1619"/>
      <c r="E1186" s="1611" t="s">
        <v>1902</v>
      </c>
      <c r="F1186" s="1599">
        <f>1610+106</f>
        <v>1716</v>
      </c>
      <c r="G1186" s="1599">
        <f t="shared" ref="G1186:J1186" si="122">1610+106</f>
        <v>1716</v>
      </c>
      <c r="H1186" s="1599">
        <f t="shared" si="122"/>
        <v>1716</v>
      </c>
      <c r="I1186" s="1599">
        <f t="shared" si="122"/>
        <v>1716</v>
      </c>
      <c r="J1186" s="1599">
        <f t="shared" si="122"/>
        <v>1716</v>
      </c>
      <c r="K1186" s="589" t="s">
        <v>1903</v>
      </c>
      <c r="L1186" s="511" t="s">
        <v>979</v>
      </c>
      <c r="M1186" s="511">
        <v>9</v>
      </c>
      <c r="N1186" s="914">
        <v>8</v>
      </c>
      <c r="O1186" s="914">
        <v>9</v>
      </c>
      <c r="P1186" s="914">
        <v>10</v>
      </c>
      <c r="Q1186" s="914">
        <v>10</v>
      </c>
    </row>
    <row r="1187" spans="1:17" x14ac:dyDescent="0.25">
      <c r="A1187" s="394"/>
      <c r="B1187" s="1821"/>
      <c r="C1187" s="1821"/>
      <c r="D1187" s="1821"/>
      <c r="E1187" s="1612"/>
      <c r="F1187" s="1610"/>
      <c r="G1187" s="1610"/>
      <c r="H1187" s="1610"/>
      <c r="I1187" s="1610"/>
      <c r="J1187" s="1610"/>
      <c r="K1187" s="589" t="s">
        <v>1904</v>
      </c>
      <c r="L1187" s="644" t="s">
        <v>975</v>
      </c>
      <c r="M1187" s="511">
        <v>719</v>
      </c>
      <c r="N1187" s="914">
        <v>2100</v>
      </c>
      <c r="O1187" s="914">
        <v>2150</v>
      </c>
      <c r="P1187" s="914">
        <v>2200</v>
      </c>
      <c r="Q1187" s="914">
        <v>2200</v>
      </c>
    </row>
    <row r="1188" spans="1:17" x14ac:dyDescent="0.25">
      <c r="A1188" s="394"/>
      <c r="B1188" s="1740"/>
      <c r="C1188" s="1740"/>
      <c r="D1188" s="1740"/>
      <c r="E1188" s="1613"/>
      <c r="F1188" s="1600"/>
      <c r="G1188" s="1600"/>
      <c r="H1188" s="1600"/>
      <c r="I1188" s="1600"/>
      <c r="J1188" s="1600"/>
      <c r="K1188" s="545"/>
      <c r="L1188" s="644"/>
      <c r="M1188" s="511"/>
      <c r="N1188" s="914"/>
      <c r="O1188" s="914"/>
      <c r="P1188" s="914"/>
      <c r="Q1188" s="914"/>
    </row>
    <row r="1189" spans="1:17" ht="30" x14ac:dyDescent="0.25">
      <c r="A1189" s="394"/>
      <c r="B1189" s="1617"/>
      <c r="C1189" s="1619" t="s">
        <v>4</v>
      </c>
      <c r="D1189" s="1619"/>
      <c r="E1189" s="1934" t="s">
        <v>1905</v>
      </c>
      <c r="F1189" s="1599">
        <v>9976.6</v>
      </c>
      <c r="G1189" s="1599">
        <f>9976.6</f>
        <v>9976.6</v>
      </c>
      <c r="H1189" s="1599">
        <f t="shared" ref="H1189" si="123">9976.6</f>
        <v>9976.6</v>
      </c>
      <c r="I1189" s="1599">
        <v>9986.7999999999993</v>
      </c>
      <c r="J1189" s="1599">
        <v>10009.6</v>
      </c>
      <c r="K1189" s="589" t="s">
        <v>1906</v>
      </c>
      <c r="L1189" s="511" t="s">
        <v>979</v>
      </c>
      <c r="M1189" s="511">
        <v>162</v>
      </c>
      <c r="N1189" s="416">
        <v>160</v>
      </c>
      <c r="O1189" s="416">
        <v>165</v>
      </c>
      <c r="P1189" s="416">
        <v>170</v>
      </c>
      <c r="Q1189" s="416">
        <v>175</v>
      </c>
    </row>
    <row r="1190" spans="1:17" ht="45" x14ac:dyDescent="0.25">
      <c r="A1190" s="394"/>
      <c r="B1190" s="1821"/>
      <c r="C1190" s="1821"/>
      <c r="D1190" s="1821"/>
      <c r="E1190" s="1935"/>
      <c r="F1190" s="1610"/>
      <c r="G1190" s="1610"/>
      <c r="H1190" s="1610"/>
      <c r="I1190" s="1610"/>
      <c r="J1190" s="1610"/>
      <c r="K1190" s="589" t="s">
        <v>1907</v>
      </c>
      <c r="L1190" s="511" t="s">
        <v>979</v>
      </c>
      <c r="M1190" s="511">
        <v>6213</v>
      </c>
      <c r="N1190" s="914">
        <v>6150</v>
      </c>
      <c r="O1190" s="914">
        <v>6200</v>
      </c>
      <c r="P1190" s="914">
        <v>6250</v>
      </c>
      <c r="Q1190" s="914">
        <v>6300</v>
      </c>
    </row>
    <row r="1191" spans="1:17" ht="45" x14ac:dyDescent="0.25">
      <c r="A1191" s="394"/>
      <c r="B1191" s="1740"/>
      <c r="C1191" s="1740"/>
      <c r="D1191" s="1740"/>
      <c r="E1191" s="1936"/>
      <c r="F1191" s="1600"/>
      <c r="G1191" s="1600"/>
      <c r="H1191" s="1600"/>
      <c r="I1191" s="1600"/>
      <c r="J1191" s="1600"/>
      <c r="K1191" s="589" t="s">
        <v>1908</v>
      </c>
      <c r="L1191" s="511" t="s">
        <v>14</v>
      </c>
      <c r="M1191" s="511">
        <v>37</v>
      </c>
      <c r="N1191" s="914">
        <v>50</v>
      </c>
      <c r="O1191" s="914">
        <v>55</v>
      </c>
      <c r="P1191" s="914">
        <v>60</v>
      </c>
      <c r="Q1191" s="914">
        <v>65</v>
      </c>
    </row>
    <row r="1192" spans="1:17" ht="45" x14ac:dyDescent="0.25">
      <c r="A1192" s="394"/>
      <c r="B1192" s="1992" t="s">
        <v>98</v>
      </c>
      <c r="C1192" s="618"/>
      <c r="D1192" s="1619"/>
      <c r="E1192" s="1994" t="s">
        <v>1909</v>
      </c>
      <c r="F1192" s="1996">
        <f>F1194+F1196</f>
        <v>28008.7</v>
      </c>
      <c r="G1192" s="1996">
        <f>G1194+G1196</f>
        <v>28008.7</v>
      </c>
      <c r="H1192" s="1996">
        <f t="shared" ref="H1192:J1192" si="124">H1194+H1196</f>
        <v>28008.7</v>
      </c>
      <c r="I1192" s="1996">
        <f t="shared" si="124"/>
        <v>28033.1</v>
      </c>
      <c r="J1192" s="1996">
        <f t="shared" si="124"/>
        <v>28087.800000000003</v>
      </c>
      <c r="K1192" s="589" t="s">
        <v>1910</v>
      </c>
      <c r="L1192" s="511" t="s">
        <v>975</v>
      </c>
      <c r="M1192" s="511">
        <v>211</v>
      </c>
      <c r="N1192" s="511">
        <v>211</v>
      </c>
      <c r="O1192" s="511">
        <v>211</v>
      </c>
      <c r="P1192" s="511">
        <v>211</v>
      </c>
      <c r="Q1192" s="511">
        <v>211</v>
      </c>
    </row>
    <row r="1193" spans="1:17" ht="60" x14ac:dyDescent="0.25">
      <c r="A1193" s="394"/>
      <c r="B1193" s="1993"/>
      <c r="C1193" s="1132"/>
      <c r="D1193" s="1740"/>
      <c r="E1193" s="1995"/>
      <c r="F1193" s="1600"/>
      <c r="G1193" s="1600"/>
      <c r="H1193" s="1600"/>
      <c r="I1193" s="1600"/>
      <c r="J1193" s="1600"/>
      <c r="K1193" s="589" t="s">
        <v>1911</v>
      </c>
      <c r="L1193" s="321" t="s">
        <v>977</v>
      </c>
      <c r="M1193" s="321">
        <v>178000</v>
      </c>
      <c r="N1193" s="1174">
        <v>160272.5</v>
      </c>
      <c r="O1193" s="1174">
        <v>160272.5</v>
      </c>
      <c r="P1193" s="1174">
        <v>160272.5</v>
      </c>
      <c r="Q1193" s="1174">
        <v>166716.70000000001</v>
      </c>
    </row>
    <row r="1194" spans="1:17" ht="45" x14ac:dyDescent="0.25">
      <c r="A1194" s="394"/>
      <c r="B1194" s="1997"/>
      <c r="C1194" s="1619" t="s">
        <v>2</v>
      </c>
      <c r="D1194" s="1619"/>
      <c r="E1194" s="1669" t="s">
        <v>1912</v>
      </c>
      <c r="F1194" s="1599">
        <v>19232.7</v>
      </c>
      <c r="G1194" s="1599">
        <v>19232.7</v>
      </c>
      <c r="H1194" s="1599">
        <f>G1194</f>
        <v>19232.7</v>
      </c>
      <c r="I1194" s="1599">
        <f>H1194</f>
        <v>19232.7</v>
      </c>
      <c r="J1194" s="1599">
        <v>19287.400000000001</v>
      </c>
      <c r="K1194" s="589" t="s">
        <v>1913</v>
      </c>
      <c r="L1194" s="511" t="s">
        <v>71</v>
      </c>
      <c r="M1194" s="511">
        <v>11230</v>
      </c>
      <c r="N1194" s="914">
        <v>0</v>
      </c>
      <c r="O1194" s="914">
        <v>0</v>
      </c>
      <c r="P1194" s="914">
        <v>0</v>
      </c>
      <c r="Q1194" s="914">
        <v>0</v>
      </c>
    </row>
    <row r="1195" spans="1:17" ht="45" x14ac:dyDescent="0.25">
      <c r="A1195" s="394"/>
      <c r="B1195" s="1993"/>
      <c r="C1195" s="1740"/>
      <c r="D1195" s="1740"/>
      <c r="E1195" s="1669"/>
      <c r="F1195" s="1600"/>
      <c r="G1195" s="1600"/>
      <c r="H1195" s="1600"/>
      <c r="I1195" s="1600"/>
      <c r="J1195" s="1600"/>
      <c r="K1195" s="589" t="s">
        <v>1914</v>
      </c>
      <c r="L1195" s="511" t="s">
        <v>977</v>
      </c>
      <c r="M1195" s="644">
        <v>11977</v>
      </c>
      <c r="N1195" s="1175">
        <v>10786</v>
      </c>
      <c r="O1195" s="1175">
        <v>10786</v>
      </c>
      <c r="P1195" s="1175">
        <v>10786</v>
      </c>
      <c r="Q1195" s="1175">
        <v>10786</v>
      </c>
    </row>
    <row r="1196" spans="1:17" ht="45" x14ac:dyDescent="0.25">
      <c r="A1196" s="394"/>
      <c r="B1196" s="1176"/>
      <c r="C1196" s="1132" t="s">
        <v>3</v>
      </c>
      <c r="D1196" s="1132"/>
      <c r="E1196" s="589" t="s">
        <v>1915</v>
      </c>
      <c r="F1196" s="560">
        <v>8776</v>
      </c>
      <c r="G1196" s="560">
        <v>8776</v>
      </c>
      <c r="H1196" s="557">
        <v>8776</v>
      </c>
      <c r="I1196" s="557">
        <v>8800.4</v>
      </c>
      <c r="J1196" s="557">
        <v>8800.4</v>
      </c>
      <c r="K1196" s="495"/>
      <c r="L1196" s="321"/>
      <c r="M1196" s="644"/>
      <c r="N1196" s="1175"/>
      <c r="O1196" s="1175"/>
      <c r="P1196" s="1175"/>
      <c r="Q1196" s="1175"/>
    </row>
    <row r="1197" spans="1:17" x14ac:dyDescent="0.25">
      <c r="B1197" s="1564" t="s">
        <v>1427</v>
      </c>
      <c r="C1197" s="1564"/>
      <c r="D1197" s="1564"/>
      <c r="E1197" s="1564"/>
      <c r="F1197" s="207">
        <f>F1184+F1192</f>
        <v>39701.300000000003</v>
      </c>
      <c r="G1197" s="207">
        <f>G1184+G1192</f>
        <v>39701.300000000003</v>
      </c>
      <c r="H1197" s="207">
        <f>H1184+H1194+H1196</f>
        <v>39701.300000000003</v>
      </c>
      <c r="I1197" s="207">
        <f>I1184+I1194+I1196</f>
        <v>39735.9</v>
      </c>
      <c r="J1197" s="207">
        <f>J1184+J1194+J1196</f>
        <v>39813.4</v>
      </c>
      <c r="K1197" s="133"/>
      <c r="L1197" s="1771"/>
      <c r="M1197" s="1771"/>
      <c r="N1197" s="1771"/>
      <c r="O1197" s="1771"/>
      <c r="P1197" s="1771"/>
      <c r="Q1197" s="1771"/>
    </row>
    <row r="1198" spans="1:17" x14ac:dyDescent="0.25">
      <c r="A1198" s="921"/>
      <c r="B1198" s="1643" t="s">
        <v>1916</v>
      </c>
      <c r="C1198" s="1643"/>
      <c r="D1198" s="1643"/>
      <c r="E1198" s="1643"/>
      <c r="F1198" s="1573"/>
      <c r="G1198" s="1573"/>
      <c r="H1198" s="1573"/>
      <c r="I1198" s="1573"/>
      <c r="J1198" s="1573"/>
      <c r="K1198" s="1573"/>
      <c r="L1198" s="1573"/>
      <c r="M1198" s="1573"/>
      <c r="N1198" s="1573"/>
      <c r="O1198" s="1573"/>
      <c r="P1198" s="1573"/>
      <c r="Q1198" s="1573"/>
    </row>
    <row r="1199" spans="1:17" ht="88.5" x14ac:dyDescent="0.25">
      <c r="A1199" s="394"/>
      <c r="B1199" s="993" t="s">
        <v>102</v>
      </c>
      <c r="C1199" s="1005"/>
      <c r="D1199" s="994"/>
      <c r="E1199" s="589" t="s">
        <v>1917</v>
      </c>
      <c r="F1199" s="995">
        <f>F1200+F1201</f>
        <v>5852</v>
      </c>
      <c r="G1199" s="995">
        <f t="shared" ref="G1199:J1199" si="125">G1200+G1201</f>
        <v>5907</v>
      </c>
      <c r="H1199" s="995">
        <f>H1200+H1201+H1202</f>
        <v>28403.5</v>
      </c>
      <c r="I1199" s="995">
        <f t="shared" si="125"/>
        <v>6007</v>
      </c>
      <c r="J1199" s="995">
        <f t="shared" si="125"/>
        <v>6085.5974999999999</v>
      </c>
      <c r="K1199" s="996" t="s">
        <v>501</v>
      </c>
      <c r="L1199" s="997" t="s">
        <v>15</v>
      </c>
      <c r="M1199" s="1169"/>
      <c r="N1199" s="1169"/>
      <c r="O1199" s="1169"/>
      <c r="P1199" s="1169"/>
      <c r="Q1199" s="1169"/>
    </row>
    <row r="1200" spans="1:17" ht="30" x14ac:dyDescent="0.25">
      <c r="A1200" s="394"/>
      <c r="B1200" s="994"/>
      <c r="C1200" s="998" t="s">
        <v>2</v>
      </c>
      <c r="D1200" s="998"/>
      <c r="E1200" s="589" t="s">
        <v>205</v>
      </c>
      <c r="F1200" s="999">
        <v>2209</v>
      </c>
      <c r="G1200" s="999">
        <v>2242</v>
      </c>
      <c r="H1200" s="999">
        <v>1451.2</v>
      </c>
      <c r="I1200" s="999">
        <v>2280</v>
      </c>
      <c r="J1200" s="999">
        <f>2280.3*101.3/100</f>
        <v>2309.9439000000002</v>
      </c>
      <c r="K1200" s="589" t="s">
        <v>1870</v>
      </c>
      <c r="L1200" s="997" t="s">
        <v>14</v>
      </c>
      <c r="M1200" s="1170">
        <v>100</v>
      </c>
      <c r="N1200" s="1169"/>
      <c r="O1200" s="1169"/>
      <c r="P1200" s="1169"/>
      <c r="Q1200" s="1169"/>
    </row>
    <row r="1201" spans="1:17" ht="30" x14ac:dyDescent="0.25">
      <c r="A1201" s="394"/>
      <c r="B1201" s="994"/>
      <c r="C1201" s="994" t="s">
        <v>3</v>
      </c>
      <c r="D1201" s="994"/>
      <c r="E1201" s="527" t="s">
        <v>1918</v>
      </c>
      <c r="F1201" s="999">
        <v>3643</v>
      </c>
      <c r="G1201" s="999">
        <v>3665</v>
      </c>
      <c r="H1201" s="999">
        <v>1615.6</v>
      </c>
      <c r="I1201" s="999">
        <v>3727</v>
      </c>
      <c r="J1201" s="999">
        <f>3727.2*101.3/100</f>
        <v>3775.6535999999996</v>
      </c>
      <c r="K1201" s="589"/>
      <c r="L1201" s="511" t="s">
        <v>968</v>
      </c>
      <c r="M1201" s="511"/>
      <c r="N1201" s="511"/>
      <c r="O1201" s="511"/>
      <c r="P1201" s="511"/>
      <c r="Q1201" s="511"/>
    </row>
    <row r="1202" spans="1:17" ht="30" x14ac:dyDescent="0.25">
      <c r="A1202" s="394"/>
      <c r="B1202" s="994"/>
      <c r="C1202" s="998" t="s">
        <v>1919</v>
      </c>
      <c r="D1202" s="994"/>
      <c r="E1202" s="562" t="s">
        <v>1920</v>
      </c>
      <c r="F1202" s="999"/>
      <c r="G1202" s="999"/>
      <c r="H1202" s="999">
        <v>25336.7</v>
      </c>
      <c r="I1202" s="999"/>
      <c r="J1202" s="999"/>
      <c r="K1202" s="593"/>
      <c r="L1202" s="511" t="s">
        <v>968</v>
      </c>
      <c r="M1202" s="511"/>
      <c r="N1202" s="511"/>
      <c r="O1202" s="511"/>
      <c r="P1202" s="511"/>
      <c r="Q1202" s="511"/>
    </row>
    <row r="1203" spans="1:17" ht="43.5" x14ac:dyDescent="0.25">
      <c r="A1203" s="394"/>
      <c r="B1203" s="1987" t="s">
        <v>91</v>
      </c>
      <c r="C1203" s="1989"/>
      <c r="D1203" s="1990"/>
      <c r="E1203" s="1000" t="s">
        <v>1921</v>
      </c>
      <c r="F1203" s="1991">
        <f>F1205+F1206+F1207+F1208+F1209+F1210+F1211+F1212+F1213+F1214+F1215</f>
        <v>22060.400000000001</v>
      </c>
      <c r="G1203" s="1991">
        <f>G1205+G1206+G1207+G1208+G1209+G1210+G1211+G1212+G1213+G1214+G1215</f>
        <v>24496.5</v>
      </c>
      <c r="H1203" s="1991">
        <f>H1205+H1206+H1207+H1208+H1209+H1210+H1211+H1212+H1213+H1214+H1215</f>
        <v>0</v>
      </c>
      <c r="I1203" s="1991">
        <f>I1205+I1206+I1207+I1208+I1209+I1210+I1211+I1212+I1213+I1214+I1215</f>
        <v>22421.300000000003</v>
      </c>
      <c r="J1203" s="1991">
        <f>J1205+J1206+J1207+J1208+J1209+J1210+J1211+J1212+J1213+J1214+J1215</f>
        <v>22398.115099999995</v>
      </c>
      <c r="K1203" s="589"/>
      <c r="L1203" s="511" t="s">
        <v>14</v>
      </c>
      <c r="M1203" s="511"/>
      <c r="N1203" s="511"/>
      <c r="O1203" s="511"/>
      <c r="P1203" s="511"/>
      <c r="Q1203" s="511"/>
    </row>
    <row r="1204" spans="1:17" ht="45" x14ac:dyDescent="0.25">
      <c r="A1204" s="394"/>
      <c r="B1204" s="1988"/>
      <c r="C1204" s="1989"/>
      <c r="D1204" s="1990"/>
      <c r="E1204" s="1001" t="s">
        <v>1922</v>
      </c>
      <c r="F1204" s="1991"/>
      <c r="G1204" s="1991"/>
      <c r="H1204" s="1991"/>
      <c r="I1204" s="1991"/>
      <c r="J1204" s="1991"/>
      <c r="K1204" s="628"/>
      <c r="L1204" s="511"/>
      <c r="M1204" s="511"/>
      <c r="N1204" s="511"/>
      <c r="O1204" s="511"/>
      <c r="P1204" s="511"/>
      <c r="Q1204" s="511"/>
    </row>
    <row r="1205" spans="1:17" x14ac:dyDescent="0.25">
      <c r="A1205" s="394"/>
      <c r="B1205" s="1002"/>
      <c r="C1205" s="994" t="s">
        <v>2</v>
      </c>
      <c r="D1205" s="1003"/>
      <c r="E1205" s="1004" t="s">
        <v>1923</v>
      </c>
      <c r="F1205" s="999"/>
      <c r="G1205" s="999"/>
      <c r="H1205" s="999"/>
      <c r="I1205" s="999"/>
      <c r="J1205" s="999"/>
      <c r="K1205" s="628"/>
      <c r="L1205" s="511"/>
      <c r="M1205" s="511"/>
      <c r="N1205" s="511"/>
      <c r="O1205" s="511"/>
      <c r="P1205" s="511"/>
      <c r="Q1205" s="511"/>
    </row>
    <row r="1206" spans="1:17" ht="90" x14ac:dyDescent="0.25">
      <c r="A1206" s="394"/>
      <c r="B1206" s="1171"/>
      <c r="C1206" s="1005" t="s">
        <v>3</v>
      </c>
      <c r="D1206" s="1171"/>
      <c r="E1206" s="1006" t="s">
        <v>1924</v>
      </c>
      <c r="F1206" s="999">
        <v>3525.4</v>
      </c>
      <c r="G1206" s="999">
        <v>3572</v>
      </c>
      <c r="H1206" s="999"/>
      <c r="I1206" s="999">
        <v>3798</v>
      </c>
      <c r="J1206" s="999">
        <f>3798.2*101.3/100</f>
        <v>3847.5765999999999</v>
      </c>
      <c r="K1206" s="589" t="s">
        <v>1925</v>
      </c>
      <c r="L1206" s="1981"/>
      <c r="M1206" s="1982">
        <v>0.5</v>
      </c>
      <c r="N1206" s="284"/>
      <c r="O1206" s="284"/>
      <c r="P1206" s="284"/>
      <c r="Q1206" s="284"/>
    </row>
    <row r="1207" spans="1:17" ht="30" x14ac:dyDescent="0.25">
      <c r="A1207" s="394"/>
      <c r="B1207" s="1171"/>
      <c r="C1207" s="1005" t="s">
        <v>4</v>
      </c>
      <c r="D1207" s="1171"/>
      <c r="E1207" s="589" t="s">
        <v>1926</v>
      </c>
      <c r="F1207" s="999">
        <v>1600</v>
      </c>
      <c r="G1207" s="999">
        <v>4117</v>
      </c>
      <c r="H1207" s="999"/>
      <c r="I1207" s="999">
        <v>4726</v>
      </c>
      <c r="J1207" s="999">
        <f>4726.1*101.3/100</f>
        <v>4787.5393000000004</v>
      </c>
      <c r="K1207" s="589" t="s">
        <v>1927</v>
      </c>
      <c r="L1207" s="1981"/>
      <c r="M1207" s="1982"/>
      <c r="N1207" s="249"/>
      <c r="O1207" s="249"/>
      <c r="P1207" s="249"/>
      <c r="Q1207" s="249"/>
    </row>
    <row r="1208" spans="1:17" ht="30" x14ac:dyDescent="0.25">
      <c r="A1208" s="394"/>
      <c r="B1208" s="1171"/>
      <c r="C1208" s="1005" t="s">
        <v>5</v>
      </c>
      <c r="D1208" s="1171"/>
      <c r="E1208" s="589" t="s">
        <v>1928</v>
      </c>
      <c r="F1208" s="999">
        <v>3295</v>
      </c>
      <c r="G1208" s="999">
        <v>3267</v>
      </c>
      <c r="H1208" s="999"/>
      <c r="I1208" s="999">
        <v>3323</v>
      </c>
      <c r="J1208" s="999">
        <f>3322.6*101.3/100</f>
        <v>3365.7937999999999</v>
      </c>
      <c r="K1208" s="589" t="s">
        <v>1925</v>
      </c>
      <c r="L1208" s="1981"/>
      <c r="M1208" s="1982"/>
      <c r="N1208" s="249"/>
      <c r="O1208" s="249"/>
      <c r="P1208" s="249"/>
      <c r="Q1208" s="249"/>
    </row>
    <row r="1209" spans="1:17" ht="60" x14ac:dyDescent="0.25">
      <c r="A1209" s="394"/>
      <c r="B1209" s="1171"/>
      <c r="C1209" s="1005" t="s">
        <v>49</v>
      </c>
      <c r="D1209" s="1171"/>
      <c r="E1209" s="1007" t="s">
        <v>1929</v>
      </c>
      <c r="F1209" s="999">
        <v>300</v>
      </c>
      <c r="G1209" s="999">
        <v>301.8</v>
      </c>
      <c r="H1209" s="999"/>
      <c r="I1209" s="999">
        <v>306.89999999999998</v>
      </c>
      <c r="J1209" s="999">
        <f>306.9*101.3/100</f>
        <v>310.88969999999995</v>
      </c>
      <c r="K1209" s="589" t="s">
        <v>1930</v>
      </c>
      <c r="L1209" s="511"/>
      <c r="M1209" s="495"/>
      <c r="N1209" s="249"/>
      <c r="O1209" s="249"/>
      <c r="P1209" s="249"/>
      <c r="Q1209" s="249"/>
    </row>
    <row r="1210" spans="1:17" ht="105" x14ac:dyDescent="0.25">
      <c r="A1210" s="394"/>
      <c r="B1210" s="1171"/>
      <c r="C1210" s="1005" t="s">
        <v>50</v>
      </c>
      <c r="D1210" s="1171"/>
      <c r="E1210" s="1006" t="s">
        <v>1931</v>
      </c>
      <c r="F1210" s="999">
        <v>2120</v>
      </c>
      <c r="G1210" s="999">
        <v>2132</v>
      </c>
      <c r="H1210" s="999"/>
      <c r="I1210" s="999">
        <v>2169</v>
      </c>
      <c r="J1210" s="999">
        <f>2168.6*101.3/100</f>
        <v>2196.7918</v>
      </c>
      <c r="K1210" s="495" t="s">
        <v>1932</v>
      </c>
      <c r="L1210" s="511"/>
      <c r="M1210" s="495"/>
      <c r="N1210" s="284"/>
      <c r="O1210" s="284"/>
      <c r="P1210" s="284"/>
      <c r="Q1210" s="284"/>
    </row>
    <row r="1211" spans="1:17" ht="30" x14ac:dyDescent="0.25">
      <c r="A1211" s="394"/>
      <c r="B1211" s="1171"/>
      <c r="C1211" s="1005" t="s">
        <v>51</v>
      </c>
      <c r="D1211" s="1171"/>
      <c r="E1211" s="589" t="s">
        <v>1933</v>
      </c>
      <c r="F1211" s="999">
        <v>1060</v>
      </c>
      <c r="G1211" s="999">
        <v>1066</v>
      </c>
      <c r="H1211" s="999"/>
      <c r="I1211" s="999">
        <v>1084</v>
      </c>
      <c r="J1211" s="999">
        <f>1084.3*101.3/100</f>
        <v>1098.3959</v>
      </c>
      <c r="K1211" s="495" t="s">
        <v>1934</v>
      </c>
      <c r="L1211" s="511"/>
      <c r="M1211" s="495"/>
      <c r="N1211" s="249"/>
      <c r="O1211" s="249"/>
      <c r="P1211" s="249"/>
      <c r="Q1211" s="249"/>
    </row>
    <row r="1212" spans="1:17" x14ac:dyDescent="0.25">
      <c r="A1212" s="394"/>
      <c r="B1212" s="1171"/>
      <c r="C1212" s="1005" t="s">
        <v>53</v>
      </c>
      <c r="D1212" s="1171"/>
      <c r="E1212" s="589" t="s">
        <v>1935</v>
      </c>
      <c r="F1212" s="999">
        <v>1060</v>
      </c>
      <c r="G1212" s="999">
        <v>1066</v>
      </c>
      <c r="H1212" s="999"/>
      <c r="I1212" s="999">
        <v>1084</v>
      </c>
      <c r="J1212" s="999">
        <f>1084.3*101.3/100</f>
        <v>1098.3959</v>
      </c>
      <c r="K1212" s="589"/>
      <c r="L1212" s="511"/>
      <c r="M1212" s="495"/>
      <c r="N1212" s="249"/>
      <c r="O1212" s="249"/>
      <c r="P1212" s="249"/>
      <c r="Q1212" s="249"/>
    </row>
    <row r="1213" spans="1:17" ht="60" x14ac:dyDescent="0.25">
      <c r="A1213" s="394"/>
      <c r="B1213" s="1171"/>
      <c r="C1213" s="1005" t="s">
        <v>54</v>
      </c>
      <c r="D1213" s="1171"/>
      <c r="E1213" s="1006" t="s">
        <v>1936</v>
      </c>
      <c r="F1213" s="999">
        <v>2800</v>
      </c>
      <c r="G1213" s="999">
        <v>2817</v>
      </c>
      <c r="H1213" s="999"/>
      <c r="I1213" s="999">
        <v>2865</v>
      </c>
      <c r="J1213" s="999">
        <f>2864.8*101.3/100</f>
        <v>2902.0423999999998</v>
      </c>
      <c r="K1213" s="589" t="s">
        <v>1937</v>
      </c>
      <c r="L1213" s="329">
        <v>1</v>
      </c>
      <c r="M1213" s="495"/>
      <c r="N1213" s="249"/>
      <c r="O1213" s="249"/>
      <c r="P1213" s="249"/>
      <c r="Q1213" s="249"/>
    </row>
    <row r="1214" spans="1:17" ht="45" x14ac:dyDescent="0.25">
      <c r="A1214" s="394"/>
      <c r="B1214" s="1171"/>
      <c r="C1214" s="1005" t="s">
        <v>1938</v>
      </c>
      <c r="D1214" s="1171"/>
      <c r="E1214" s="1006" t="s">
        <v>1939</v>
      </c>
      <c r="F1214" s="999">
        <v>6000</v>
      </c>
      <c r="G1214" s="999">
        <v>5856</v>
      </c>
      <c r="H1214" s="999"/>
      <c r="I1214" s="999">
        <f>5542-2783.5</f>
        <v>2758.5</v>
      </c>
      <c r="J1214" s="999">
        <f>2479.7+0.1</f>
        <v>2479.7999999999997</v>
      </c>
      <c r="K1214" s="284"/>
      <c r="L1214" s="1983">
        <v>1</v>
      </c>
      <c r="M1214" s="1983"/>
      <c r="N1214" s="1983"/>
      <c r="O1214" s="1983"/>
      <c r="P1214" s="1983"/>
      <c r="Q1214" s="1983"/>
    </row>
    <row r="1215" spans="1:17" ht="45" x14ac:dyDescent="0.25">
      <c r="A1215" s="394"/>
      <c r="B1215" s="1171"/>
      <c r="C1215" s="1005" t="s">
        <v>1940</v>
      </c>
      <c r="D1215" s="1171"/>
      <c r="E1215" s="1006" t="s">
        <v>1941</v>
      </c>
      <c r="F1215" s="999">
        <v>300</v>
      </c>
      <c r="G1215" s="999">
        <f>301.8-0.1</f>
        <v>301.7</v>
      </c>
      <c r="H1215" s="999"/>
      <c r="I1215" s="999">
        <v>306.89999999999998</v>
      </c>
      <c r="J1215" s="999">
        <f>306.9*101.3/100</f>
        <v>310.88969999999995</v>
      </c>
      <c r="K1215" s="284" t="s">
        <v>1942</v>
      </c>
      <c r="L1215" s="487"/>
      <c r="M1215" s="284"/>
      <c r="N1215" s="284"/>
      <c r="O1215" s="284"/>
      <c r="P1215" s="284"/>
      <c r="Q1215" s="284"/>
    </row>
    <row r="1216" spans="1:17" x14ac:dyDescent="0.25">
      <c r="B1216" s="1984" t="s">
        <v>1427</v>
      </c>
      <c r="C1216" s="1984"/>
      <c r="D1216" s="1984"/>
      <c r="E1216" s="1984"/>
      <c r="F1216" s="1165">
        <f>F1199+F1203</f>
        <v>27912.400000000001</v>
      </c>
      <c r="G1216" s="1165">
        <f>G1199+G1203</f>
        <v>30403.5</v>
      </c>
      <c r="H1216" s="1165">
        <f>H1199+H1203</f>
        <v>28403.5</v>
      </c>
      <c r="I1216" s="1165">
        <f>I1199+I1203</f>
        <v>28428.300000000003</v>
      </c>
      <c r="J1216" s="1165">
        <f>J1199+J1203</f>
        <v>28483.712599999995</v>
      </c>
      <c r="K1216" s="1009"/>
      <c r="L1216" s="1540"/>
      <c r="M1216" s="1010"/>
      <c r="N1216" s="1011"/>
      <c r="O1216" s="1011"/>
      <c r="P1216" s="1012"/>
      <c r="Q1216" s="1011"/>
    </row>
    <row r="1217" spans="1:17" x14ac:dyDescent="0.25">
      <c r="A1217" s="921"/>
      <c r="B1217" s="1985" t="s">
        <v>1943</v>
      </c>
      <c r="C1217" s="1986"/>
      <c r="D1217" s="1986"/>
      <c r="E1217" s="1986"/>
      <c r="F1217" s="1986"/>
      <c r="G1217" s="1986"/>
      <c r="H1217" s="1986"/>
      <c r="I1217" s="1986"/>
      <c r="J1217" s="1986"/>
      <c r="K1217" s="1986"/>
      <c r="L1217" s="1986"/>
      <c r="M1217" s="1986"/>
      <c r="N1217" s="1986"/>
      <c r="O1217" s="1986"/>
      <c r="P1217" s="1986"/>
      <c r="Q1217" s="1986"/>
    </row>
    <row r="1218" spans="1:17" ht="88.5" x14ac:dyDescent="0.25">
      <c r="A1218" s="394"/>
      <c r="B1218" s="328">
        <v>1</v>
      </c>
      <c r="C1218" s="416"/>
      <c r="D1218" s="416"/>
      <c r="E1218" s="486" t="s">
        <v>1944</v>
      </c>
      <c r="F1218" s="430">
        <f>F1219+F1220+F1221+F1222+F1223+F1224</f>
        <v>14880.300000000001</v>
      </c>
      <c r="G1218" s="430">
        <f t="shared" ref="G1218:J1218" si="126">G1219+G1220+G1221+G1222+G1223+G1224</f>
        <v>10249.847750000001</v>
      </c>
      <c r="H1218" s="430">
        <f t="shared" si="126"/>
        <v>16164.6</v>
      </c>
      <c r="I1218" s="430">
        <f t="shared" si="126"/>
        <v>10086.962749999999</v>
      </c>
      <c r="J1218" s="430">
        <f t="shared" si="126"/>
        <v>10086.16275</v>
      </c>
      <c r="K1218" s="589" t="s">
        <v>1845</v>
      </c>
      <c r="L1218" s="511" t="s">
        <v>14</v>
      </c>
      <c r="M1218" s="583">
        <v>4.5</v>
      </c>
      <c r="N1218" s="583">
        <v>4.5</v>
      </c>
      <c r="O1218" s="583">
        <v>4.5</v>
      </c>
      <c r="P1218" s="583">
        <v>4.5</v>
      </c>
      <c r="Q1218" s="583">
        <v>4.5</v>
      </c>
    </row>
    <row r="1219" spans="1:17" ht="30" x14ac:dyDescent="0.25">
      <c r="A1219" s="394"/>
      <c r="B1219" s="1013"/>
      <c r="C1219" s="652">
        <v>1</v>
      </c>
      <c r="D1219" s="416"/>
      <c r="E1219" s="197" t="s">
        <v>1823</v>
      </c>
      <c r="F1219" s="557">
        <v>6300.4</v>
      </c>
      <c r="G1219" s="999">
        <v>1013.8017500000001</v>
      </c>
      <c r="H1219" s="999">
        <v>5689.8</v>
      </c>
      <c r="I1219" s="557">
        <v>998.01675</v>
      </c>
      <c r="J1219" s="557">
        <v>998.01675</v>
      </c>
      <c r="K1219" s="589" t="s">
        <v>1945</v>
      </c>
      <c r="L1219" s="511"/>
      <c r="M1219" s="583"/>
      <c r="N1219" s="583"/>
      <c r="O1219" s="583"/>
      <c r="P1219" s="583"/>
      <c r="Q1219" s="583"/>
    </row>
    <row r="1220" spans="1:17" ht="30" x14ac:dyDescent="0.25">
      <c r="A1220" s="394"/>
      <c r="B1220" s="1013"/>
      <c r="C1220" s="652">
        <v>2</v>
      </c>
      <c r="D1220" s="416"/>
      <c r="E1220" s="562" t="s">
        <v>1946</v>
      </c>
      <c r="F1220" s="557">
        <v>1796</v>
      </c>
      <c r="G1220" s="999">
        <v>1673.8035</v>
      </c>
      <c r="H1220" s="999">
        <v>3934</v>
      </c>
      <c r="I1220" s="557">
        <v>1647.5285000000001</v>
      </c>
      <c r="J1220" s="557">
        <v>1647.5285000000001</v>
      </c>
      <c r="K1220" s="589" t="s">
        <v>1947</v>
      </c>
      <c r="L1220" s="511"/>
      <c r="M1220" s="511">
        <v>52</v>
      </c>
      <c r="N1220" s="511">
        <v>54</v>
      </c>
      <c r="O1220" s="511">
        <v>56</v>
      </c>
      <c r="P1220" s="511">
        <v>60</v>
      </c>
      <c r="Q1220" s="511">
        <v>62</v>
      </c>
    </row>
    <row r="1221" spans="1:17" ht="30" x14ac:dyDescent="0.25">
      <c r="A1221" s="394"/>
      <c r="B1221" s="1013"/>
      <c r="C1221" s="652">
        <v>3</v>
      </c>
      <c r="D1221" s="416"/>
      <c r="E1221" s="527" t="s">
        <v>262</v>
      </c>
      <c r="F1221" s="557">
        <v>2219.5</v>
      </c>
      <c r="G1221" s="999">
        <v>2606.2939999999999</v>
      </c>
      <c r="H1221" s="999">
        <v>2636</v>
      </c>
      <c r="I1221" s="557">
        <v>2564.2939999999999</v>
      </c>
      <c r="J1221" s="557">
        <v>2564.2939999999999</v>
      </c>
      <c r="K1221" s="589" t="s">
        <v>1825</v>
      </c>
      <c r="L1221" s="511"/>
      <c r="M1221" s="1593">
        <v>40</v>
      </c>
      <c r="N1221" s="1593">
        <v>45</v>
      </c>
      <c r="O1221" s="1593">
        <v>50</v>
      </c>
      <c r="P1221" s="1593">
        <v>55</v>
      </c>
      <c r="Q1221" s="1593">
        <v>60</v>
      </c>
    </row>
    <row r="1222" spans="1:17" ht="30" x14ac:dyDescent="0.25">
      <c r="A1222" s="394"/>
      <c r="B1222" s="1013"/>
      <c r="C1222" s="652">
        <v>5</v>
      </c>
      <c r="D1222" s="416"/>
      <c r="E1222" s="562" t="s">
        <v>1948</v>
      </c>
      <c r="F1222" s="557">
        <v>546</v>
      </c>
      <c r="G1222" s="999">
        <v>668.06925000000001</v>
      </c>
      <c r="H1222" s="999">
        <v>658.6</v>
      </c>
      <c r="I1222" s="557">
        <v>657.57925</v>
      </c>
      <c r="J1222" s="557">
        <v>657.57925</v>
      </c>
      <c r="K1222" s="589" t="s">
        <v>1949</v>
      </c>
      <c r="L1222" s="511"/>
      <c r="M1222" s="1593"/>
      <c r="N1222" s="1593"/>
      <c r="O1222" s="1593"/>
      <c r="P1222" s="1593"/>
      <c r="Q1222" s="1593"/>
    </row>
    <row r="1223" spans="1:17" ht="30" x14ac:dyDescent="0.25">
      <c r="A1223" s="394"/>
      <c r="B1223" s="1013"/>
      <c r="C1223" s="652">
        <v>4</v>
      </c>
      <c r="D1223" s="416"/>
      <c r="E1223" s="728" t="s">
        <v>1950</v>
      </c>
      <c r="F1223" s="557">
        <v>2337.3000000000002</v>
      </c>
      <c r="G1223" s="999">
        <v>2352.5910000000003</v>
      </c>
      <c r="H1223" s="999">
        <v>2515.1</v>
      </c>
      <c r="I1223" s="557">
        <f>2315.826</f>
        <v>2315.826</v>
      </c>
      <c r="J1223" s="557">
        <f>2315.826-0.8</f>
        <v>2315.0259999999998</v>
      </c>
      <c r="K1223" s="589" t="s">
        <v>1825</v>
      </c>
      <c r="L1223" s="511"/>
      <c r="M1223" s="511">
        <v>28</v>
      </c>
      <c r="N1223" s="511">
        <v>20</v>
      </c>
      <c r="O1223" s="511">
        <v>16</v>
      </c>
      <c r="P1223" s="511">
        <v>12</v>
      </c>
      <c r="Q1223" s="511">
        <v>10</v>
      </c>
    </row>
    <row r="1224" spans="1:17" ht="45" x14ac:dyDescent="0.25">
      <c r="A1224" s="394"/>
      <c r="B1224" s="1013"/>
      <c r="C1224" s="652">
        <v>6</v>
      </c>
      <c r="D1224" s="416"/>
      <c r="E1224" s="728" t="s">
        <v>1951</v>
      </c>
      <c r="F1224" s="557">
        <v>1681.1</v>
      </c>
      <c r="G1224" s="999">
        <v>1935.2882500000001</v>
      </c>
      <c r="H1224" s="999">
        <v>731.1</v>
      </c>
      <c r="I1224" s="557">
        <v>1903.7182499999999</v>
      </c>
      <c r="J1224" s="557">
        <v>1903.7182499999999</v>
      </c>
      <c r="K1224" s="589" t="s">
        <v>1952</v>
      </c>
      <c r="L1224" s="511"/>
      <c r="M1224" s="511">
        <v>5</v>
      </c>
      <c r="N1224" s="511"/>
      <c r="O1224" s="511"/>
      <c r="P1224" s="511"/>
      <c r="Q1224" s="511"/>
    </row>
    <row r="1225" spans="1:17" ht="42.75" x14ac:dyDescent="0.25">
      <c r="A1225" s="394"/>
      <c r="B1225" s="328">
        <v>2</v>
      </c>
      <c r="C1225" s="416"/>
      <c r="D1225" s="416"/>
      <c r="E1225" s="486" t="s">
        <v>1953</v>
      </c>
      <c r="F1225" s="430">
        <f>F1226+F1227</f>
        <v>21259.599999999999</v>
      </c>
      <c r="G1225" s="430">
        <f t="shared" ref="G1225:J1225" si="127">G1226+G1227</f>
        <v>22707.061000000002</v>
      </c>
      <c r="H1225" s="430">
        <f t="shared" si="127"/>
        <v>21096.300000000003</v>
      </c>
      <c r="I1225" s="430">
        <f t="shared" si="127"/>
        <v>27206.403249999999</v>
      </c>
      <c r="J1225" s="430">
        <f t="shared" si="127"/>
        <v>27279.903249999999</v>
      </c>
      <c r="K1225" s="589"/>
      <c r="L1225" s="511"/>
      <c r="M1225" s="511"/>
      <c r="N1225" s="511"/>
      <c r="O1225" s="511"/>
      <c r="P1225" s="511"/>
      <c r="Q1225" s="511"/>
    </row>
    <row r="1226" spans="1:17" ht="60" x14ac:dyDescent="0.25">
      <c r="A1226" s="394"/>
      <c r="B1226" s="1013"/>
      <c r="C1226" s="652">
        <v>1</v>
      </c>
      <c r="D1226" s="416"/>
      <c r="E1226" s="562" t="s">
        <v>1954</v>
      </c>
      <c r="F1226" s="557">
        <v>9705.4</v>
      </c>
      <c r="G1226" s="557">
        <f>16286.24825-2.1</f>
        <v>16284.14825</v>
      </c>
      <c r="H1226" s="557">
        <v>8500.1</v>
      </c>
      <c r="I1226" s="557">
        <v>16509.403249999999</v>
      </c>
      <c r="J1226" s="557">
        <v>16509.403249999999</v>
      </c>
      <c r="K1226" s="527" t="s">
        <v>1955</v>
      </c>
      <c r="L1226" s="511" t="s">
        <v>14</v>
      </c>
      <c r="M1226" s="511">
        <v>26</v>
      </c>
      <c r="N1226" s="511">
        <v>26</v>
      </c>
      <c r="O1226" s="511">
        <v>28</v>
      </c>
      <c r="P1226" s="511">
        <v>29</v>
      </c>
      <c r="Q1226" s="511">
        <v>30</v>
      </c>
    </row>
    <row r="1227" spans="1:17" ht="30" x14ac:dyDescent="0.25">
      <c r="A1227" s="394"/>
      <c r="B1227" s="1013"/>
      <c r="C1227" s="652">
        <v>2</v>
      </c>
      <c r="D1227" s="416"/>
      <c r="E1227" s="562" t="s">
        <v>1956</v>
      </c>
      <c r="F1227" s="557">
        <v>11554.2</v>
      </c>
      <c r="G1227" s="557">
        <f>5929.41275+493.5</f>
        <v>6422.9127500000004</v>
      </c>
      <c r="H1227" s="557">
        <v>12596.2</v>
      </c>
      <c r="I1227" s="557">
        <f>10138.7-3749.5+4307.8</f>
        <v>10697</v>
      </c>
      <c r="J1227" s="557">
        <f>10758.3-4304+4316.2</f>
        <v>10770.5</v>
      </c>
      <c r="K1227" s="527" t="s">
        <v>1957</v>
      </c>
      <c r="L1227" s="511" t="s">
        <v>968</v>
      </c>
      <c r="M1227" s="511">
        <v>26</v>
      </c>
      <c r="N1227" s="511">
        <v>26</v>
      </c>
      <c r="O1227" s="511">
        <v>26</v>
      </c>
      <c r="P1227" s="511">
        <v>26</v>
      </c>
      <c r="Q1227" s="511">
        <v>26</v>
      </c>
    </row>
    <row r="1228" spans="1:17" ht="28.5" x14ac:dyDescent="0.25">
      <c r="A1228" s="394"/>
      <c r="B1228" s="733">
        <v>992</v>
      </c>
      <c r="C1228" s="636"/>
      <c r="D1228" s="762"/>
      <c r="E1228" s="582" t="s">
        <v>378</v>
      </c>
      <c r="F1228" s="21">
        <f>F1229</f>
        <v>0</v>
      </c>
      <c r="G1228" s="21">
        <f t="shared" ref="G1228:J1228" si="128">G1229</f>
        <v>3491927.1</v>
      </c>
      <c r="H1228" s="21">
        <f t="shared" si="128"/>
        <v>1221100</v>
      </c>
      <c r="I1228" s="21">
        <f>I1229</f>
        <v>3564044.58</v>
      </c>
      <c r="J1228" s="21">
        <f t="shared" si="128"/>
        <v>1971782</v>
      </c>
      <c r="K1228" s="1014"/>
      <c r="L1228" s="511"/>
      <c r="M1228" s="511"/>
      <c r="N1228" s="511"/>
      <c r="O1228" s="511"/>
      <c r="P1228" s="511"/>
      <c r="Q1228" s="511"/>
    </row>
    <row r="1229" spans="1:17" ht="30" x14ac:dyDescent="0.25">
      <c r="A1229" s="394"/>
      <c r="B1229" s="933"/>
      <c r="C1229" s="636">
        <v>1</v>
      </c>
      <c r="D1229" s="762"/>
      <c r="E1229" s="593" t="s">
        <v>379</v>
      </c>
      <c r="F1229" s="1015"/>
      <c r="G1229" s="1015">
        <v>3491927.1</v>
      </c>
      <c r="H1229" s="1015">
        <v>1221100</v>
      </c>
      <c r="I1229" s="557">
        <f>383608.26+3180436.32</f>
        <v>3564044.58</v>
      </c>
      <c r="J1229" s="557">
        <f>189777.7+1782004.3</f>
        <v>1971782</v>
      </c>
      <c r="K1229" s="1014"/>
      <c r="L1229" s="511"/>
      <c r="M1229" s="511"/>
      <c r="N1229" s="511"/>
      <c r="O1229" s="511"/>
      <c r="P1229" s="511"/>
      <c r="Q1229" s="511"/>
    </row>
    <row r="1230" spans="1:17" x14ac:dyDescent="0.25">
      <c r="B1230" s="1564" t="s">
        <v>1427</v>
      </c>
      <c r="C1230" s="1564"/>
      <c r="D1230" s="1564"/>
      <c r="E1230" s="1564"/>
      <c r="F1230" s="207">
        <f>F1218+F1225+F1228</f>
        <v>36139.9</v>
      </c>
      <c r="G1230" s="207">
        <f t="shared" ref="G1230:J1230" si="129">G1218+G1225+G1228</f>
        <v>3524884.00875</v>
      </c>
      <c r="H1230" s="207">
        <f t="shared" si="129"/>
        <v>1258360.8999999999</v>
      </c>
      <c r="I1230" s="207">
        <f t="shared" si="129"/>
        <v>3601337.946</v>
      </c>
      <c r="J1230" s="207">
        <f t="shared" si="129"/>
        <v>2009148.0660000001</v>
      </c>
      <c r="K1230" s="1011"/>
      <c r="L1230" s="1818"/>
      <c r="M1230" s="1818"/>
      <c r="N1230" s="1818"/>
      <c r="O1230" s="1818"/>
      <c r="P1230" s="1818"/>
      <c r="Q1230" s="1818"/>
    </row>
    <row r="1231" spans="1:17" x14ac:dyDescent="0.25">
      <c r="A1231" s="921"/>
      <c r="B1231" s="1643" t="s">
        <v>1958</v>
      </c>
      <c r="C1231" s="1643"/>
      <c r="D1231" s="1643"/>
      <c r="E1231" s="1643"/>
      <c r="F1231" s="1573"/>
      <c r="G1231" s="1573"/>
      <c r="H1231" s="1573"/>
      <c r="I1231" s="1573"/>
      <c r="J1231" s="1573"/>
      <c r="K1231" s="1573"/>
      <c r="L1231" s="1573"/>
      <c r="M1231" s="1573"/>
      <c r="N1231" s="1573"/>
      <c r="O1231" s="1573"/>
      <c r="P1231" s="1573"/>
      <c r="Q1231" s="1573"/>
    </row>
    <row r="1232" spans="1:17" ht="73.5" x14ac:dyDescent="0.25">
      <c r="A1232" s="394"/>
      <c r="B1232" s="433">
        <v>1</v>
      </c>
      <c r="C1232" s="540"/>
      <c r="D1232" s="540"/>
      <c r="E1232" s="486" t="s">
        <v>1959</v>
      </c>
      <c r="F1232" s="420">
        <f>F1233+F1234+F1235+F1236+F1237+F1238+F1239</f>
        <v>38672.300000000003</v>
      </c>
      <c r="G1232" s="420">
        <f t="shared" ref="G1232:J1232" si="130">G1233+G1234+G1235+G1236+G1237+G1238+G1239</f>
        <v>27256.899999999998</v>
      </c>
      <c r="H1232" s="420">
        <f t="shared" si="130"/>
        <v>132899</v>
      </c>
      <c r="I1232" s="420">
        <f t="shared" si="130"/>
        <v>20256.899999999998</v>
      </c>
      <c r="J1232" s="420">
        <f t="shared" si="130"/>
        <v>21026.6</v>
      </c>
      <c r="K1232" s="582" t="s">
        <v>1960</v>
      </c>
      <c r="L1232" s="540" t="s">
        <v>14</v>
      </c>
      <c r="M1232" s="540"/>
      <c r="N1232" s="540"/>
      <c r="O1232" s="540"/>
      <c r="P1232" s="540"/>
      <c r="Q1232" s="540"/>
    </row>
    <row r="1233" spans="1:17" x14ac:dyDescent="0.25">
      <c r="A1233" s="394"/>
      <c r="B1233" s="432"/>
      <c r="C1233" s="1016">
        <v>1</v>
      </c>
      <c r="D1233" s="540"/>
      <c r="E1233" s="197" t="s">
        <v>205</v>
      </c>
      <c r="F1233" s="729">
        <v>3567.4</v>
      </c>
      <c r="G1233" s="729">
        <v>3841.6000000000004</v>
      </c>
      <c r="H1233" s="729">
        <v>3966.6</v>
      </c>
      <c r="I1233" s="729">
        <v>3841.6000000000004</v>
      </c>
      <c r="J1233" s="729">
        <v>4611.3</v>
      </c>
      <c r="K1233" s="589" t="s">
        <v>501</v>
      </c>
      <c r="L1233" s="540" t="s">
        <v>15</v>
      </c>
      <c r="M1233" s="540"/>
      <c r="N1233" s="540"/>
      <c r="O1233" s="540"/>
      <c r="P1233" s="540"/>
      <c r="Q1233" s="540"/>
    </row>
    <row r="1234" spans="1:17" ht="30" x14ac:dyDescent="0.25">
      <c r="A1234" s="394"/>
      <c r="B1234" s="432"/>
      <c r="C1234" s="1016">
        <v>2</v>
      </c>
      <c r="D1234" s="540"/>
      <c r="E1234" s="527" t="s">
        <v>1961</v>
      </c>
      <c r="F1234" s="729">
        <v>1705.2</v>
      </c>
      <c r="G1234" s="729">
        <v>3180</v>
      </c>
      <c r="H1234" s="729">
        <v>3305</v>
      </c>
      <c r="I1234" s="729">
        <v>3180</v>
      </c>
      <c r="J1234" s="729">
        <v>3180</v>
      </c>
      <c r="K1234" s="589" t="s">
        <v>1962</v>
      </c>
      <c r="L1234" s="540" t="s">
        <v>14</v>
      </c>
      <c r="M1234" s="540"/>
      <c r="N1234" s="540">
        <v>100</v>
      </c>
      <c r="O1234" s="540">
        <v>100</v>
      </c>
      <c r="P1234" s="540">
        <v>100</v>
      </c>
      <c r="Q1234" s="540">
        <v>100</v>
      </c>
    </row>
    <row r="1235" spans="1:17" ht="30" x14ac:dyDescent="0.25">
      <c r="A1235" s="394"/>
      <c r="B1235" s="432"/>
      <c r="C1235" s="1016">
        <v>3</v>
      </c>
      <c r="D1235" s="540"/>
      <c r="E1235" s="527" t="s">
        <v>142</v>
      </c>
      <c r="F1235" s="729">
        <v>1058.9000000000001</v>
      </c>
      <c r="G1235" s="729">
        <v>5019.3999999999996</v>
      </c>
      <c r="H1235" s="729">
        <v>4144.3999999999996</v>
      </c>
      <c r="I1235" s="729">
        <v>5019.3999999999996</v>
      </c>
      <c r="J1235" s="729">
        <v>5019.3999999999996</v>
      </c>
      <c r="K1235" s="589" t="s">
        <v>1963</v>
      </c>
      <c r="L1235" s="540" t="s">
        <v>14</v>
      </c>
      <c r="M1235" s="540"/>
      <c r="N1235" s="540">
        <v>100</v>
      </c>
      <c r="O1235" s="540">
        <v>100</v>
      </c>
      <c r="P1235" s="540">
        <v>100</v>
      </c>
      <c r="Q1235" s="540">
        <v>100</v>
      </c>
    </row>
    <row r="1236" spans="1:17" ht="30" x14ac:dyDescent="0.25">
      <c r="A1236" s="394"/>
      <c r="B1236" s="432"/>
      <c r="C1236" s="1016">
        <v>4</v>
      </c>
      <c r="D1236" s="540"/>
      <c r="E1236" s="527" t="s">
        <v>143</v>
      </c>
      <c r="F1236" s="729">
        <v>178.6</v>
      </c>
      <c r="G1236" s="729">
        <v>1923.3</v>
      </c>
      <c r="H1236" s="729">
        <v>2048.3000000000002</v>
      </c>
      <c r="I1236" s="729">
        <v>1923.3</v>
      </c>
      <c r="J1236" s="729">
        <v>1923.3</v>
      </c>
      <c r="K1236" s="589" t="s">
        <v>1851</v>
      </c>
      <c r="L1236" s="540" t="s">
        <v>968</v>
      </c>
      <c r="M1236" s="540"/>
      <c r="N1236" s="540">
        <v>100</v>
      </c>
      <c r="O1236" s="540">
        <v>100</v>
      </c>
      <c r="P1236" s="540">
        <v>100</v>
      </c>
      <c r="Q1236" s="540">
        <v>100</v>
      </c>
    </row>
    <row r="1237" spans="1:17" ht="30" x14ac:dyDescent="0.25">
      <c r="A1237" s="394"/>
      <c r="B1237" s="432"/>
      <c r="C1237" s="1016">
        <v>5</v>
      </c>
      <c r="D1237" s="540"/>
      <c r="E1237" s="527" t="s">
        <v>1964</v>
      </c>
      <c r="F1237" s="729">
        <v>1980</v>
      </c>
      <c r="G1237" s="729">
        <v>1878.3</v>
      </c>
      <c r="H1237" s="729">
        <v>2003.3</v>
      </c>
      <c r="I1237" s="729">
        <v>1878.3</v>
      </c>
      <c r="J1237" s="729">
        <v>1878.3</v>
      </c>
      <c r="K1237" s="589" t="s">
        <v>1965</v>
      </c>
      <c r="L1237" s="540" t="s">
        <v>968</v>
      </c>
      <c r="M1237" s="540"/>
      <c r="N1237" s="540">
        <v>15</v>
      </c>
      <c r="O1237" s="540">
        <v>15</v>
      </c>
      <c r="P1237" s="540">
        <v>15</v>
      </c>
      <c r="Q1237" s="540">
        <v>15</v>
      </c>
    </row>
    <row r="1238" spans="1:17" ht="75" x14ac:dyDescent="0.25">
      <c r="A1238" s="394"/>
      <c r="B1238" s="432"/>
      <c r="C1238" s="1016">
        <v>39</v>
      </c>
      <c r="D1238" s="540"/>
      <c r="E1238" s="589" t="s">
        <v>1966</v>
      </c>
      <c r="F1238" s="729">
        <v>30182.2</v>
      </c>
      <c r="G1238" s="729">
        <v>1414.3</v>
      </c>
      <c r="H1238" s="729">
        <v>1539.3</v>
      </c>
      <c r="I1238" s="729">
        <v>1414.3</v>
      </c>
      <c r="J1238" s="729">
        <v>1414.3</v>
      </c>
      <c r="K1238" s="562" t="s">
        <v>1967</v>
      </c>
      <c r="L1238" s="540" t="s">
        <v>14</v>
      </c>
      <c r="M1238" s="540"/>
      <c r="N1238" s="540">
        <v>15</v>
      </c>
      <c r="O1238" s="540">
        <v>15</v>
      </c>
      <c r="P1238" s="540">
        <v>15</v>
      </c>
      <c r="Q1238" s="540">
        <v>15</v>
      </c>
    </row>
    <row r="1239" spans="1:17" ht="30" x14ac:dyDescent="0.25">
      <c r="A1239" s="394"/>
      <c r="B1239" s="432"/>
      <c r="C1239" s="664" t="s">
        <v>1968</v>
      </c>
      <c r="D1239" s="664"/>
      <c r="E1239" s="589" t="s">
        <v>1969</v>
      </c>
      <c r="F1239" s="729"/>
      <c r="G1239" s="729">
        <v>10000</v>
      </c>
      <c r="H1239" s="729">
        <v>115892.1</v>
      </c>
      <c r="I1239" s="729">
        <v>3000</v>
      </c>
      <c r="J1239" s="729">
        <v>3000</v>
      </c>
      <c r="K1239" s="589" t="s">
        <v>1970</v>
      </c>
      <c r="L1239" s="540" t="s">
        <v>968</v>
      </c>
      <c r="M1239" s="540"/>
      <c r="N1239" s="540" t="s">
        <v>1971</v>
      </c>
      <c r="O1239" s="540" t="s">
        <v>1971</v>
      </c>
      <c r="P1239" s="540" t="s">
        <v>1971</v>
      </c>
      <c r="Q1239" s="540" t="s">
        <v>1971</v>
      </c>
    </row>
    <row r="1240" spans="1:17" ht="98.25" customHeight="1" x14ac:dyDescent="0.25">
      <c r="A1240" s="394"/>
      <c r="B1240" s="433">
        <v>2</v>
      </c>
      <c r="C1240" s="561"/>
      <c r="D1240" s="561"/>
      <c r="E1240" s="582" t="s">
        <v>1972</v>
      </c>
      <c r="F1240" s="420">
        <f>F1241+F1243+F1250+F1255+F1258+F1262</f>
        <v>151096.20000000001</v>
      </c>
      <c r="G1240" s="420">
        <f t="shared" ref="G1240:J1240" si="131">G1241+G1243+G1250+G1255+G1258+G1262</f>
        <v>146283.5</v>
      </c>
      <c r="H1240" s="420">
        <f t="shared" si="131"/>
        <v>94706.3</v>
      </c>
      <c r="I1240" s="420">
        <f t="shared" si="131"/>
        <v>144318.9</v>
      </c>
      <c r="J1240" s="420">
        <f t="shared" si="131"/>
        <v>144818.9</v>
      </c>
      <c r="K1240" s="582" t="s">
        <v>1973</v>
      </c>
      <c r="L1240" s="660" t="s">
        <v>1974</v>
      </c>
      <c r="M1240" s="660">
        <v>99</v>
      </c>
      <c r="N1240" s="660">
        <v>99</v>
      </c>
      <c r="O1240" s="660">
        <v>71</v>
      </c>
      <c r="P1240" s="660">
        <v>71</v>
      </c>
      <c r="Q1240" s="660">
        <v>71</v>
      </c>
    </row>
    <row r="1241" spans="1:17" ht="60" x14ac:dyDescent="0.25">
      <c r="A1241" s="394"/>
      <c r="B1241" s="1976"/>
      <c r="C1241" s="1977" t="s">
        <v>2</v>
      </c>
      <c r="D1241" s="1977"/>
      <c r="E1241" s="1669" t="s">
        <v>1975</v>
      </c>
      <c r="F1241" s="1632">
        <v>2781</v>
      </c>
      <c r="G1241" s="1632">
        <v>2078.8000000000002</v>
      </c>
      <c r="H1241" s="1632">
        <v>2203.8000000000002</v>
      </c>
      <c r="I1241" s="1632">
        <v>2478.8000000000002</v>
      </c>
      <c r="J1241" s="1632">
        <v>2978.8</v>
      </c>
      <c r="K1241" s="589" t="s">
        <v>1976</v>
      </c>
      <c r="L1241" s="540" t="s">
        <v>968</v>
      </c>
      <c r="M1241" s="540">
        <v>2</v>
      </c>
      <c r="N1241" s="540">
        <v>3</v>
      </c>
      <c r="O1241" s="540">
        <v>3</v>
      </c>
      <c r="P1241" s="540">
        <v>3</v>
      </c>
      <c r="Q1241" s="540">
        <v>3</v>
      </c>
    </row>
    <row r="1242" spans="1:17" ht="75" x14ac:dyDescent="0.25">
      <c r="A1242" s="394"/>
      <c r="B1242" s="1976"/>
      <c r="C1242" s="1977"/>
      <c r="D1242" s="1977"/>
      <c r="E1242" s="1669"/>
      <c r="F1242" s="1632"/>
      <c r="G1242" s="1632"/>
      <c r="H1242" s="1632"/>
      <c r="I1242" s="1632"/>
      <c r="J1242" s="1632"/>
      <c r="K1242" s="589" t="s">
        <v>1977</v>
      </c>
      <c r="L1242" s="540" t="s">
        <v>968</v>
      </c>
      <c r="M1242" s="540">
        <v>12</v>
      </c>
      <c r="N1242" s="540">
        <v>15</v>
      </c>
      <c r="O1242" s="540">
        <v>15</v>
      </c>
      <c r="P1242" s="540">
        <v>15</v>
      </c>
      <c r="Q1242" s="540">
        <v>15</v>
      </c>
    </row>
    <row r="1243" spans="1:17" ht="45" x14ac:dyDescent="0.25">
      <c r="A1243" s="394"/>
      <c r="B1243" s="1976"/>
      <c r="C1243" s="1977" t="s">
        <v>3</v>
      </c>
      <c r="D1243" s="1977"/>
      <c r="E1243" s="1669" t="s">
        <v>1978</v>
      </c>
      <c r="F1243" s="1632">
        <v>5604</v>
      </c>
      <c r="G1243" s="1632">
        <v>4306.1000000000004</v>
      </c>
      <c r="H1243" s="1632">
        <v>4306.1000000000004</v>
      </c>
      <c r="I1243" s="1632">
        <v>4306.1000000000004</v>
      </c>
      <c r="J1243" s="1632">
        <v>4306.1000000000004</v>
      </c>
      <c r="K1243" s="589" t="s">
        <v>1979</v>
      </c>
      <c r="L1243" s="540" t="s">
        <v>1073</v>
      </c>
      <c r="M1243" s="540" t="s">
        <v>1980</v>
      </c>
      <c r="N1243" s="540" t="s">
        <v>1980</v>
      </c>
      <c r="O1243" s="540" t="s">
        <v>1980</v>
      </c>
      <c r="P1243" s="540" t="s">
        <v>1980</v>
      </c>
      <c r="Q1243" s="540" t="s">
        <v>1980</v>
      </c>
    </row>
    <row r="1244" spans="1:17" ht="45" x14ac:dyDescent="0.25">
      <c r="A1244" s="394"/>
      <c r="B1244" s="1976"/>
      <c r="C1244" s="1977"/>
      <c r="D1244" s="1977"/>
      <c r="E1244" s="1669"/>
      <c r="F1244" s="1632"/>
      <c r="G1244" s="1632"/>
      <c r="H1244" s="1632"/>
      <c r="I1244" s="1632"/>
      <c r="J1244" s="1632"/>
      <c r="K1244" s="589" t="s">
        <v>1981</v>
      </c>
      <c r="L1244" s="540" t="s">
        <v>1073</v>
      </c>
      <c r="M1244" s="540" t="s">
        <v>1982</v>
      </c>
      <c r="N1244" s="540" t="s">
        <v>1982</v>
      </c>
      <c r="O1244" s="540" t="s">
        <v>1982</v>
      </c>
      <c r="P1244" s="540" t="s">
        <v>1982</v>
      </c>
      <c r="Q1244" s="540" t="s">
        <v>1982</v>
      </c>
    </row>
    <row r="1245" spans="1:17" ht="45" x14ac:dyDescent="0.25">
      <c r="A1245" s="394"/>
      <c r="B1245" s="1976"/>
      <c r="C1245" s="1977"/>
      <c r="D1245" s="1977"/>
      <c r="E1245" s="1669"/>
      <c r="F1245" s="1632"/>
      <c r="G1245" s="1632"/>
      <c r="H1245" s="1632"/>
      <c r="I1245" s="1632"/>
      <c r="J1245" s="1632"/>
      <c r="K1245" s="589" t="s">
        <v>1983</v>
      </c>
      <c r="L1245" s="540" t="s">
        <v>1073</v>
      </c>
      <c r="M1245" s="540" t="s">
        <v>1982</v>
      </c>
      <c r="N1245" s="540" t="s">
        <v>1982</v>
      </c>
      <c r="O1245" s="540" t="s">
        <v>1982</v>
      </c>
      <c r="P1245" s="540" t="s">
        <v>1982</v>
      </c>
      <c r="Q1245" s="540" t="s">
        <v>1982</v>
      </c>
    </row>
    <row r="1246" spans="1:17" ht="45" x14ac:dyDescent="0.25">
      <c r="A1246" s="394"/>
      <c r="B1246" s="1976"/>
      <c r="C1246" s="1977"/>
      <c r="D1246" s="1977"/>
      <c r="E1246" s="1669"/>
      <c r="F1246" s="1632"/>
      <c r="G1246" s="1632"/>
      <c r="H1246" s="1632"/>
      <c r="I1246" s="1632"/>
      <c r="J1246" s="1632"/>
      <c r="K1246" s="589" t="s">
        <v>1984</v>
      </c>
      <c r="L1246" s="540" t="s">
        <v>1073</v>
      </c>
      <c r="M1246" s="540" t="s">
        <v>1982</v>
      </c>
      <c r="N1246" s="540" t="s">
        <v>1982</v>
      </c>
      <c r="O1246" s="540" t="s">
        <v>1982</v>
      </c>
      <c r="P1246" s="540" t="s">
        <v>1982</v>
      </c>
      <c r="Q1246" s="540" t="s">
        <v>1982</v>
      </c>
    </row>
    <row r="1247" spans="1:17" ht="45" x14ac:dyDescent="0.25">
      <c r="A1247" s="394"/>
      <c r="B1247" s="1976"/>
      <c r="C1247" s="1977"/>
      <c r="D1247" s="1977"/>
      <c r="E1247" s="1669"/>
      <c r="F1247" s="1632"/>
      <c r="G1247" s="1632"/>
      <c r="H1247" s="1632"/>
      <c r="I1247" s="1632"/>
      <c r="J1247" s="1632"/>
      <c r="K1247" s="589" t="s">
        <v>1985</v>
      </c>
      <c r="L1247" s="540" t="s">
        <v>1073</v>
      </c>
      <c r="M1247" s="540" t="s">
        <v>1982</v>
      </c>
      <c r="N1247" s="540" t="s">
        <v>1982</v>
      </c>
      <c r="O1247" s="540" t="s">
        <v>1982</v>
      </c>
      <c r="P1247" s="540" t="s">
        <v>1982</v>
      </c>
      <c r="Q1247" s="540" t="s">
        <v>1982</v>
      </c>
    </row>
    <row r="1248" spans="1:17" ht="45" x14ac:dyDescent="0.25">
      <c r="A1248" s="394"/>
      <c r="B1248" s="1976"/>
      <c r="C1248" s="1977"/>
      <c r="D1248" s="1977"/>
      <c r="E1248" s="1669"/>
      <c r="F1248" s="1632"/>
      <c r="G1248" s="1632"/>
      <c r="H1248" s="1632"/>
      <c r="I1248" s="1632"/>
      <c r="J1248" s="1632"/>
      <c r="K1248" s="589" t="s">
        <v>1986</v>
      </c>
      <c r="L1248" s="540"/>
      <c r="M1248" s="540" t="s">
        <v>1982</v>
      </c>
      <c r="N1248" s="540" t="s">
        <v>1982</v>
      </c>
      <c r="O1248" s="540" t="s">
        <v>1982</v>
      </c>
      <c r="P1248" s="540" t="s">
        <v>1982</v>
      </c>
      <c r="Q1248" s="540" t="s">
        <v>1982</v>
      </c>
    </row>
    <row r="1249" spans="1:17" ht="60" x14ac:dyDescent="0.25">
      <c r="A1249" s="394"/>
      <c r="B1249" s="1976"/>
      <c r="C1249" s="1977"/>
      <c r="D1249" s="1977"/>
      <c r="E1249" s="1669"/>
      <c r="F1249" s="1632"/>
      <c r="G1249" s="1632"/>
      <c r="H1249" s="1632"/>
      <c r="I1249" s="1632"/>
      <c r="J1249" s="1632"/>
      <c r="K1249" s="527" t="s">
        <v>1987</v>
      </c>
      <c r="L1249" s="540"/>
      <c r="M1249" s="540" t="s">
        <v>1982</v>
      </c>
      <c r="N1249" s="540" t="s">
        <v>1982</v>
      </c>
      <c r="O1249" s="540" t="s">
        <v>1982</v>
      </c>
      <c r="P1249" s="540" t="s">
        <v>1982</v>
      </c>
      <c r="Q1249" s="540" t="s">
        <v>1982</v>
      </c>
    </row>
    <row r="1250" spans="1:17" ht="45" x14ac:dyDescent="0.25">
      <c r="A1250" s="394"/>
      <c r="B1250" s="1976"/>
      <c r="C1250" s="1977" t="s">
        <v>4</v>
      </c>
      <c r="D1250" s="1977"/>
      <c r="E1250" s="1669" t="s">
        <v>1988</v>
      </c>
      <c r="F1250" s="1632">
        <v>51436.4</v>
      </c>
      <c r="G1250" s="1632">
        <v>78161.8</v>
      </c>
      <c r="H1250" s="1632">
        <f>70999.3+4872.5</f>
        <v>75871.8</v>
      </c>
      <c r="I1250" s="1632">
        <v>78161.8</v>
      </c>
      <c r="J1250" s="1632">
        <v>78161.8</v>
      </c>
      <c r="K1250" s="527" t="s">
        <v>1989</v>
      </c>
      <c r="L1250" s="1017" t="s">
        <v>968</v>
      </c>
      <c r="M1250" s="540" t="s">
        <v>1050</v>
      </c>
      <c r="N1250" s="540" t="s">
        <v>1050</v>
      </c>
      <c r="O1250" s="540" t="s">
        <v>1050</v>
      </c>
      <c r="P1250" s="540" t="s">
        <v>1050</v>
      </c>
      <c r="Q1250" s="540" t="s">
        <v>1050</v>
      </c>
    </row>
    <row r="1251" spans="1:17" ht="30" x14ac:dyDescent="0.25">
      <c r="A1251" s="394"/>
      <c r="B1251" s="1976"/>
      <c r="C1251" s="1977"/>
      <c r="D1251" s="1977"/>
      <c r="E1251" s="1669"/>
      <c r="F1251" s="1632"/>
      <c r="G1251" s="1632"/>
      <c r="H1251" s="1632"/>
      <c r="I1251" s="1632"/>
      <c r="J1251" s="1632"/>
      <c r="K1251" s="527" t="s">
        <v>1990</v>
      </c>
      <c r="L1251" s="1017" t="s">
        <v>968</v>
      </c>
      <c r="M1251" s="540" t="s">
        <v>1050</v>
      </c>
      <c r="N1251" s="540" t="s">
        <v>1050</v>
      </c>
      <c r="O1251" s="540" t="s">
        <v>1050</v>
      </c>
      <c r="P1251" s="540" t="s">
        <v>1050</v>
      </c>
      <c r="Q1251" s="540" t="s">
        <v>1050</v>
      </c>
    </row>
    <row r="1252" spans="1:17" ht="30" x14ac:dyDescent="0.25">
      <c r="A1252" s="394"/>
      <c r="B1252" s="1976"/>
      <c r="C1252" s="1977"/>
      <c r="D1252" s="1977"/>
      <c r="E1252" s="1669"/>
      <c r="F1252" s="1632"/>
      <c r="G1252" s="1632"/>
      <c r="H1252" s="1632"/>
      <c r="I1252" s="1632"/>
      <c r="J1252" s="1632"/>
      <c r="K1252" s="527" t="s">
        <v>1991</v>
      </c>
      <c r="L1252" s="181" t="s">
        <v>1992</v>
      </c>
      <c r="M1252" s="540" t="s">
        <v>1050</v>
      </c>
      <c r="N1252" s="540" t="s">
        <v>1050</v>
      </c>
      <c r="O1252" s="540" t="s">
        <v>1050</v>
      </c>
      <c r="P1252" s="540" t="s">
        <v>1050</v>
      </c>
      <c r="Q1252" s="540" t="s">
        <v>1050</v>
      </c>
    </row>
    <row r="1253" spans="1:17" ht="30" x14ac:dyDescent="0.25">
      <c r="A1253" s="394"/>
      <c r="B1253" s="1976"/>
      <c r="C1253" s="1977"/>
      <c r="D1253" s="1977"/>
      <c r="E1253" s="1669"/>
      <c r="F1253" s="1632"/>
      <c r="G1253" s="1632"/>
      <c r="H1253" s="1632"/>
      <c r="I1253" s="1632"/>
      <c r="J1253" s="1632"/>
      <c r="K1253" s="527" t="s">
        <v>1993</v>
      </c>
      <c r="L1253" s="540" t="s">
        <v>968</v>
      </c>
      <c r="M1253" s="540">
        <v>17</v>
      </c>
      <c r="N1253" s="540">
        <v>17</v>
      </c>
      <c r="O1253" s="540">
        <v>17</v>
      </c>
      <c r="P1253" s="540">
        <v>17</v>
      </c>
      <c r="Q1253" s="540">
        <v>17</v>
      </c>
    </row>
    <row r="1254" spans="1:17" ht="30" x14ac:dyDescent="0.25">
      <c r="A1254" s="394"/>
      <c r="B1254" s="1976"/>
      <c r="C1254" s="1977"/>
      <c r="D1254" s="1977"/>
      <c r="E1254" s="1669"/>
      <c r="F1254" s="1632"/>
      <c r="G1254" s="1632"/>
      <c r="H1254" s="1632"/>
      <c r="I1254" s="1632"/>
      <c r="J1254" s="1632"/>
      <c r="K1254" s="527" t="s">
        <v>1994</v>
      </c>
      <c r="L1254" s="540" t="s">
        <v>968</v>
      </c>
      <c r="M1254" s="540">
        <v>36</v>
      </c>
      <c r="N1254" s="540">
        <v>45</v>
      </c>
      <c r="O1254" s="540">
        <v>61</v>
      </c>
      <c r="P1254" s="540">
        <v>61</v>
      </c>
      <c r="Q1254" s="540">
        <v>61</v>
      </c>
    </row>
    <row r="1255" spans="1:17" ht="60" x14ac:dyDescent="0.25">
      <c r="A1255" s="394"/>
      <c r="B1255" s="1976"/>
      <c r="C1255" s="1977" t="s">
        <v>5</v>
      </c>
      <c r="D1255" s="1977"/>
      <c r="E1255" s="1669" t="s">
        <v>1995</v>
      </c>
      <c r="F1255" s="1632">
        <v>7274.8</v>
      </c>
      <c r="G1255" s="1632">
        <v>7324.6</v>
      </c>
      <c r="H1255" s="1632">
        <v>7324.6</v>
      </c>
      <c r="I1255" s="1632">
        <v>7960</v>
      </c>
      <c r="J1255" s="1632">
        <v>7960</v>
      </c>
      <c r="K1255" s="589" t="s">
        <v>1996</v>
      </c>
      <c r="L1255" s="540" t="s">
        <v>979</v>
      </c>
      <c r="M1255" s="540">
        <v>1</v>
      </c>
      <c r="N1255" s="540">
        <v>1</v>
      </c>
      <c r="O1255" s="540">
        <v>1</v>
      </c>
      <c r="P1255" s="540">
        <v>1</v>
      </c>
      <c r="Q1255" s="540">
        <v>1</v>
      </c>
    </row>
    <row r="1256" spans="1:17" ht="60" x14ac:dyDescent="0.25">
      <c r="A1256" s="394"/>
      <c r="B1256" s="1976"/>
      <c r="C1256" s="1977"/>
      <c r="D1256" s="1977"/>
      <c r="E1256" s="1669"/>
      <c r="F1256" s="1632"/>
      <c r="G1256" s="1632"/>
      <c r="H1256" s="1632"/>
      <c r="I1256" s="1632"/>
      <c r="J1256" s="1632"/>
      <c r="K1256" s="589" t="s">
        <v>1996</v>
      </c>
      <c r="L1256" s="540" t="s">
        <v>979</v>
      </c>
      <c r="M1256" s="540">
        <v>2</v>
      </c>
      <c r="N1256" s="540">
        <v>2</v>
      </c>
      <c r="O1256" s="540">
        <v>2</v>
      </c>
      <c r="P1256" s="540">
        <v>2</v>
      </c>
      <c r="Q1256" s="540">
        <v>2</v>
      </c>
    </row>
    <row r="1257" spans="1:17" ht="60" x14ac:dyDescent="0.25">
      <c r="A1257" s="394"/>
      <c r="B1257" s="1976"/>
      <c r="C1257" s="1977"/>
      <c r="D1257" s="1977"/>
      <c r="E1257" s="1669"/>
      <c r="F1257" s="1632"/>
      <c r="G1257" s="1632"/>
      <c r="H1257" s="1632"/>
      <c r="I1257" s="1632"/>
      <c r="J1257" s="1632"/>
      <c r="K1257" s="589" t="s">
        <v>1997</v>
      </c>
      <c r="L1257" s="540" t="s">
        <v>979</v>
      </c>
      <c r="M1257" s="540">
        <v>3</v>
      </c>
      <c r="N1257" s="540">
        <v>3</v>
      </c>
      <c r="O1257" s="540">
        <v>3</v>
      </c>
      <c r="P1257" s="540">
        <v>3</v>
      </c>
      <c r="Q1257" s="540">
        <v>3</v>
      </c>
    </row>
    <row r="1258" spans="1:17" ht="30" x14ac:dyDescent="0.25">
      <c r="A1258" s="394"/>
      <c r="B1258" s="1976"/>
      <c r="C1258" s="1977" t="s">
        <v>49</v>
      </c>
      <c r="D1258" s="1977"/>
      <c r="E1258" s="1669" t="s">
        <v>1998</v>
      </c>
      <c r="F1258" s="1632">
        <v>84000</v>
      </c>
      <c r="G1258" s="1632">
        <v>5000</v>
      </c>
      <c r="H1258" s="1632">
        <v>5000</v>
      </c>
      <c r="I1258" s="1632">
        <v>2000</v>
      </c>
      <c r="J1258" s="1632">
        <v>2000</v>
      </c>
      <c r="K1258" s="589" t="s">
        <v>1999</v>
      </c>
      <c r="L1258" s="540" t="s">
        <v>979</v>
      </c>
      <c r="M1258" s="540">
        <v>100</v>
      </c>
      <c r="N1258" s="540">
        <v>100</v>
      </c>
      <c r="O1258" s="540">
        <v>100</v>
      </c>
      <c r="P1258" s="540">
        <v>100</v>
      </c>
      <c r="Q1258" s="540">
        <v>100</v>
      </c>
    </row>
    <row r="1259" spans="1:17" ht="45" x14ac:dyDescent="0.25">
      <c r="A1259" s="394"/>
      <c r="B1259" s="1976"/>
      <c r="C1259" s="1977"/>
      <c r="D1259" s="1977"/>
      <c r="E1259" s="1669"/>
      <c r="F1259" s="1632"/>
      <c r="G1259" s="1632"/>
      <c r="H1259" s="1632"/>
      <c r="I1259" s="1632"/>
      <c r="J1259" s="1632"/>
      <c r="K1259" s="589" t="s">
        <v>2000</v>
      </c>
      <c r="L1259" s="540" t="s">
        <v>979</v>
      </c>
      <c r="M1259" s="540">
        <v>5</v>
      </c>
      <c r="N1259" s="540">
        <v>5</v>
      </c>
      <c r="O1259" s="540">
        <v>5</v>
      </c>
      <c r="P1259" s="540">
        <v>5</v>
      </c>
      <c r="Q1259" s="540">
        <v>5</v>
      </c>
    </row>
    <row r="1260" spans="1:17" x14ac:dyDescent="0.25">
      <c r="A1260" s="394"/>
      <c r="B1260" s="1976"/>
      <c r="C1260" s="1977"/>
      <c r="D1260" s="1977"/>
      <c r="E1260" s="1669"/>
      <c r="F1260" s="1632"/>
      <c r="G1260" s="1632"/>
      <c r="H1260" s="1632"/>
      <c r="I1260" s="1632"/>
      <c r="J1260" s="1632"/>
      <c r="K1260" s="589" t="s">
        <v>2001</v>
      </c>
      <c r="L1260" s="540" t="s">
        <v>2002</v>
      </c>
      <c r="M1260" s="540">
        <v>33</v>
      </c>
      <c r="N1260" s="540">
        <v>33</v>
      </c>
      <c r="O1260" s="540">
        <v>33</v>
      </c>
      <c r="P1260" s="540">
        <v>33</v>
      </c>
      <c r="Q1260" s="540">
        <v>33</v>
      </c>
    </row>
    <row r="1261" spans="1:17" ht="30" x14ac:dyDescent="0.25">
      <c r="A1261" s="394"/>
      <c r="B1261" s="1976"/>
      <c r="C1261" s="1977"/>
      <c r="D1261" s="1977"/>
      <c r="E1261" s="1669"/>
      <c r="F1261" s="1632"/>
      <c r="G1261" s="1632"/>
      <c r="H1261" s="1632"/>
      <c r="I1261" s="1632"/>
      <c r="J1261" s="1632"/>
      <c r="K1261" s="589" t="s">
        <v>2003</v>
      </c>
      <c r="L1261" s="540" t="s">
        <v>979</v>
      </c>
      <c r="M1261" s="540">
        <v>30</v>
      </c>
      <c r="N1261" s="540">
        <v>30</v>
      </c>
      <c r="O1261" s="540">
        <v>30</v>
      </c>
      <c r="P1261" s="540">
        <v>30</v>
      </c>
      <c r="Q1261" s="540">
        <v>30</v>
      </c>
    </row>
    <row r="1262" spans="1:17" ht="30" x14ac:dyDescent="0.25">
      <c r="A1262" s="394"/>
      <c r="B1262" s="432"/>
      <c r="C1262" s="664" t="s">
        <v>50</v>
      </c>
      <c r="D1262" s="664"/>
      <c r="E1262" s="589" t="s">
        <v>2004</v>
      </c>
      <c r="F1262" s="729"/>
      <c r="G1262" s="729">
        <v>49412.2</v>
      </c>
      <c r="H1262" s="729"/>
      <c r="I1262" s="729">
        <v>49412.2</v>
      </c>
      <c r="J1262" s="729">
        <v>49412.2</v>
      </c>
      <c r="K1262" s="589" t="s">
        <v>2005</v>
      </c>
      <c r="L1262" s="540" t="s">
        <v>1992</v>
      </c>
      <c r="M1262" s="540"/>
      <c r="N1262" s="540" t="s">
        <v>1050</v>
      </c>
      <c r="O1262" s="540" t="s">
        <v>1050</v>
      </c>
      <c r="P1262" s="540" t="s">
        <v>1050</v>
      </c>
      <c r="Q1262" s="540" t="s">
        <v>1050</v>
      </c>
    </row>
    <row r="1263" spans="1:17" ht="74.25" x14ac:dyDescent="0.25">
      <c r="A1263" s="394"/>
      <c r="B1263" s="433">
        <v>3</v>
      </c>
      <c r="C1263" s="664"/>
      <c r="D1263" s="664"/>
      <c r="E1263" s="582" t="s">
        <v>2006</v>
      </c>
      <c r="F1263" s="420">
        <f t="shared" ref="F1263:J1263" si="132">F1264+F1266+F1267+F1270+F1271+F1273+F1274+F1275</f>
        <v>328545.3</v>
      </c>
      <c r="G1263" s="420">
        <f t="shared" si="132"/>
        <v>332568.5</v>
      </c>
      <c r="H1263" s="420">
        <f t="shared" si="132"/>
        <v>287041.49999999994</v>
      </c>
      <c r="I1263" s="420">
        <f t="shared" si="132"/>
        <v>310892.49999999994</v>
      </c>
      <c r="J1263" s="420">
        <f t="shared" si="132"/>
        <v>310892.49999999994</v>
      </c>
      <c r="K1263" s="589" t="s">
        <v>2007</v>
      </c>
      <c r="L1263" s="660" t="s">
        <v>1638</v>
      </c>
      <c r="M1263" s="660">
        <v>768637</v>
      </c>
      <c r="N1263" s="660">
        <v>768637</v>
      </c>
      <c r="O1263" s="660">
        <v>768637</v>
      </c>
      <c r="P1263" s="660">
        <v>768637</v>
      </c>
      <c r="Q1263" s="660">
        <v>768637</v>
      </c>
    </row>
    <row r="1264" spans="1:17" ht="45" x14ac:dyDescent="0.25">
      <c r="A1264" s="394"/>
      <c r="B1264" s="1976"/>
      <c r="C1264" s="1977" t="s">
        <v>2</v>
      </c>
      <c r="D1264" s="1977"/>
      <c r="E1264" s="1669" t="s">
        <v>2008</v>
      </c>
      <c r="F1264" s="1632">
        <v>230899.20000000001</v>
      </c>
      <c r="G1264" s="1632">
        <v>185550</v>
      </c>
      <c r="H1264" s="1632">
        <v>177536.3</v>
      </c>
      <c r="I1264" s="1632">
        <v>187392.4</v>
      </c>
      <c r="J1264" s="1632">
        <v>187392.4</v>
      </c>
      <c r="K1264" s="589" t="s">
        <v>2009</v>
      </c>
      <c r="L1264" s="540" t="s">
        <v>1638</v>
      </c>
      <c r="M1264" s="540">
        <v>2546323</v>
      </c>
      <c r="N1264" s="540">
        <v>2546323</v>
      </c>
      <c r="O1264" s="540">
        <v>2546323</v>
      </c>
      <c r="P1264" s="540">
        <v>2546323</v>
      </c>
      <c r="Q1264" s="540">
        <v>2546323</v>
      </c>
    </row>
    <row r="1265" spans="1:17" ht="45" x14ac:dyDescent="0.25">
      <c r="A1265" s="394"/>
      <c r="B1265" s="1976"/>
      <c r="C1265" s="1977"/>
      <c r="D1265" s="1977"/>
      <c r="E1265" s="1669"/>
      <c r="F1265" s="1632"/>
      <c r="G1265" s="1632"/>
      <c r="H1265" s="1632"/>
      <c r="I1265" s="1632"/>
      <c r="J1265" s="1632"/>
      <c r="K1265" s="589" t="s">
        <v>2010</v>
      </c>
      <c r="L1265" s="540" t="s">
        <v>14</v>
      </c>
      <c r="M1265" s="540">
        <v>100</v>
      </c>
      <c r="N1265" s="540">
        <v>100</v>
      </c>
      <c r="O1265" s="540">
        <v>100</v>
      </c>
      <c r="P1265" s="540">
        <v>100</v>
      </c>
      <c r="Q1265" s="540">
        <v>100</v>
      </c>
    </row>
    <row r="1266" spans="1:17" ht="45" x14ac:dyDescent="0.25">
      <c r="A1266" s="394"/>
      <c r="B1266" s="432"/>
      <c r="C1266" s="664" t="s">
        <v>3</v>
      </c>
      <c r="D1266" s="664"/>
      <c r="E1266" s="589" t="s">
        <v>2011</v>
      </c>
      <c r="F1266" s="729">
        <v>2779.5</v>
      </c>
      <c r="G1266" s="729">
        <v>2806.5</v>
      </c>
      <c r="H1266" s="729">
        <v>2806.5</v>
      </c>
      <c r="I1266" s="729">
        <v>2833.8</v>
      </c>
      <c r="J1266" s="729">
        <v>2833.8</v>
      </c>
      <c r="K1266" s="589" t="s">
        <v>2012</v>
      </c>
      <c r="L1266" s="540" t="s">
        <v>14</v>
      </c>
      <c r="M1266" s="540">
        <v>100</v>
      </c>
      <c r="N1266" s="540">
        <v>100</v>
      </c>
      <c r="O1266" s="540">
        <v>100</v>
      </c>
      <c r="P1266" s="540">
        <v>100</v>
      </c>
      <c r="Q1266" s="540">
        <v>100</v>
      </c>
    </row>
    <row r="1267" spans="1:17" x14ac:dyDescent="0.25">
      <c r="A1267" s="394"/>
      <c r="B1267" s="1976"/>
      <c r="C1267" s="1977" t="s">
        <v>4</v>
      </c>
      <c r="D1267" s="1977"/>
      <c r="E1267" s="1669" t="s">
        <v>2013</v>
      </c>
      <c r="F1267" s="1632">
        <v>90469.9</v>
      </c>
      <c r="G1267" s="1632">
        <v>70289.2</v>
      </c>
      <c r="H1267" s="1632">
        <f>53820.2+23456.7</f>
        <v>77276.899999999994</v>
      </c>
      <c r="I1267" s="1632">
        <v>30183.8</v>
      </c>
      <c r="J1267" s="1632">
        <v>30183.8</v>
      </c>
      <c r="K1267" s="589" t="s">
        <v>2014</v>
      </c>
      <c r="L1267" s="540" t="s">
        <v>14</v>
      </c>
      <c r="M1267" s="540">
        <v>60</v>
      </c>
      <c r="N1267" s="540">
        <v>61</v>
      </c>
      <c r="O1267" s="540">
        <v>62</v>
      </c>
      <c r="P1267" s="540">
        <v>62</v>
      </c>
      <c r="Q1267" s="540">
        <v>62</v>
      </c>
    </row>
    <row r="1268" spans="1:17" ht="30" x14ac:dyDescent="0.25">
      <c r="A1268" s="394"/>
      <c r="B1268" s="1976"/>
      <c r="C1268" s="1977"/>
      <c r="D1268" s="1977"/>
      <c r="E1268" s="1669"/>
      <c r="F1268" s="1632"/>
      <c r="G1268" s="1632"/>
      <c r="H1268" s="1632"/>
      <c r="I1268" s="1632"/>
      <c r="J1268" s="1632"/>
      <c r="K1268" s="589" t="s">
        <v>2015</v>
      </c>
      <c r="L1268" s="540" t="s">
        <v>1638</v>
      </c>
      <c r="M1268" s="540">
        <v>1110</v>
      </c>
      <c r="N1268" s="540">
        <v>1120</v>
      </c>
      <c r="O1268" s="540">
        <v>1130</v>
      </c>
      <c r="P1268" s="540">
        <v>1130</v>
      </c>
      <c r="Q1268" s="540">
        <v>1130</v>
      </c>
    </row>
    <row r="1269" spans="1:17" ht="30" x14ac:dyDescent="0.25">
      <c r="A1269" s="394"/>
      <c r="B1269" s="1976"/>
      <c r="C1269" s="1977"/>
      <c r="D1269" s="1977"/>
      <c r="E1269" s="1669"/>
      <c r="F1269" s="1632"/>
      <c r="G1269" s="1632"/>
      <c r="H1269" s="1632"/>
      <c r="I1269" s="1632"/>
      <c r="J1269" s="1632"/>
      <c r="K1269" s="589" t="s">
        <v>2016</v>
      </c>
      <c r="L1269" s="540" t="s">
        <v>1575</v>
      </c>
      <c r="M1269" s="540">
        <v>15</v>
      </c>
      <c r="N1269" s="540">
        <v>13</v>
      </c>
      <c r="O1269" s="540">
        <v>13</v>
      </c>
      <c r="P1269" s="540">
        <v>13</v>
      </c>
      <c r="Q1269" s="540">
        <v>13</v>
      </c>
    </row>
    <row r="1270" spans="1:17" ht="30" x14ac:dyDescent="0.25">
      <c r="A1270" s="394"/>
      <c r="B1270" s="432"/>
      <c r="C1270" s="664" t="s">
        <v>5</v>
      </c>
      <c r="D1270" s="664"/>
      <c r="E1270" s="589" t="s">
        <v>2017</v>
      </c>
      <c r="F1270" s="729">
        <v>2965.7</v>
      </c>
      <c r="G1270" s="729">
        <v>3097.5</v>
      </c>
      <c r="H1270" s="729">
        <v>3097.5</v>
      </c>
      <c r="I1270" s="729">
        <v>3281.3</v>
      </c>
      <c r="J1270" s="729">
        <v>3281.3</v>
      </c>
      <c r="K1270" s="589" t="s">
        <v>2018</v>
      </c>
      <c r="L1270" s="540" t="s">
        <v>1638</v>
      </c>
      <c r="M1270" s="540">
        <v>754</v>
      </c>
      <c r="N1270" s="540">
        <v>754</v>
      </c>
      <c r="O1270" s="540">
        <v>754</v>
      </c>
      <c r="P1270" s="540">
        <v>760</v>
      </c>
      <c r="Q1270" s="540">
        <v>760</v>
      </c>
    </row>
    <row r="1271" spans="1:17" ht="45" x14ac:dyDescent="0.25">
      <c r="A1271" s="394"/>
      <c r="B1271" s="1976"/>
      <c r="C1271" s="1977" t="s">
        <v>49</v>
      </c>
      <c r="D1271" s="1977"/>
      <c r="E1271" s="1669" t="s">
        <v>2019</v>
      </c>
      <c r="F1271" s="1632">
        <v>1431</v>
      </c>
      <c r="G1271" s="1632">
        <v>1667.9</v>
      </c>
      <c r="H1271" s="1632">
        <v>1667.9</v>
      </c>
      <c r="I1271" s="1632">
        <v>1730.1</v>
      </c>
      <c r="J1271" s="1632">
        <v>1730.1</v>
      </c>
      <c r="K1271" s="589" t="s">
        <v>2020</v>
      </c>
      <c r="L1271" s="540" t="s">
        <v>1414</v>
      </c>
      <c r="M1271" s="20">
        <v>2.5</v>
      </c>
      <c r="N1271" s="20">
        <v>5</v>
      </c>
      <c r="O1271" s="20">
        <v>10</v>
      </c>
      <c r="P1271" s="20">
        <v>15</v>
      </c>
      <c r="Q1271" s="20">
        <v>15</v>
      </c>
    </row>
    <row r="1272" spans="1:17" x14ac:dyDescent="0.25">
      <c r="A1272" s="394"/>
      <c r="B1272" s="1976"/>
      <c r="C1272" s="1977"/>
      <c r="D1272" s="1977"/>
      <c r="E1272" s="1669"/>
      <c r="F1272" s="1632"/>
      <c r="G1272" s="1632"/>
      <c r="H1272" s="1632"/>
      <c r="I1272" s="1632"/>
      <c r="J1272" s="1632"/>
      <c r="K1272" s="589" t="s">
        <v>2021</v>
      </c>
      <c r="L1272" s="540" t="s">
        <v>1414</v>
      </c>
      <c r="M1272" s="540">
        <v>1010</v>
      </c>
      <c r="N1272" s="540">
        <v>1020</v>
      </c>
      <c r="O1272" s="540">
        <v>1030</v>
      </c>
      <c r="P1272" s="540">
        <v>1040</v>
      </c>
      <c r="Q1272" s="540">
        <v>1040</v>
      </c>
    </row>
    <row r="1273" spans="1:17" ht="60" x14ac:dyDescent="0.25">
      <c r="A1273" s="394"/>
      <c r="B1273" s="432"/>
      <c r="C1273" s="664" t="s">
        <v>50</v>
      </c>
      <c r="D1273" s="664"/>
      <c r="E1273" s="589" t="s">
        <v>2022</v>
      </c>
      <c r="F1273" s="729"/>
      <c r="G1273" s="729">
        <v>2867.3</v>
      </c>
      <c r="H1273" s="729">
        <v>2867.3</v>
      </c>
      <c r="I1273" s="729">
        <v>2974.3</v>
      </c>
      <c r="J1273" s="729">
        <v>2974.3</v>
      </c>
      <c r="K1273" s="589" t="s">
        <v>2023</v>
      </c>
      <c r="L1273" s="540" t="s">
        <v>14</v>
      </c>
      <c r="M1273" s="540">
        <v>0.7</v>
      </c>
      <c r="N1273" s="540">
        <v>0.7</v>
      </c>
      <c r="O1273" s="540">
        <v>0.7</v>
      </c>
      <c r="P1273" s="540">
        <v>0.7</v>
      </c>
      <c r="Q1273" s="540">
        <v>0.7</v>
      </c>
    </row>
    <row r="1274" spans="1:17" ht="60" x14ac:dyDescent="0.25">
      <c r="A1274" s="394"/>
      <c r="B1274" s="432"/>
      <c r="C1274" s="664" t="s">
        <v>51</v>
      </c>
      <c r="D1274" s="664"/>
      <c r="E1274" s="589" t="s">
        <v>2024</v>
      </c>
      <c r="F1274" s="729"/>
      <c r="G1274" s="729">
        <v>21789.1</v>
      </c>
      <c r="H1274" s="729">
        <v>21789.1</v>
      </c>
      <c r="I1274" s="729">
        <v>37496.800000000003</v>
      </c>
      <c r="J1274" s="729">
        <v>37496.800000000003</v>
      </c>
      <c r="K1274" s="589" t="s">
        <v>2025</v>
      </c>
      <c r="L1274" s="540" t="s">
        <v>14</v>
      </c>
      <c r="M1274" s="540">
        <v>29.6</v>
      </c>
      <c r="N1274" s="540">
        <v>29.6</v>
      </c>
      <c r="O1274" s="540">
        <v>29.6</v>
      </c>
      <c r="P1274" s="540">
        <v>29.6</v>
      </c>
      <c r="Q1274" s="540">
        <v>29.6</v>
      </c>
    </row>
    <row r="1275" spans="1:17" ht="30" x14ac:dyDescent="0.25">
      <c r="A1275" s="394"/>
      <c r="B1275" s="432"/>
      <c r="C1275" s="664" t="s">
        <v>53</v>
      </c>
      <c r="D1275" s="664"/>
      <c r="E1275" s="589" t="s">
        <v>2026</v>
      </c>
      <c r="F1275" s="729"/>
      <c r="G1275" s="729">
        <v>44501</v>
      </c>
      <c r="H1275" s="729"/>
      <c r="I1275" s="729">
        <v>45000</v>
      </c>
      <c r="J1275" s="729">
        <v>45000</v>
      </c>
      <c r="K1275" s="589" t="s">
        <v>2027</v>
      </c>
      <c r="L1275" s="540" t="s">
        <v>968</v>
      </c>
      <c r="M1275" s="540"/>
      <c r="N1275" s="540" t="s">
        <v>1971</v>
      </c>
      <c r="O1275" s="540" t="s">
        <v>1971</v>
      </c>
      <c r="P1275" s="540" t="s">
        <v>1971</v>
      </c>
      <c r="Q1275" s="540" t="s">
        <v>1971</v>
      </c>
    </row>
    <row r="1276" spans="1:17" ht="171" x14ac:dyDescent="0.25">
      <c r="A1276" s="394"/>
      <c r="B1276" s="433">
        <v>4</v>
      </c>
      <c r="C1276" s="664"/>
      <c r="D1276" s="664"/>
      <c r="E1276" s="582" t="s">
        <v>2028</v>
      </c>
      <c r="F1276" s="420">
        <f t="shared" ref="F1276:J1276" si="133">F1277+F1278+F1279+F1283+F1287+F1291</f>
        <v>42500</v>
      </c>
      <c r="G1276" s="420">
        <f t="shared" si="133"/>
        <v>49000</v>
      </c>
      <c r="H1276" s="420">
        <f t="shared" si="133"/>
        <v>41988.4</v>
      </c>
      <c r="I1276" s="420">
        <f t="shared" si="133"/>
        <v>49000</v>
      </c>
      <c r="J1276" s="420">
        <f t="shared" si="133"/>
        <v>49000</v>
      </c>
      <c r="K1276" s="582" t="s">
        <v>2029</v>
      </c>
      <c r="L1276" s="660" t="s">
        <v>1489</v>
      </c>
      <c r="M1276" s="894">
        <v>7003.86</v>
      </c>
      <c r="N1276" s="894">
        <v>3665.49</v>
      </c>
      <c r="O1276" s="894">
        <v>4641.8999999999996</v>
      </c>
      <c r="P1276" s="894">
        <v>4641.8999999999996</v>
      </c>
      <c r="Q1276" s="894">
        <v>4641.8999999999996</v>
      </c>
    </row>
    <row r="1277" spans="1:17" ht="60" x14ac:dyDescent="0.25">
      <c r="A1277" s="394"/>
      <c r="B1277" s="432"/>
      <c r="C1277" s="664" t="s">
        <v>2</v>
      </c>
      <c r="D1277" s="664"/>
      <c r="E1277" s="589" t="s">
        <v>2030</v>
      </c>
      <c r="F1277" s="729"/>
      <c r="G1277" s="729">
        <v>6980</v>
      </c>
      <c r="H1277" s="729">
        <f>3322+3658</f>
        <v>6980</v>
      </c>
      <c r="I1277" s="729">
        <v>6980</v>
      </c>
      <c r="J1277" s="729">
        <v>6980</v>
      </c>
      <c r="K1277" s="589" t="s">
        <v>2031</v>
      </c>
      <c r="L1277" s="660" t="s">
        <v>14</v>
      </c>
      <c r="M1277" s="894"/>
      <c r="N1277" s="894"/>
      <c r="O1277" s="894"/>
      <c r="P1277" s="894"/>
      <c r="Q1277" s="894"/>
    </row>
    <row r="1278" spans="1:17" ht="30" x14ac:dyDescent="0.25">
      <c r="A1278" s="394"/>
      <c r="B1278" s="432"/>
      <c r="C1278" s="664" t="s">
        <v>3</v>
      </c>
      <c r="D1278" s="664"/>
      <c r="E1278" s="589" t="s">
        <v>2032</v>
      </c>
      <c r="F1278" s="729">
        <v>19000</v>
      </c>
      <c r="G1278" s="729">
        <v>10987</v>
      </c>
      <c r="H1278" s="729">
        <v>10987</v>
      </c>
      <c r="I1278" s="729">
        <v>10987</v>
      </c>
      <c r="J1278" s="729">
        <v>10987</v>
      </c>
      <c r="K1278" s="589" t="s">
        <v>2033</v>
      </c>
      <c r="L1278" s="540" t="s">
        <v>1489</v>
      </c>
      <c r="M1278" s="894"/>
      <c r="N1278" s="540">
        <v>558.29999999999995</v>
      </c>
      <c r="O1278" s="540">
        <v>1116.5999999999999</v>
      </c>
      <c r="P1278" s="540">
        <v>1116.5999999999999</v>
      </c>
      <c r="Q1278" s="540">
        <v>1116.5999999999999</v>
      </c>
    </row>
    <row r="1279" spans="1:17" ht="30" x14ac:dyDescent="0.25">
      <c r="A1279" s="394"/>
      <c r="B1279" s="1976"/>
      <c r="C1279" s="1977" t="s">
        <v>4</v>
      </c>
      <c r="D1279" s="1977"/>
      <c r="E1279" s="1669" t="s">
        <v>2034</v>
      </c>
      <c r="F1279" s="1632">
        <v>12875</v>
      </c>
      <c r="G1279" s="1632">
        <v>13325</v>
      </c>
      <c r="H1279" s="1632">
        <f>6038.3+5617.5</f>
        <v>11655.8</v>
      </c>
      <c r="I1279" s="1632">
        <v>13325</v>
      </c>
      <c r="J1279" s="1632">
        <v>13325</v>
      </c>
      <c r="K1279" s="589" t="s">
        <v>2035</v>
      </c>
      <c r="L1279" s="540" t="s">
        <v>1489</v>
      </c>
      <c r="M1279" s="540">
        <v>333.6</v>
      </c>
      <c r="N1279" s="540">
        <v>308.29000000000002</v>
      </c>
      <c r="O1279" s="540">
        <v>303.3</v>
      </c>
      <c r="P1279" s="540">
        <v>293.8</v>
      </c>
      <c r="Q1279" s="540">
        <v>293.8</v>
      </c>
    </row>
    <row r="1280" spans="1:17" x14ac:dyDescent="0.25">
      <c r="A1280" s="394"/>
      <c r="B1280" s="1976"/>
      <c r="C1280" s="1977"/>
      <c r="D1280" s="1977"/>
      <c r="E1280" s="1669"/>
      <c r="F1280" s="1632"/>
      <c r="G1280" s="1632"/>
      <c r="H1280" s="1632"/>
      <c r="I1280" s="1632"/>
      <c r="J1280" s="1632"/>
      <c r="K1280" s="589" t="s">
        <v>2036</v>
      </c>
      <c r="L1280" s="540" t="s">
        <v>1489</v>
      </c>
      <c r="M1280" s="540">
        <v>333.6</v>
      </c>
      <c r="N1280" s="540">
        <v>308.29000000000002</v>
      </c>
      <c r="O1280" s="540">
        <v>303.3</v>
      </c>
      <c r="P1280" s="540">
        <v>293.8</v>
      </c>
      <c r="Q1280" s="540">
        <v>293.8</v>
      </c>
    </row>
    <row r="1281" spans="1:17" ht="30" x14ac:dyDescent="0.25">
      <c r="A1281" s="394"/>
      <c r="B1281" s="1976"/>
      <c r="C1281" s="1977"/>
      <c r="D1281" s="1977"/>
      <c r="E1281" s="1669"/>
      <c r="F1281" s="1632"/>
      <c r="G1281" s="1632"/>
      <c r="H1281" s="1632"/>
      <c r="I1281" s="1632"/>
      <c r="J1281" s="1632"/>
      <c r="K1281" s="589" t="s">
        <v>2037</v>
      </c>
      <c r="L1281" s="540" t="s">
        <v>1489</v>
      </c>
      <c r="M1281" s="540">
        <v>1835</v>
      </c>
      <c r="N1281" s="540">
        <v>1769</v>
      </c>
      <c r="O1281" s="540">
        <v>1689</v>
      </c>
      <c r="P1281" s="540">
        <v>1451</v>
      </c>
      <c r="Q1281" s="540">
        <v>1451</v>
      </c>
    </row>
    <row r="1282" spans="1:17" x14ac:dyDescent="0.25">
      <c r="A1282" s="394"/>
      <c r="B1282" s="1976"/>
      <c r="C1282" s="1977"/>
      <c r="D1282" s="1977"/>
      <c r="E1282" s="1669"/>
      <c r="F1282" s="1632"/>
      <c r="G1282" s="1632"/>
      <c r="H1282" s="1632"/>
      <c r="I1282" s="1632"/>
      <c r="J1282" s="1632"/>
      <c r="K1282" s="589" t="s">
        <v>2038</v>
      </c>
      <c r="L1282" s="540" t="s">
        <v>1489</v>
      </c>
      <c r="M1282" s="540">
        <v>11</v>
      </c>
      <c r="N1282" s="540">
        <v>12</v>
      </c>
      <c r="O1282" s="540">
        <v>14</v>
      </c>
      <c r="P1282" s="540">
        <v>7</v>
      </c>
      <c r="Q1282" s="540">
        <v>7</v>
      </c>
    </row>
    <row r="1283" spans="1:17" ht="30" x14ac:dyDescent="0.25">
      <c r="A1283" s="394"/>
      <c r="B1283" s="1976"/>
      <c r="C1283" s="1977" t="s">
        <v>5</v>
      </c>
      <c r="D1283" s="1977"/>
      <c r="E1283" s="1669" t="s">
        <v>2039</v>
      </c>
      <c r="F1283" s="1632">
        <v>10625</v>
      </c>
      <c r="G1283" s="1632">
        <v>10093</v>
      </c>
      <c r="H1283" s="1632">
        <f>4028.6+5722</f>
        <v>9750.6</v>
      </c>
      <c r="I1283" s="1632">
        <v>10093</v>
      </c>
      <c r="J1283" s="1632">
        <v>10093</v>
      </c>
      <c r="K1283" s="589" t="s">
        <v>2040</v>
      </c>
      <c r="L1283" s="540" t="s">
        <v>1489</v>
      </c>
      <c r="M1283" s="540">
        <v>4491.6000000000004</v>
      </c>
      <c r="N1283" s="540">
        <v>1274.5</v>
      </c>
      <c r="O1283" s="540">
        <v>1341.7</v>
      </c>
      <c r="P1283" s="540">
        <v>1000</v>
      </c>
      <c r="Q1283" s="540">
        <v>1000</v>
      </c>
    </row>
    <row r="1284" spans="1:17" ht="30" x14ac:dyDescent="0.25">
      <c r="A1284" s="394"/>
      <c r="B1284" s="1976"/>
      <c r="C1284" s="1977"/>
      <c r="D1284" s="1977"/>
      <c r="E1284" s="1669"/>
      <c r="F1284" s="1632"/>
      <c r="G1284" s="1632"/>
      <c r="H1284" s="1632"/>
      <c r="I1284" s="1632"/>
      <c r="J1284" s="1632"/>
      <c r="K1284" s="589" t="s">
        <v>2041</v>
      </c>
      <c r="L1284" s="540" t="s">
        <v>979</v>
      </c>
      <c r="M1284" s="540">
        <v>800</v>
      </c>
      <c r="N1284" s="540">
        <v>350</v>
      </c>
      <c r="O1284" s="540">
        <v>365</v>
      </c>
      <c r="P1284" s="540">
        <v>317</v>
      </c>
      <c r="Q1284" s="540">
        <v>317</v>
      </c>
    </row>
    <row r="1285" spans="1:17" ht="30" x14ac:dyDescent="0.25">
      <c r="A1285" s="394"/>
      <c r="B1285" s="1976"/>
      <c r="C1285" s="1977"/>
      <c r="D1285" s="1977"/>
      <c r="E1285" s="1669"/>
      <c r="F1285" s="1632"/>
      <c r="G1285" s="1632"/>
      <c r="H1285" s="1632"/>
      <c r="I1285" s="1632"/>
      <c r="J1285" s="1632"/>
      <c r="K1285" s="589" t="s">
        <v>2042</v>
      </c>
      <c r="L1285" s="540" t="s">
        <v>2043</v>
      </c>
      <c r="M1285" s="540">
        <v>4300</v>
      </c>
      <c r="N1285" s="540">
        <v>1800</v>
      </c>
      <c r="O1285" s="540">
        <v>2100</v>
      </c>
      <c r="P1285" s="540">
        <v>1650</v>
      </c>
      <c r="Q1285" s="540">
        <v>1650</v>
      </c>
    </row>
    <row r="1286" spans="1:17" ht="30" x14ac:dyDescent="0.25">
      <c r="A1286" s="394"/>
      <c r="B1286" s="1976"/>
      <c r="C1286" s="1977"/>
      <c r="D1286" s="1977"/>
      <c r="E1286" s="1669"/>
      <c r="F1286" s="1632"/>
      <c r="G1286" s="1632"/>
      <c r="H1286" s="1632"/>
      <c r="I1286" s="1632"/>
      <c r="J1286" s="1632"/>
      <c r="K1286" s="589" t="s">
        <v>2044</v>
      </c>
      <c r="L1286" s="540" t="s">
        <v>979</v>
      </c>
      <c r="M1286" s="540">
        <v>2</v>
      </c>
      <c r="N1286" s="540">
        <v>2</v>
      </c>
      <c r="O1286" s="540">
        <v>1</v>
      </c>
      <c r="P1286" s="540">
        <v>1</v>
      </c>
      <c r="Q1286" s="540">
        <v>1</v>
      </c>
    </row>
    <row r="1287" spans="1:17" x14ac:dyDescent="0.25">
      <c r="A1287" s="394"/>
      <c r="B1287" s="1976"/>
      <c r="C1287" s="1977" t="s">
        <v>49</v>
      </c>
      <c r="D1287" s="1977"/>
      <c r="E1287" s="1669" t="s">
        <v>2045</v>
      </c>
      <c r="F1287" s="1632"/>
      <c r="G1287" s="1632">
        <v>2615</v>
      </c>
      <c r="H1287" s="1632">
        <v>2615</v>
      </c>
      <c r="I1287" s="1632">
        <v>2615</v>
      </c>
      <c r="J1287" s="1632">
        <v>2615</v>
      </c>
      <c r="K1287" s="589" t="s">
        <v>2046</v>
      </c>
      <c r="L1287" s="540" t="s">
        <v>1489</v>
      </c>
      <c r="M1287" s="540">
        <v>4825.2</v>
      </c>
      <c r="N1287" s="540">
        <v>2141.1</v>
      </c>
      <c r="O1287" s="540">
        <v>2761.6</v>
      </c>
      <c r="P1287" s="540">
        <v>1293.8</v>
      </c>
      <c r="Q1287" s="540">
        <v>1293.8</v>
      </c>
    </row>
    <row r="1288" spans="1:17" ht="30" x14ac:dyDescent="0.25">
      <c r="A1288" s="394"/>
      <c r="B1288" s="1976"/>
      <c r="C1288" s="1977"/>
      <c r="D1288" s="1977"/>
      <c r="E1288" s="1669"/>
      <c r="F1288" s="1632"/>
      <c r="G1288" s="1632"/>
      <c r="H1288" s="1632"/>
      <c r="I1288" s="1632"/>
      <c r="J1288" s="1632"/>
      <c r="K1288" s="589" t="s">
        <v>2047</v>
      </c>
      <c r="L1288" s="540" t="s">
        <v>979</v>
      </c>
      <c r="M1288" s="540">
        <v>33773</v>
      </c>
      <c r="N1288" s="540">
        <v>34345</v>
      </c>
      <c r="O1288" s="540">
        <v>34556</v>
      </c>
      <c r="P1288" s="540">
        <v>17859</v>
      </c>
      <c r="Q1288" s="540">
        <v>17859</v>
      </c>
    </row>
    <row r="1289" spans="1:17" x14ac:dyDescent="0.25">
      <c r="A1289" s="394"/>
      <c r="B1289" s="1976"/>
      <c r="C1289" s="1977"/>
      <c r="D1289" s="1977"/>
      <c r="E1289" s="1669"/>
      <c r="F1289" s="1632"/>
      <c r="G1289" s="1632"/>
      <c r="H1289" s="1632"/>
      <c r="I1289" s="1632"/>
      <c r="J1289" s="1632"/>
      <c r="K1289" s="589" t="s">
        <v>2048</v>
      </c>
      <c r="L1289" s="540" t="s">
        <v>979</v>
      </c>
      <c r="M1289" s="540">
        <v>138</v>
      </c>
      <c r="N1289" s="540">
        <v>154</v>
      </c>
      <c r="O1289" s="540">
        <v>182</v>
      </c>
      <c r="P1289" s="540">
        <v>91</v>
      </c>
      <c r="Q1289" s="540">
        <v>91</v>
      </c>
    </row>
    <row r="1290" spans="1:17" x14ac:dyDescent="0.25">
      <c r="A1290" s="394"/>
      <c r="B1290" s="1976"/>
      <c r="C1290" s="1977"/>
      <c r="D1290" s="1977"/>
      <c r="E1290" s="1669"/>
      <c r="F1290" s="1632"/>
      <c r="G1290" s="1632"/>
      <c r="H1290" s="1632"/>
      <c r="I1290" s="1632"/>
      <c r="J1290" s="1632"/>
      <c r="K1290" s="589" t="s">
        <v>2049</v>
      </c>
      <c r="L1290" s="540" t="s">
        <v>979</v>
      </c>
      <c r="M1290" s="540">
        <v>236</v>
      </c>
      <c r="N1290" s="540">
        <v>264</v>
      </c>
      <c r="O1290" s="540">
        <v>282</v>
      </c>
      <c r="P1290" s="540">
        <v>148</v>
      </c>
      <c r="Q1290" s="540">
        <v>148</v>
      </c>
    </row>
    <row r="1291" spans="1:17" ht="30" x14ac:dyDescent="0.25">
      <c r="A1291" s="394"/>
      <c r="B1291" s="432"/>
      <c r="C1291" s="664" t="s">
        <v>50</v>
      </c>
      <c r="D1291" s="664"/>
      <c r="E1291" s="589" t="s">
        <v>2050</v>
      </c>
      <c r="F1291" s="729"/>
      <c r="G1291" s="729">
        <v>5000</v>
      </c>
      <c r="H1291" s="729"/>
      <c r="I1291" s="729">
        <v>5000</v>
      </c>
      <c r="J1291" s="729">
        <v>5000</v>
      </c>
      <c r="K1291" s="589" t="s">
        <v>1970</v>
      </c>
      <c r="L1291" s="540" t="s">
        <v>968</v>
      </c>
      <c r="M1291" s="540"/>
      <c r="N1291" s="540" t="s">
        <v>1050</v>
      </c>
      <c r="O1291" s="540" t="s">
        <v>1050</v>
      </c>
      <c r="P1291" s="540" t="s">
        <v>1050</v>
      </c>
      <c r="Q1291" s="540" t="s">
        <v>1050</v>
      </c>
    </row>
    <row r="1292" spans="1:17" ht="57" x14ac:dyDescent="0.25">
      <c r="A1292" s="394"/>
      <c r="B1292" s="1979">
        <v>5</v>
      </c>
      <c r="C1292" s="1977"/>
      <c r="D1292" s="1977"/>
      <c r="E1292" s="1800" t="s">
        <v>2051</v>
      </c>
      <c r="F1292" s="1980">
        <f t="shared" ref="F1292:I1292" si="134">F1295+F1302+F1307+F1308+F1312+F1316+F1323</f>
        <v>200830.8</v>
      </c>
      <c r="G1292" s="1980">
        <f t="shared" si="134"/>
        <v>228791.30000000002</v>
      </c>
      <c r="H1292" s="1980">
        <f t="shared" si="134"/>
        <v>184265</v>
      </c>
      <c r="I1292" s="1980">
        <f t="shared" si="134"/>
        <v>217028.30000000002</v>
      </c>
      <c r="J1292" s="1980">
        <f>J1295+J1302+J1307+J1308+J1312+J1316+J1323</f>
        <v>217092.90000000002</v>
      </c>
      <c r="K1292" s="582" t="s">
        <v>2052</v>
      </c>
      <c r="L1292" s="660" t="s">
        <v>1073</v>
      </c>
      <c r="M1292" s="660">
        <v>58</v>
      </c>
      <c r="N1292" s="660">
        <v>58</v>
      </c>
      <c r="O1292" s="660">
        <v>58</v>
      </c>
      <c r="P1292" s="660">
        <v>58</v>
      </c>
      <c r="Q1292" s="660">
        <v>58</v>
      </c>
    </row>
    <row r="1293" spans="1:17" ht="28.5" x14ac:dyDescent="0.25">
      <c r="A1293" s="394"/>
      <c r="B1293" s="1979"/>
      <c r="C1293" s="1977"/>
      <c r="D1293" s="1977"/>
      <c r="E1293" s="1800"/>
      <c r="F1293" s="1980"/>
      <c r="G1293" s="1980"/>
      <c r="H1293" s="1980"/>
      <c r="I1293" s="1980"/>
      <c r="J1293" s="1980"/>
      <c r="K1293" s="582" t="s">
        <v>2053</v>
      </c>
      <c r="L1293" s="660" t="s">
        <v>1073</v>
      </c>
      <c r="M1293" s="660">
        <v>57</v>
      </c>
      <c r="N1293" s="660">
        <v>57</v>
      </c>
      <c r="O1293" s="660">
        <v>57</v>
      </c>
      <c r="P1293" s="660">
        <v>57</v>
      </c>
      <c r="Q1293" s="660">
        <v>57</v>
      </c>
    </row>
    <row r="1294" spans="1:17" ht="42.75" x14ac:dyDescent="0.25">
      <c r="A1294" s="394"/>
      <c r="B1294" s="1979"/>
      <c r="C1294" s="1977"/>
      <c r="D1294" s="1977"/>
      <c r="E1294" s="1800"/>
      <c r="F1294" s="1980"/>
      <c r="G1294" s="1980"/>
      <c r="H1294" s="1980"/>
      <c r="I1294" s="1980"/>
      <c r="J1294" s="1980"/>
      <c r="K1294" s="582" t="s">
        <v>2054</v>
      </c>
      <c r="L1294" s="660" t="s">
        <v>1073</v>
      </c>
      <c r="M1294" s="660">
        <v>85</v>
      </c>
      <c r="N1294" s="660">
        <v>85</v>
      </c>
      <c r="O1294" s="660">
        <v>85</v>
      </c>
      <c r="P1294" s="660">
        <v>85</v>
      </c>
      <c r="Q1294" s="660">
        <v>85</v>
      </c>
    </row>
    <row r="1295" spans="1:17" ht="60" x14ac:dyDescent="0.25">
      <c r="A1295" s="394"/>
      <c r="B1295" s="1976"/>
      <c r="C1295" s="1977" t="s">
        <v>2</v>
      </c>
      <c r="D1295" s="1977"/>
      <c r="E1295" s="1669" t="s">
        <v>2055</v>
      </c>
      <c r="F1295" s="1632">
        <v>93703</v>
      </c>
      <c r="G1295" s="1632">
        <v>96007.3</v>
      </c>
      <c r="H1295" s="1632">
        <v>96305.7</v>
      </c>
      <c r="I1295" s="1632">
        <v>96007.3</v>
      </c>
      <c r="J1295" s="1632">
        <v>96007.3</v>
      </c>
      <c r="K1295" s="589" t="s">
        <v>2056</v>
      </c>
      <c r="L1295" s="660" t="s">
        <v>14</v>
      </c>
      <c r="M1295" s="894"/>
      <c r="N1295" s="894"/>
      <c r="O1295" s="894"/>
      <c r="P1295" s="894"/>
      <c r="Q1295" s="894"/>
    </row>
    <row r="1296" spans="1:17" ht="30" x14ac:dyDescent="0.25">
      <c r="A1296" s="394"/>
      <c r="B1296" s="1976"/>
      <c r="C1296" s="1977"/>
      <c r="D1296" s="1977"/>
      <c r="E1296" s="1669"/>
      <c r="F1296" s="1632"/>
      <c r="G1296" s="1632"/>
      <c r="H1296" s="1632"/>
      <c r="I1296" s="1632"/>
      <c r="J1296" s="1632"/>
      <c r="K1296" s="589" t="s">
        <v>2057</v>
      </c>
      <c r="L1296" s="540" t="s">
        <v>968</v>
      </c>
      <c r="M1296" s="540">
        <v>7</v>
      </c>
      <c r="N1296" s="540">
        <v>20</v>
      </c>
      <c r="O1296" s="540">
        <v>22</v>
      </c>
      <c r="P1296" s="540">
        <v>22</v>
      </c>
      <c r="Q1296" s="540">
        <v>22</v>
      </c>
    </row>
    <row r="1297" spans="1:17" ht="45" x14ac:dyDescent="0.25">
      <c r="A1297" s="394"/>
      <c r="B1297" s="1976"/>
      <c r="C1297" s="1977"/>
      <c r="D1297" s="1977"/>
      <c r="E1297" s="1669"/>
      <c r="F1297" s="1632"/>
      <c r="G1297" s="1632"/>
      <c r="H1297" s="1632"/>
      <c r="I1297" s="1632"/>
      <c r="J1297" s="1632"/>
      <c r="K1297" s="589" t="s">
        <v>2058</v>
      </c>
      <c r="L1297" s="540" t="s">
        <v>2059</v>
      </c>
      <c r="M1297" s="540">
        <v>7.38</v>
      </c>
      <c r="N1297" s="540">
        <v>7.6</v>
      </c>
      <c r="O1297" s="540">
        <v>8</v>
      </c>
      <c r="P1297" s="540">
        <v>10</v>
      </c>
      <c r="Q1297" s="540">
        <v>10</v>
      </c>
    </row>
    <row r="1298" spans="1:17" ht="30" x14ac:dyDescent="0.25">
      <c r="A1298" s="394"/>
      <c r="B1298" s="1976"/>
      <c r="C1298" s="1977"/>
      <c r="D1298" s="1977"/>
      <c r="E1298" s="1669"/>
      <c r="F1298" s="1632"/>
      <c r="G1298" s="1632"/>
      <c r="H1298" s="1632"/>
      <c r="I1298" s="1632"/>
      <c r="J1298" s="1632"/>
      <c r="K1298" s="589" t="s">
        <v>2060</v>
      </c>
      <c r="L1298" s="540" t="s">
        <v>1489</v>
      </c>
      <c r="M1298" s="540">
        <v>1476121.6000000001</v>
      </c>
      <c r="N1298" s="540">
        <v>1516121.6</v>
      </c>
      <c r="O1298" s="540">
        <v>1616121.6</v>
      </c>
      <c r="P1298" s="540"/>
      <c r="Q1298" s="540"/>
    </row>
    <row r="1299" spans="1:17" ht="30" x14ac:dyDescent="0.25">
      <c r="A1299" s="394"/>
      <c r="B1299" s="1976"/>
      <c r="C1299" s="1977"/>
      <c r="D1299" s="1977"/>
      <c r="E1299" s="1669"/>
      <c r="F1299" s="1632"/>
      <c r="G1299" s="1632"/>
      <c r="H1299" s="1632"/>
      <c r="I1299" s="1632"/>
      <c r="J1299" s="1632"/>
      <c r="K1299" s="589" t="s">
        <v>2061</v>
      </c>
      <c r="L1299" s="540" t="s">
        <v>968</v>
      </c>
      <c r="M1299" s="540">
        <v>0</v>
      </c>
      <c r="N1299" s="540">
        <v>1</v>
      </c>
      <c r="O1299" s="540">
        <v>5</v>
      </c>
      <c r="P1299" s="540">
        <v>6</v>
      </c>
      <c r="Q1299" s="540">
        <v>6</v>
      </c>
    </row>
    <row r="1300" spans="1:17" ht="30" x14ac:dyDescent="0.25">
      <c r="A1300" s="394"/>
      <c r="B1300" s="1976"/>
      <c r="C1300" s="1977"/>
      <c r="D1300" s="1977"/>
      <c r="E1300" s="1669"/>
      <c r="F1300" s="1632"/>
      <c r="G1300" s="1632"/>
      <c r="H1300" s="1632"/>
      <c r="I1300" s="1632"/>
      <c r="J1300" s="1632"/>
      <c r="K1300" s="589" t="s">
        <v>2062</v>
      </c>
      <c r="L1300" s="540" t="s">
        <v>968</v>
      </c>
      <c r="M1300" s="540">
        <v>0</v>
      </c>
      <c r="N1300" s="540">
        <v>1</v>
      </c>
      <c r="O1300" s="540">
        <v>2</v>
      </c>
      <c r="P1300" s="540">
        <v>3</v>
      </c>
      <c r="Q1300" s="540">
        <v>3</v>
      </c>
    </row>
    <row r="1301" spans="1:17" ht="45" x14ac:dyDescent="0.25">
      <c r="A1301" s="394"/>
      <c r="B1301" s="1976"/>
      <c r="C1301" s="1977"/>
      <c r="D1301" s="1977"/>
      <c r="E1301" s="1669"/>
      <c r="F1301" s="1632"/>
      <c r="G1301" s="1632"/>
      <c r="H1301" s="1632"/>
      <c r="I1301" s="1632"/>
      <c r="J1301" s="1632"/>
      <c r="K1301" s="589" t="s">
        <v>2063</v>
      </c>
      <c r="L1301" s="540" t="s">
        <v>1992</v>
      </c>
      <c r="M1301" s="540"/>
      <c r="N1301" s="540"/>
      <c r="O1301" s="540"/>
      <c r="P1301" s="540"/>
      <c r="Q1301" s="540"/>
    </row>
    <row r="1302" spans="1:17" ht="30" x14ac:dyDescent="0.25">
      <c r="A1302" s="394"/>
      <c r="B1302" s="1976"/>
      <c r="C1302" s="1977" t="s">
        <v>3</v>
      </c>
      <c r="D1302" s="1977"/>
      <c r="E1302" s="1850" t="s">
        <v>2064</v>
      </c>
      <c r="F1302" s="1632">
        <v>93703.3</v>
      </c>
      <c r="G1302" s="1632">
        <v>39139</v>
      </c>
      <c r="H1302" s="1632">
        <v>40263</v>
      </c>
      <c r="I1302" s="1632">
        <v>39139</v>
      </c>
      <c r="J1302" s="1632">
        <v>39139</v>
      </c>
      <c r="K1302" s="589" t="s">
        <v>2065</v>
      </c>
      <c r="L1302" s="540" t="s">
        <v>968</v>
      </c>
      <c r="M1302" s="540"/>
      <c r="N1302" s="540"/>
      <c r="O1302" s="540"/>
      <c r="P1302" s="540"/>
      <c r="Q1302" s="540"/>
    </row>
    <row r="1303" spans="1:17" ht="30" x14ac:dyDescent="0.25">
      <c r="A1303" s="394"/>
      <c r="B1303" s="1976"/>
      <c r="C1303" s="1977"/>
      <c r="D1303" s="1977"/>
      <c r="E1303" s="1978"/>
      <c r="F1303" s="1632"/>
      <c r="G1303" s="1632"/>
      <c r="H1303" s="1632"/>
      <c r="I1303" s="1632"/>
      <c r="J1303" s="1632"/>
      <c r="K1303" s="589" t="s">
        <v>2066</v>
      </c>
      <c r="L1303" s="540" t="s">
        <v>968</v>
      </c>
      <c r="M1303" s="540"/>
      <c r="N1303" s="540"/>
      <c r="O1303" s="540"/>
      <c r="P1303" s="540"/>
      <c r="Q1303" s="540"/>
    </row>
    <row r="1304" spans="1:17" x14ac:dyDescent="0.25">
      <c r="A1304" s="394"/>
      <c r="B1304" s="1976"/>
      <c r="C1304" s="1977"/>
      <c r="D1304" s="1977"/>
      <c r="E1304" s="1978"/>
      <c r="F1304" s="1632"/>
      <c r="G1304" s="1632"/>
      <c r="H1304" s="1632"/>
      <c r="I1304" s="1632"/>
      <c r="J1304" s="1632"/>
      <c r="K1304" s="589" t="s">
        <v>2067</v>
      </c>
      <c r="L1304" s="540" t="s">
        <v>968</v>
      </c>
      <c r="M1304" s="540"/>
      <c r="N1304" s="540"/>
      <c r="O1304" s="540"/>
      <c r="P1304" s="540"/>
      <c r="Q1304" s="540"/>
    </row>
    <row r="1305" spans="1:17" ht="45" x14ac:dyDescent="0.25">
      <c r="A1305" s="394"/>
      <c r="B1305" s="1976"/>
      <c r="C1305" s="1977"/>
      <c r="D1305" s="1977"/>
      <c r="E1305" s="1978"/>
      <c r="F1305" s="1632"/>
      <c r="G1305" s="1632"/>
      <c r="H1305" s="1632"/>
      <c r="I1305" s="1632"/>
      <c r="J1305" s="1632"/>
      <c r="K1305" s="589" t="s">
        <v>2068</v>
      </c>
      <c r="L1305" s="540" t="s">
        <v>14</v>
      </c>
      <c r="M1305" s="540"/>
      <c r="N1305" s="540"/>
      <c r="O1305" s="540"/>
      <c r="P1305" s="540"/>
      <c r="Q1305" s="540"/>
    </row>
    <row r="1306" spans="1:17" ht="75" x14ac:dyDescent="0.25">
      <c r="A1306" s="394"/>
      <c r="B1306" s="1976"/>
      <c r="C1306" s="1977"/>
      <c r="D1306" s="1977"/>
      <c r="E1306" s="1851"/>
      <c r="F1306" s="1632"/>
      <c r="G1306" s="1632"/>
      <c r="H1306" s="1632"/>
      <c r="I1306" s="1632"/>
      <c r="J1306" s="1632"/>
      <c r="K1306" s="589" t="s">
        <v>2069</v>
      </c>
      <c r="L1306" s="540" t="s">
        <v>968</v>
      </c>
      <c r="M1306" s="540">
        <v>20</v>
      </c>
      <c r="N1306" s="540">
        <v>10</v>
      </c>
      <c r="O1306" s="540">
        <v>5</v>
      </c>
      <c r="P1306" s="540"/>
      <c r="Q1306" s="540"/>
    </row>
    <row r="1307" spans="1:17" x14ac:dyDescent="0.25">
      <c r="A1307" s="394"/>
      <c r="B1307" s="432"/>
      <c r="C1307" s="664" t="s">
        <v>4</v>
      </c>
      <c r="D1307" s="664"/>
      <c r="E1307" s="589" t="s">
        <v>2070</v>
      </c>
      <c r="F1307" s="729"/>
      <c r="G1307" s="729">
        <v>10000</v>
      </c>
      <c r="H1307" s="729">
        <f>3840+8673.3</f>
        <v>12513.3</v>
      </c>
      <c r="I1307" s="729">
        <v>3237</v>
      </c>
      <c r="J1307" s="729">
        <v>4000</v>
      </c>
      <c r="K1307" s="589" t="s">
        <v>2071</v>
      </c>
      <c r="L1307" s="540" t="s">
        <v>968</v>
      </c>
      <c r="M1307" s="540">
        <v>53</v>
      </c>
      <c r="N1307" s="540"/>
      <c r="O1307" s="540"/>
      <c r="P1307" s="540"/>
      <c r="Q1307" s="540"/>
    </row>
    <row r="1308" spans="1:17" ht="45" x14ac:dyDescent="0.25">
      <c r="A1308" s="394"/>
      <c r="B1308" s="1976"/>
      <c r="C1308" s="1977" t="s">
        <v>5</v>
      </c>
      <c r="D1308" s="1977"/>
      <c r="E1308" s="1669" t="s">
        <v>2072</v>
      </c>
      <c r="F1308" s="1632">
        <v>4821.7</v>
      </c>
      <c r="G1308" s="1632">
        <v>26681.600000000002</v>
      </c>
      <c r="H1308" s="1632">
        <v>1816.6</v>
      </c>
      <c r="I1308" s="1632">
        <v>26681.600000000002</v>
      </c>
      <c r="J1308" s="1632">
        <v>26681.599999999999</v>
      </c>
      <c r="K1308" s="589" t="s">
        <v>2073</v>
      </c>
      <c r="L1308" s="540" t="s">
        <v>968</v>
      </c>
      <c r="M1308" s="540">
        <v>14</v>
      </c>
      <c r="N1308" s="540">
        <v>14</v>
      </c>
      <c r="O1308" s="540">
        <v>15</v>
      </c>
      <c r="P1308" s="540">
        <v>15</v>
      </c>
      <c r="Q1308" s="540">
        <v>15</v>
      </c>
    </row>
    <row r="1309" spans="1:17" ht="60" x14ac:dyDescent="0.25">
      <c r="A1309" s="394"/>
      <c r="B1309" s="1976"/>
      <c r="C1309" s="1977"/>
      <c r="D1309" s="1977"/>
      <c r="E1309" s="1669"/>
      <c r="F1309" s="1632"/>
      <c r="G1309" s="1632"/>
      <c r="H1309" s="1632"/>
      <c r="I1309" s="1632"/>
      <c r="J1309" s="1632"/>
      <c r="K1309" s="589" t="s">
        <v>2074</v>
      </c>
      <c r="L1309" s="540" t="s">
        <v>968</v>
      </c>
      <c r="M1309" s="540">
        <v>12</v>
      </c>
      <c r="N1309" s="540">
        <v>12</v>
      </c>
      <c r="O1309" s="540">
        <v>14</v>
      </c>
      <c r="P1309" s="540">
        <v>15</v>
      </c>
      <c r="Q1309" s="540">
        <v>15</v>
      </c>
    </row>
    <row r="1310" spans="1:17" ht="30" x14ac:dyDescent="0.25">
      <c r="A1310" s="394"/>
      <c r="B1310" s="1976"/>
      <c r="C1310" s="1977"/>
      <c r="D1310" s="1977"/>
      <c r="E1310" s="1669"/>
      <c r="F1310" s="1632"/>
      <c r="G1310" s="1632"/>
      <c r="H1310" s="1632"/>
      <c r="I1310" s="1632"/>
      <c r="J1310" s="1632"/>
      <c r="K1310" s="589" t="s">
        <v>2075</v>
      </c>
      <c r="L1310" s="540" t="s">
        <v>968</v>
      </c>
      <c r="M1310" s="540">
        <v>0</v>
      </c>
      <c r="N1310" s="540">
        <v>0</v>
      </c>
      <c r="O1310" s="540">
        <v>2</v>
      </c>
      <c r="P1310" s="540">
        <v>5</v>
      </c>
      <c r="Q1310" s="540">
        <v>5</v>
      </c>
    </row>
    <row r="1311" spans="1:17" ht="45" x14ac:dyDescent="0.25">
      <c r="A1311" s="394"/>
      <c r="B1311" s="1976"/>
      <c r="C1311" s="1977"/>
      <c r="D1311" s="1977"/>
      <c r="E1311" s="1669"/>
      <c r="F1311" s="1632"/>
      <c r="G1311" s="1632"/>
      <c r="H1311" s="1632"/>
      <c r="I1311" s="1632"/>
      <c r="J1311" s="1632"/>
      <c r="K1311" s="589" t="s">
        <v>2076</v>
      </c>
      <c r="L1311" s="540" t="s">
        <v>968</v>
      </c>
      <c r="M1311" s="540">
        <v>26</v>
      </c>
      <c r="N1311" s="540">
        <v>26</v>
      </c>
      <c r="O1311" s="540">
        <v>29</v>
      </c>
      <c r="P1311" s="540">
        <v>30</v>
      </c>
      <c r="Q1311" s="540">
        <v>30</v>
      </c>
    </row>
    <row r="1312" spans="1:17" x14ac:dyDescent="0.25">
      <c r="A1312" s="394"/>
      <c r="B1312" s="1976"/>
      <c r="C1312" s="1977" t="s">
        <v>49</v>
      </c>
      <c r="D1312" s="1977"/>
      <c r="E1312" s="1669" t="s">
        <v>2077</v>
      </c>
      <c r="F1312" s="1632">
        <v>4551.3999999999996</v>
      </c>
      <c r="G1312" s="1632">
        <v>20981.7</v>
      </c>
      <c r="H1312" s="1632">
        <f>5946.9+5000</f>
        <v>10946.9</v>
      </c>
      <c r="I1312" s="1632">
        <v>20981.7</v>
      </c>
      <c r="J1312" s="1632">
        <v>20981.7</v>
      </c>
      <c r="K1312" s="589" t="s">
        <v>2078</v>
      </c>
      <c r="L1312" s="540" t="s">
        <v>968</v>
      </c>
      <c r="M1312" s="540">
        <v>1200</v>
      </c>
      <c r="N1312" s="540">
        <v>1200</v>
      </c>
      <c r="O1312" s="540">
        <v>1100</v>
      </c>
      <c r="P1312" s="540">
        <v>1000</v>
      </c>
      <c r="Q1312" s="540">
        <v>1000</v>
      </c>
    </row>
    <row r="1313" spans="1:17" ht="30" x14ac:dyDescent="0.25">
      <c r="A1313" s="394"/>
      <c r="B1313" s="1976"/>
      <c r="C1313" s="1977"/>
      <c r="D1313" s="1977"/>
      <c r="E1313" s="1669"/>
      <c r="F1313" s="1632"/>
      <c r="G1313" s="1632"/>
      <c r="H1313" s="1632"/>
      <c r="I1313" s="1632"/>
      <c r="J1313" s="1632"/>
      <c r="K1313" s="589" t="s">
        <v>2079</v>
      </c>
      <c r="L1313" s="540" t="s">
        <v>968</v>
      </c>
      <c r="M1313" s="540">
        <v>85</v>
      </c>
      <c r="N1313" s="540">
        <v>85</v>
      </c>
      <c r="O1313" s="540">
        <v>85</v>
      </c>
      <c r="P1313" s="540">
        <v>85</v>
      </c>
      <c r="Q1313" s="540">
        <v>85</v>
      </c>
    </row>
    <row r="1314" spans="1:17" ht="30" x14ac:dyDescent="0.25">
      <c r="A1314" s="394"/>
      <c r="B1314" s="1976"/>
      <c r="C1314" s="1977"/>
      <c r="D1314" s="1977"/>
      <c r="E1314" s="1669"/>
      <c r="F1314" s="1632"/>
      <c r="G1314" s="1632"/>
      <c r="H1314" s="1632"/>
      <c r="I1314" s="1632"/>
      <c r="J1314" s="1632"/>
      <c r="K1314" s="589" t="s">
        <v>2080</v>
      </c>
      <c r="L1314" s="540" t="s">
        <v>968</v>
      </c>
      <c r="M1314" s="540">
        <v>273</v>
      </c>
      <c r="N1314" s="540">
        <v>273</v>
      </c>
      <c r="O1314" s="540">
        <v>277</v>
      </c>
      <c r="P1314" s="540">
        <v>279</v>
      </c>
      <c r="Q1314" s="540">
        <v>279</v>
      </c>
    </row>
    <row r="1315" spans="1:17" ht="45" x14ac:dyDescent="0.25">
      <c r="A1315" s="394"/>
      <c r="B1315" s="1976"/>
      <c r="C1315" s="1977"/>
      <c r="D1315" s="1977"/>
      <c r="E1315" s="1669"/>
      <c r="F1315" s="1632"/>
      <c r="G1315" s="1632"/>
      <c r="H1315" s="1632"/>
      <c r="I1315" s="1632"/>
      <c r="J1315" s="1632"/>
      <c r="K1315" s="589" t="s">
        <v>2081</v>
      </c>
      <c r="L1315" s="540" t="s">
        <v>968</v>
      </c>
      <c r="M1315" s="540">
        <v>0</v>
      </c>
      <c r="N1315" s="540">
        <v>2</v>
      </c>
      <c r="O1315" s="540">
        <v>4</v>
      </c>
      <c r="P1315" s="540">
        <v>6</v>
      </c>
      <c r="Q1315" s="540">
        <v>6</v>
      </c>
    </row>
    <row r="1316" spans="1:17" ht="45" x14ac:dyDescent="0.25">
      <c r="A1316" s="394"/>
      <c r="B1316" s="1976"/>
      <c r="C1316" s="1977" t="s">
        <v>50</v>
      </c>
      <c r="D1316" s="1977"/>
      <c r="E1316" s="1669" t="s">
        <v>2082</v>
      </c>
      <c r="F1316" s="1632">
        <v>4051.4</v>
      </c>
      <c r="G1316" s="1632">
        <v>20981.7</v>
      </c>
      <c r="H1316" s="1632">
        <v>22419.5</v>
      </c>
      <c r="I1316" s="1632">
        <v>20981.7</v>
      </c>
      <c r="J1316" s="1632">
        <v>20981.7</v>
      </c>
      <c r="K1316" s="589" t="s">
        <v>2083</v>
      </c>
      <c r="L1316" s="540" t="s">
        <v>1073</v>
      </c>
      <c r="M1316" s="540" t="s">
        <v>2084</v>
      </c>
      <c r="N1316" s="540" t="s">
        <v>2085</v>
      </c>
      <c r="O1316" s="540" t="s">
        <v>2086</v>
      </c>
      <c r="P1316" s="540" t="s">
        <v>2086</v>
      </c>
      <c r="Q1316" s="540" t="s">
        <v>2087</v>
      </c>
    </row>
    <row r="1317" spans="1:17" ht="45" x14ac:dyDescent="0.25">
      <c r="A1317" s="394"/>
      <c r="B1317" s="1976"/>
      <c r="C1317" s="1977"/>
      <c r="D1317" s="1977"/>
      <c r="E1317" s="1669"/>
      <c r="F1317" s="1632"/>
      <c r="G1317" s="1632"/>
      <c r="H1317" s="1632"/>
      <c r="I1317" s="1632"/>
      <c r="J1317" s="1632"/>
      <c r="K1317" s="589" t="s">
        <v>2088</v>
      </c>
      <c r="L1317" s="540" t="s">
        <v>1073</v>
      </c>
      <c r="M1317" s="540">
        <v>425</v>
      </c>
      <c r="N1317" s="540">
        <v>420</v>
      </c>
      <c r="O1317" s="540">
        <v>415</v>
      </c>
      <c r="P1317" s="540">
        <v>410</v>
      </c>
      <c r="Q1317" s="540">
        <v>410</v>
      </c>
    </row>
    <row r="1318" spans="1:17" ht="30" x14ac:dyDescent="0.25">
      <c r="A1318" s="394"/>
      <c r="B1318" s="1976"/>
      <c r="C1318" s="1977"/>
      <c r="D1318" s="1977"/>
      <c r="E1318" s="1669"/>
      <c r="F1318" s="1632"/>
      <c r="G1318" s="1632"/>
      <c r="H1318" s="1632"/>
      <c r="I1318" s="1632"/>
      <c r="J1318" s="1632"/>
      <c r="K1318" s="589" t="s">
        <v>2089</v>
      </c>
      <c r="L1318" s="540" t="s">
        <v>14</v>
      </c>
      <c r="M1318" s="540">
        <v>90</v>
      </c>
      <c r="N1318" s="540">
        <v>90</v>
      </c>
      <c r="O1318" s="540">
        <v>90</v>
      </c>
      <c r="P1318" s="540">
        <v>90</v>
      </c>
      <c r="Q1318" s="540">
        <v>90</v>
      </c>
    </row>
    <row r="1319" spans="1:17" ht="30" x14ac:dyDescent="0.25">
      <c r="A1319" s="394"/>
      <c r="B1319" s="1976"/>
      <c r="C1319" s="1977"/>
      <c r="D1319" s="1977"/>
      <c r="E1319" s="1669"/>
      <c r="F1319" s="1632"/>
      <c r="G1319" s="1632"/>
      <c r="H1319" s="1632"/>
      <c r="I1319" s="1632"/>
      <c r="J1319" s="1632"/>
      <c r="K1319" s="589" t="s">
        <v>2090</v>
      </c>
      <c r="L1319" s="540" t="s">
        <v>1489</v>
      </c>
      <c r="M1319" s="540">
        <v>8823</v>
      </c>
      <c r="N1319" s="540">
        <v>9264.2000000000007</v>
      </c>
      <c r="O1319" s="540">
        <v>9727.4</v>
      </c>
      <c r="P1319" s="540">
        <v>10190.6</v>
      </c>
      <c r="Q1319" s="540">
        <v>10190.6</v>
      </c>
    </row>
    <row r="1320" spans="1:17" ht="45" x14ac:dyDescent="0.25">
      <c r="A1320" s="394"/>
      <c r="B1320" s="1976"/>
      <c r="C1320" s="1977"/>
      <c r="D1320" s="1977"/>
      <c r="E1320" s="1669"/>
      <c r="F1320" s="1632"/>
      <c r="G1320" s="1632"/>
      <c r="H1320" s="1632"/>
      <c r="I1320" s="1632"/>
      <c r="J1320" s="1632"/>
      <c r="K1320" s="589" t="s">
        <v>2091</v>
      </c>
      <c r="L1320" s="540" t="s">
        <v>1073</v>
      </c>
      <c r="M1320" s="540">
        <v>7</v>
      </c>
      <c r="N1320" s="540">
        <v>9</v>
      </c>
      <c r="O1320" s="540">
        <v>9</v>
      </c>
      <c r="P1320" s="540">
        <v>9</v>
      </c>
      <c r="Q1320" s="540">
        <v>9</v>
      </c>
    </row>
    <row r="1321" spans="1:17" ht="45" x14ac:dyDescent="0.25">
      <c r="A1321" s="394"/>
      <c r="B1321" s="1976"/>
      <c r="C1321" s="1977"/>
      <c r="D1321" s="1977"/>
      <c r="E1321" s="1669"/>
      <c r="F1321" s="1632"/>
      <c r="G1321" s="1632"/>
      <c r="H1321" s="1632"/>
      <c r="I1321" s="1632"/>
      <c r="J1321" s="1632"/>
      <c r="K1321" s="589" t="s">
        <v>2092</v>
      </c>
      <c r="L1321" s="540" t="s">
        <v>2093</v>
      </c>
      <c r="M1321" s="540">
        <v>50</v>
      </c>
      <c r="N1321" s="540">
        <v>62</v>
      </c>
      <c r="O1321" s="540">
        <v>70</v>
      </c>
      <c r="P1321" s="540">
        <v>75</v>
      </c>
      <c r="Q1321" s="540">
        <v>75</v>
      </c>
    </row>
    <row r="1322" spans="1:17" ht="30" x14ac:dyDescent="0.25">
      <c r="A1322" s="394"/>
      <c r="B1322" s="1976"/>
      <c r="C1322" s="1977"/>
      <c r="D1322" s="1977"/>
      <c r="E1322" s="1669"/>
      <c r="F1322" s="1632"/>
      <c r="G1322" s="1632"/>
      <c r="H1322" s="1632"/>
      <c r="I1322" s="1632"/>
      <c r="J1322" s="1632"/>
      <c r="K1322" s="589" t="s">
        <v>2094</v>
      </c>
      <c r="L1322" s="540" t="s">
        <v>1073</v>
      </c>
      <c r="M1322" s="540">
        <v>18000</v>
      </c>
      <c r="N1322" s="540">
        <v>19000</v>
      </c>
      <c r="O1322" s="540">
        <v>20000</v>
      </c>
      <c r="P1322" s="540">
        <v>21000</v>
      </c>
      <c r="Q1322" s="540">
        <v>21000</v>
      </c>
    </row>
    <row r="1323" spans="1:17" ht="30" x14ac:dyDescent="0.25">
      <c r="A1323" s="394"/>
      <c r="B1323" s="432"/>
      <c r="C1323" s="664" t="s">
        <v>51</v>
      </c>
      <c r="D1323" s="664"/>
      <c r="E1323" s="589" t="s">
        <v>2026</v>
      </c>
      <c r="F1323" s="729"/>
      <c r="G1323" s="729">
        <v>15000</v>
      </c>
      <c r="H1323" s="729"/>
      <c r="I1323" s="729">
        <v>10000</v>
      </c>
      <c r="J1323" s="729">
        <f>9317.8-16.2</f>
        <v>9301.5999999999985</v>
      </c>
      <c r="K1323" s="589" t="s">
        <v>2095</v>
      </c>
      <c r="L1323" s="540" t="s">
        <v>1073</v>
      </c>
      <c r="M1323" s="540"/>
      <c r="N1323" s="540" t="s">
        <v>1050</v>
      </c>
      <c r="O1323" s="540" t="s">
        <v>1050</v>
      </c>
      <c r="P1323" s="540" t="s">
        <v>1050</v>
      </c>
      <c r="Q1323" s="540" t="s">
        <v>1050</v>
      </c>
    </row>
    <row r="1324" spans="1:17" ht="28.5" x14ac:dyDescent="0.25">
      <c r="A1324" s="394"/>
      <c r="B1324" s="1018">
        <v>992</v>
      </c>
      <c r="C1324" s="412"/>
      <c r="D1324" s="412"/>
      <c r="E1324" s="582" t="s">
        <v>378</v>
      </c>
      <c r="F1324" s="1019">
        <v>0</v>
      </c>
      <c r="G1324" s="1019">
        <f>G1325</f>
        <v>139600</v>
      </c>
      <c r="H1324" s="1019">
        <f t="shared" ref="H1324:J1324" si="135">H1325</f>
        <v>282000</v>
      </c>
      <c r="I1324" s="1019">
        <f t="shared" si="135"/>
        <v>499100</v>
      </c>
      <c r="J1324" s="1019">
        <f t="shared" si="135"/>
        <v>132725.29999999999</v>
      </c>
      <c r="K1324" s="628"/>
      <c r="L1324" s="511"/>
      <c r="M1324" s="511"/>
      <c r="N1324" s="511"/>
      <c r="O1324" s="511"/>
      <c r="P1324" s="511"/>
      <c r="Q1324" s="511"/>
    </row>
    <row r="1325" spans="1:17" ht="30" x14ac:dyDescent="0.25">
      <c r="A1325" s="394"/>
      <c r="B1325" s="1020"/>
      <c r="C1325" s="412" t="s">
        <v>2</v>
      </c>
      <c r="D1325" s="412"/>
      <c r="E1325" s="593" t="s">
        <v>379</v>
      </c>
      <c r="F1325" s="1021"/>
      <c r="G1325" s="1021">
        <v>139600</v>
      </c>
      <c r="H1325" s="1021">
        <v>282000</v>
      </c>
      <c r="I1325" s="1021">
        <v>499100</v>
      </c>
      <c r="J1325" s="1021">
        <v>132725.29999999999</v>
      </c>
      <c r="K1325" s="628"/>
      <c r="L1325" s="511"/>
      <c r="M1325" s="511"/>
      <c r="N1325" s="511"/>
      <c r="O1325" s="511"/>
      <c r="P1325" s="511"/>
      <c r="Q1325" s="511"/>
    </row>
    <row r="1326" spans="1:17" x14ac:dyDescent="0.25">
      <c r="B1326" s="1973" t="s">
        <v>1427</v>
      </c>
      <c r="C1326" s="1973"/>
      <c r="D1326" s="1973"/>
      <c r="E1326" s="1973"/>
      <c r="F1326" s="207">
        <f>F1232+F1240+F1263+F1276+F1292+F1324</f>
        <v>761644.60000000009</v>
      </c>
      <c r="G1326" s="207">
        <f t="shared" ref="G1326:J1326" si="136">G1232+G1240+G1263+G1276+G1292+G1324</f>
        <v>923500.20000000007</v>
      </c>
      <c r="H1326" s="207">
        <f t="shared" si="136"/>
        <v>1022900.2</v>
      </c>
      <c r="I1326" s="207">
        <f t="shared" si="136"/>
        <v>1240596.6000000001</v>
      </c>
      <c r="J1326" s="207">
        <f t="shared" si="136"/>
        <v>875556.2</v>
      </c>
      <c r="K1326" s="133"/>
      <c r="L1326" s="920"/>
      <c r="M1326" s="133"/>
      <c r="N1326" s="133"/>
      <c r="O1326" s="133"/>
      <c r="P1326" s="133"/>
      <c r="Q1326" s="133"/>
    </row>
    <row r="1327" spans="1:17" x14ac:dyDescent="0.25">
      <c r="B1327" s="1643" t="s">
        <v>2096</v>
      </c>
      <c r="C1327" s="1643"/>
      <c r="D1327" s="1643"/>
      <c r="E1327" s="1643"/>
      <c r="F1327" s="1573"/>
      <c r="G1327" s="1573"/>
      <c r="H1327" s="1573"/>
      <c r="I1327" s="1573"/>
      <c r="J1327" s="1573"/>
      <c r="K1327" s="1573"/>
      <c r="L1327" s="1573"/>
      <c r="M1327" s="1573"/>
      <c r="N1327" s="1573"/>
      <c r="O1327" s="1573"/>
      <c r="P1327" s="1573"/>
      <c r="Q1327" s="1573"/>
    </row>
    <row r="1328" spans="1:17" ht="57" x14ac:dyDescent="0.25">
      <c r="B1328" s="566">
        <v>1</v>
      </c>
      <c r="C1328" s="1022"/>
      <c r="D1328" s="638"/>
      <c r="E1328" s="1023" t="s">
        <v>2097</v>
      </c>
      <c r="F1328" s="1024">
        <f>F1329+F1330+F1331+F1332+F1333+F1334+F1335</f>
        <v>251311.1</v>
      </c>
      <c r="G1328" s="1024">
        <f>G1329+G1330+G1331+G1332+G1333+G1334+G1335</f>
        <v>332529.59999999998</v>
      </c>
      <c r="H1328" s="1024">
        <f t="shared" ref="H1328:J1328" si="137">H1329+H1330+H1331+H1332+H1333+H1334+H1335</f>
        <v>277719.59999999998</v>
      </c>
      <c r="I1328" s="1024">
        <f t="shared" si="137"/>
        <v>285822.37477067014</v>
      </c>
      <c r="J1328" s="1024">
        <f t="shared" si="137"/>
        <v>273654.23786777543</v>
      </c>
      <c r="K1328" s="582" t="s">
        <v>2098</v>
      </c>
      <c r="L1328" s="635" t="s">
        <v>14</v>
      </c>
      <c r="M1328" s="635"/>
      <c r="N1328" s="635"/>
      <c r="O1328" s="635"/>
      <c r="P1328" s="635"/>
      <c r="Q1328" s="635"/>
    </row>
    <row r="1329" spans="2:17" x14ac:dyDescent="0.25">
      <c r="B1329" s="1025"/>
      <c r="C1329" s="424">
        <v>1</v>
      </c>
      <c r="D1329" s="416"/>
      <c r="E1329" s="589" t="s">
        <v>205</v>
      </c>
      <c r="F1329" s="1026">
        <v>18277.099999999999</v>
      </c>
      <c r="G1329" s="1027">
        <v>16188.2</v>
      </c>
      <c r="H1329" s="1027">
        <f>7268.6+6527.8</f>
        <v>13796.400000000001</v>
      </c>
      <c r="I1329" s="1027">
        <v>14210.262488425269</v>
      </c>
      <c r="J1329" s="1027">
        <v>14304.753655949082</v>
      </c>
      <c r="K1329" s="589" t="s">
        <v>1869</v>
      </c>
      <c r="L1329" s="511" t="s">
        <v>15</v>
      </c>
      <c r="M1329" s="511">
        <v>31.2</v>
      </c>
      <c r="N1329" s="267">
        <v>32.435084231667773</v>
      </c>
      <c r="O1329" s="511">
        <v>32</v>
      </c>
      <c r="P1329" s="511">
        <v>32.5</v>
      </c>
      <c r="Q1329" s="511">
        <v>33</v>
      </c>
    </row>
    <row r="1330" spans="2:17" ht="30" x14ac:dyDescent="0.25">
      <c r="B1330" s="1025"/>
      <c r="C1330" s="424">
        <v>2</v>
      </c>
      <c r="D1330" s="416"/>
      <c r="E1330" s="589" t="s">
        <v>2099</v>
      </c>
      <c r="F1330" s="1026">
        <v>22846.5</v>
      </c>
      <c r="G1330" s="1027">
        <v>8048.1</v>
      </c>
      <c r="H1330" s="1027">
        <f>4400.6+4861.5</f>
        <v>9262.1</v>
      </c>
      <c r="I1330" s="1027">
        <v>9539.9295451707421</v>
      </c>
      <c r="J1330" s="1027">
        <v>9597.1370647435051</v>
      </c>
      <c r="K1330" s="589" t="s">
        <v>2100</v>
      </c>
      <c r="L1330" s="511" t="s">
        <v>14</v>
      </c>
      <c r="M1330" s="512">
        <v>71.400000000000006</v>
      </c>
      <c r="N1330" s="512">
        <v>85</v>
      </c>
      <c r="O1330" s="511">
        <v>90</v>
      </c>
      <c r="P1330" s="511">
        <v>90</v>
      </c>
      <c r="Q1330" s="511">
        <v>90</v>
      </c>
    </row>
    <row r="1331" spans="2:17" ht="30" x14ac:dyDescent="0.25">
      <c r="B1331" s="1025"/>
      <c r="C1331" s="424">
        <v>3</v>
      </c>
      <c r="D1331" s="416"/>
      <c r="E1331" s="589" t="s">
        <v>142</v>
      </c>
      <c r="F1331" s="1026">
        <v>13707.9</v>
      </c>
      <c r="G1331" s="1027">
        <v>5932</v>
      </c>
      <c r="H1331" s="1027">
        <f>3182.2+3737.2</f>
        <v>6919.4</v>
      </c>
      <c r="I1331" s="1027">
        <v>7126.9564489523518</v>
      </c>
      <c r="J1331" s="1027">
        <v>7168.3252700997646</v>
      </c>
      <c r="K1331" s="589" t="s">
        <v>2101</v>
      </c>
      <c r="L1331" s="511" t="s">
        <v>14</v>
      </c>
      <c r="M1331" s="511">
        <v>45.5</v>
      </c>
      <c r="N1331" s="511" t="s">
        <v>1050</v>
      </c>
      <c r="O1331" s="511" t="s">
        <v>1050</v>
      </c>
      <c r="P1331" s="511" t="s">
        <v>1050</v>
      </c>
      <c r="Q1331" s="511" t="s">
        <v>1050</v>
      </c>
    </row>
    <row r="1332" spans="2:17" ht="30" x14ac:dyDescent="0.25">
      <c r="B1332" s="1025"/>
      <c r="C1332" s="424">
        <v>4</v>
      </c>
      <c r="D1332" s="416"/>
      <c r="E1332" s="589" t="s">
        <v>241</v>
      </c>
      <c r="F1332" s="1026">
        <v>18277.099999999999</v>
      </c>
      <c r="G1332" s="1027">
        <v>6062.2</v>
      </c>
      <c r="H1332" s="1027">
        <f>3577.2+3706.2</f>
        <v>7283.4</v>
      </c>
      <c r="I1332" s="1027">
        <v>7502.0088747559048</v>
      </c>
      <c r="J1332" s="1027">
        <v>7548.5143672969543</v>
      </c>
      <c r="K1332" s="589" t="s">
        <v>2102</v>
      </c>
      <c r="L1332" s="511" t="s">
        <v>2103</v>
      </c>
      <c r="M1332" s="511" t="s">
        <v>2104</v>
      </c>
      <c r="N1332" s="511" t="s">
        <v>1050</v>
      </c>
      <c r="O1332" s="511" t="s">
        <v>1050</v>
      </c>
      <c r="P1332" s="511" t="s">
        <v>1050</v>
      </c>
      <c r="Q1332" s="511" t="s">
        <v>1050</v>
      </c>
    </row>
    <row r="1333" spans="2:17" ht="30" x14ac:dyDescent="0.25">
      <c r="B1333" s="1025"/>
      <c r="C1333" s="424">
        <v>5</v>
      </c>
      <c r="D1333" s="416"/>
      <c r="E1333" s="589" t="s">
        <v>1964</v>
      </c>
      <c r="F1333" s="1026">
        <v>13707.9</v>
      </c>
      <c r="G1333" s="1027">
        <v>6049.6</v>
      </c>
      <c r="H1333" s="1027">
        <f>3188+3693.2</f>
        <v>6881.2</v>
      </c>
      <c r="I1333" s="1027">
        <v>7087.7080915525066</v>
      </c>
      <c r="J1333" s="1027">
        <v>7129.1535450822512</v>
      </c>
      <c r="K1333" s="589" t="s">
        <v>2105</v>
      </c>
      <c r="L1333" s="511" t="s">
        <v>1073</v>
      </c>
      <c r="M1333" s="511">
        <v>170</v>
      </c>
      <c r="N1333" s="511">
        <v>220</v>
      </c>
      <c r="O1333" s="511">
        <v>180</v>
      </c>
      <c r="P1333" s="511">
        <v>185</v>
      </c>
      <c r="Q1333" s="511">
        <v>190</v>
      </c>
    </row>
    <row r="1334" spans="2:17" ht="45" x14ac:dyDescent="0.25">
      <c r="B1334" s="1025"/>
      <c r="C1334" s="424">
        <v>6</v>
      </c>
      <c r="D1334" s="416"/>
      <c r="E1334" s="589" t="s">
        <v>345</v>
      </c>
      <c r="F1334" s="1026">
        <v>127940.2</v>
      </c>
      <c r="G1334" s="1027">
        <v>279768.5</v>
      </c>
      <c r="H1334" s="1027">
        <f>87148.1+134218.9</f>
        <v>221367</v>
      </c>
      <c r="I1334" s="1027">
        <f>227777.729843636+1.6</f>
        <v>227779.32984363602</v>
      </c>
      <c r="J1334" s="1027">
        <v>215255.67281848486</v>
      </c>
      <c r="K1334" s="589" t="s">
        <v>2106</v>
      </c>
      <c r="L1334" s="511" t="s">
        <v>14</v>
      </c>
      <c r="M1334" s="511">
        <v>31.8</v>
      </c>
      <c r="N1334" s="511">
        <v>31.8</v>
      </c>
      <c r="O1334" s="511">
        <v>31.8</v>
      </c>
      <c r="P1334" s="511">
        <v>31.8</v>
      </c>
      <c r="Q1334" s="511">
        <v>31.8</v>
      </c>
    </row>
    <row r="1335" spans="2:17" ht="45" x14ac:dyDescent="0.25">
      <c r="B1335" s="1025"/>
      <c r="C1335" s="424">
        <v>7</v>
      </c>
      <c r="D1335" s="416"/>
      <c r="E1335" s="589" t="s">
        <v>2107</v>
      </c>
      <c r="F1335" s="1026">
        <v>36554.400000000001</v>
      </c>
      <c r="G1335" s="1027">
        <v>10481</v>
      </c>
      <c r="H1335" s="1027">
        <f>5731.1+6479</f>
        <v>12210.1</v>
      </c>
      <c r="I1335" s="1027">
        <v>12576.179478177342</v>
      </c>
      <c r="J1335" s="1027">
        <v>12650.681146119034</v>
      </c>
      <c r="K1335" s="589" t="s">
        <v>2108</v>
      </c>
      <c r="L1335" s="511" t="s">
        <v>14</v>
      </c>
      <c r="M1335" s="511">
        <v>90</v>
      </c>
      <c r="N1335" s="511">
        <v>34</v>
      </c>
      <c r="O1335" s="511">
        <v>39.6</v>
      </c>
      <c r="P1335" s="511">
        <v>26.4</v>
      </c>
      <c r="Q1335" s="511">
        <v>0</v>
      </c>
    </row>
    <row r="1336" spans="2:17" ht="28.5" x14ac:dyDescent="0.25">
      <c r="B1336" s="428" t="s">
        <v>91</v>
      </c>
      <c r="C1336" s="428"/>
      <c r="D1336" s="413"/>
      <c r="E1336" s="582" t="s">
        <v>2109</v>
      </c>
      <c r="F1336" s="430">
        <f>F1337+F1338</f>
        <v>267872.39</v>
      </c>
      <c r="G1336" s="430">
        <f>G1337+G1338</f>
        <v>262556.7</v>
      </c>
      <c r="H1336" s="430">
        <f t="shared" ref="H1336:J1336" si="138">H1337+H1338</f>
        <v>273680.30000000005</v>
      </c>
      <c r="I1336" s="430">
        <f t="shared" si="138"/>
        <v>297483.05500000005</v>
      </c>
      <c r="J1336" s="430">
        <f t="shared" si="138"/>
        <v>305159.84665000002</v>
      </c>
      <c r="K1336" s="582" t="s">
        <v>2110</v>
      </c>
      <c r="L1336" s="511"/>
      <c r="M1336" s="495"/>
      <c r="N1336" s="284"/>
      <c r="O1336" s="284"/>
      <c r="P1336" s="284"/>
      <c r="Q1336" s="284"/>
    </row>
    <row r="1337" spans="2:17" x14ac:dyDescent="0.25">
      <c r="B1337" s="413"/>
      <c r="C1337" s="413" t="s">
        <v>2</v>
      </c>
      <c r="D1337" s="413"/>
      <c r="E1337" s="589" t="s">
        <v>2111</v>
      </c>
      <c r="F1337" s="1026">
        <v>187510.66999999998</v>
      </c>
      <c r="G1337" s="1026">
        <v>183782.7</v>
      </c>
      <c r="H1337" s="1027">
        <f>106905.8+84180.85</f>
        <v>191086.65000000002</v>
      </c>
      <c r="I1337" s="443">
        <v>208238.13850000003</v>
      </c>
      <c r="J1337" s="443">
        <v>213611.892655</v>
      </c>
      <c r="K1337" s="589" t="s">
        <v>2112</v>
      </c>
      <c r="L1337" s="511" t="s">
        <v>2113</v>
      </c>
      <c r="M1337" s="557">
        <v>915.4</v>
      </c>
      <c r="N1337" s="557">
        <v>1061.05</v>
      </c>
      <c r="O1337" s="557">
        <v>1220.21</v>
      </c>
      <c r="P1337" s="557">
        <v>1260.53</v>
      </c>
      <c r="Q1337" s="557">
        <v>1323.56</v>
      </c>
    </row>
    <row r="1338" spans="2:17" ht="30" x14ac:dyDescent="0.25">
      <c r="B1338" s="413"/>
      <c r="C1338" s="413" t="s">
        <v>3</v>
      </c>
      <c r="D1338" s="413"/>
      <c r="E1338" s="589" t="s">
        <v>2114</v>
      </c>
      <c r="F1338" s="1026">
        <v>80361.72</v>
      </c>
      <c r="G1338" s="1026">
        <v>78774</v>
      </c>
      <c r="H1338" s="1027">
        <f>52304.5+30289.15</f>
        <v>82593.649999999994</v>
      </c>
      <c r="I1338" s="443">
        <v>89244.916500000007</v>
      </c>
      <c r="J1338" s="443">
        <v>91547.953995000003</v>
      </c>
      <c r="K1338" s="589" t="s">
        <v>2115</v>
      </c>
      <c r="L1338" s="511" t="s">
        <v>2113</v>
      </c>
      <c r="M1338" s="557">
        <v>332.64</v>
      </c>
      <c r="N1338" s="557">
        <v>365.9</v>
      </c>
      <c r="O1338" s="557">
        <v>401.66</v>
      </c>
      <c r="P1338" s="557">
        <v>442.74</v>
      </c>
      <c r="Q1338" s="557">
        <v>464.88</v>
      </c>
    </row>
    <row r="1339" spans="2:17" ht="28.5" x14ac:dyDescent="0.25">
      <c r="B1339" s="428" t="s">
        <v>98</v>
      </c>
      <c r="C1339" s="428"/>
      <c r="D1339" s="413"/>
      <c r="E1339" s="658" t="s">
        <v>2116</v>
      </c>
      <c r="F1339" s="430">
        <f>F1340+F1341</f>
        <v>46392.6</v>
      </c>
      <c r="G1339" s="430">
        <f>G1340+G1341</f>
        <v>48132.4</v>
      </c>
      <c r="H1339" s="430">
        <f>H1340+H1341</f>
        <v>154799.9</v>
      </c>
      <c r="I1339" s="430">
        <f t="shared" ref="I1339:J1339" si="139">I1340+I1341</f>
        <v>157917.52000000002</v>
      </c>
      <c r="J1339" s="430">
        <f t="shared" si="139"/>
        <v>161096.49600000001</v>
      </c>
      <c r="K1339" s="582" t="s">
        <v>2110</v>
      </c>
      <c r="L1339" s="511"/>
      <c r="M1339" s="495"/>
      <c r="N1339" s="284"/>
      <c r="O1339" s="284"/>
      <c r="P1339" s="284"/>
      <c r="Q1339" s="284"/>
    </row>
    <row r="1340" spans="2:17" x14ac:dyDescent="0.25">
      <c r="B1340" s="413"/>
      <c r="C1340" s="413" t="s">
        <v>2</v>
      </c>
      <c r="D1340" s="413"/>
      <c r="E1340" s="495" t="s">
        <v>2117</v>
      </c>
      <c r="F1340" s="1026">
        <v>24588</v>
      </c>
      <c r="G1340" s="1027">
        <v>25510.2</v>
      </c>
      <c r="H1340" s="1027">
        <f>998.9+81045.46</f>
        <v>82044.36</v>
      </c>
      <c r="I1340" s="1027">
        <v>83696.285600000017</v>
      </c>
      <c r="J1340" s="1027">
        <v>85381.142880000014</v>
      </c>
      <c r="K1340" s="589" t="s">
        <v>2118</v>
      </c>
      <c r="L1340" s="511" t="s">
        <v>1073</v>
      </c>
      <c r="M1340" s="651">
        <v>288317</v>
      </c>
      <c r="N1340" s="1028">
        <v>291200</v>
      </c>
      <c r="O1340" s="651">
        <v>294112</v>
      </c>
      <c r="P1340" s="651">
        <v>297053</v>
      </c>
      <c r="Q1340" s="651">
        <v>300023</v>
      </c>
    </row>
    <row r="1341" spans="2:17" x14ac:dyDescent="0.25">
      <c r="B1341" s="413"/>
      <c r="C1341" s="413" t="s">
        <v>3</v>
      </c>
      <c r="D1341" s="413"/>
      <c r="E1341" s="495" t="s">
        <v>2119</v>
      </c>
      <c r="F1341" s="1026">
        <v>21804.6</v>
      </c>
      <c r="G1341" s="1027">
        <v>22622.2</v>
      </c>
      <c r="H1341" s="1027">
        <f>885+71870.54</f>
        <v>72755.539999999994</v>
      </c>
      <c r="I1341" s="1027">
        <v>74221.234400000001</v>
      </c>
      <c r="J1341" s="1027">
        <v>75715.35312</v>
      </c>
      <c r="K1341" s="589" t="s">
        <v>2120</v>
      </c>
      <c r="L1341" s="511" t="s">
        <v>979</v>
      </c>
      <c r="M1341" s="495">
        <v>92436</v>
      </c>
      <c r="N1341" s="1028">
        <v>93360</v>
      </c>
      <c r="O1341" s="651">
        <v>94293</v>
      </c>
      <c r="P1341" s="651">
        <v>95235</v>
      </c>
      <c r="Q1341" s="651">
        <v>96187</v>
      </c>
    </row>
    <row r="1342" spans="2:17" x14ac:dyDescent="0.25">
      <c r="B1342" s="428" t="s">
        <v>101</v>
      </c>
      <c r="C1342" s="428"/>
      <c r="D1342" s="413"/>
      <c r="E1342" s="658" t="s">
        <v>2121</v>
      </c>
      <c r="F1342" s="430">
        <f>F1343</f>
        <v>26261.665999999997</v>
      </c>
      <c r="G1342" s="430">
        <f>G1343</f>
        <v>23089.1</v>
      </c>
      <c r="H1342" s="430">
        <f t="shared" ref="H1342:J1342" si="140">H1343</f>
        <v>15138.2</v>
      </c>
      <c r="I1342" s="430">
        <f t="shared" si="140"/>
        <v>15592.346000000001</v>
      </c>
      <c r="J1342" s="430">
        <f t="shared" si="140"/>
        <v>16060.116379999999</v>
      </c>
      <c r="K1342" s="582" t="s">
        <v>2110</v>
      </c>
      <c r="L1342" s="511"/>
      <c r="M1342" s="495"/>
      <c r="N1342" s="249"/>
      <c r="O1342" s="249"/>
      <c r="P1342" s="249"/>
      <c r="Q1342" s="249"/>
    </row>
    <row r="1343" spans="2:17" ht="30" x14ac:dyDescent="0.25">
      <c r="B1343" s="413"/>
      <c r="C1343" s="413" t="s">
        <v>2</v>
      </c>
      <c r="D1343" s="413"/>
      <c r="E1343" s="495" t="s">
        <v>2122</v>
      </c>
      <c r="F1343" s="1026">
        <v>26261.665999999997</v>
      </c>
      <c r="G1343" s="1027">
        <v>23089.1</v>
      </c>
      <c r="H1343" s="1027">
        <v>15138.2</v>
      </c>
      <c r="I1343" s="1027">
        <v>15592.346000000001</v>
      </c>
      <c r="J1343" s="1027">
        <v>16060.116379999999</v>
      </c>
      <c r="K1343" s="589" t="s">
        <v>2123</v>
      </c>
      <c r="L1343" s="511" t="s">
        <v>2124</v>
      </c>
      <c r="M1343" s="329">
        <v>0.98</v>
      </c>
      <c r="N1343" s="329">
        <v>0.98</v>
      </c>
      <c r="O1343" s="329">
        <v>0.98</v>
      </c>
      <c r="P1343" s="329">
        <v>0.98</v>
      </c>
      <c r="Q1343" s="329">
        <v>0.98</v>
      </c>
    </row>
    <row r="1344" spans="2:17" ht="57" x14ac:dyDescent="0.25">
      <c r="B1344" s="428" t="s">
        <v>110</v>
      </c>
      <c r="C1344" s="428"/>
      <c r="D1344" s="413"/>
      <c r="E1344" s="246" t="s">
        <v>2125</v>
      </c>
      <c r="F1344" s="1029">
        <f>F1345+F1346</f>
        <v>247414.3</v>
      </c>
      <c r="G1344" s="1029">
        <f>G1345+G1346</f>
        <v>272816.2</v>
      </c>
      <c r="H1344" s="1029">
        <f t="shared" ref="H1344:J1344" si="141">H1345+H1346</f>
        <v>292825.8</v>
      </c>
      <c r="I1344" s="1029">
        <f t="shared" si="141"/>
        <v>269010.7</v>
      </c>
      <c r="J1344" s="1029">
        <f t="shared" si="141"/>
        <v>279538.5</v>
      </c>
      <c r="K1344" s="582" t="s">
        <v>2126</v>
      </c>
      <c r="L1344" s="511" t="s">
        <v>2127</v>
      </c>
      <c r="M1344" s="511">
        <v>20878</v>
      </c>
      <c r="N1344" s="914">
        <v>20733</v>
      </c>
      <c r="O1344" s="914">
        <v>20733</v>
      </c>
      <c r="P1344" s="914">
        <v>20111</v>
      </c>
      <c r="Q1344" s="914">
        <v>20891</v>
      </c>
    </row>
    <row r="1345" spans="2:17" ht="60" x14ac:dyDescent="0.25">
      <c r="B1345" s="413"/>
      <c r="C1345" s="413" t="s">
        <v>2</v>
      </c>
      <c r="D1345" s="413"/>
      <c r="E1345" s="241" t="s">
        <v>2128</v>
      </c>
      <c r="F1345" s="1026">
        <v>246264.3</v>
      </c>
      <c r="G1345" s="1027">
        <v>271536.8</v>
      </c>
      <c r="H1345" s="1027">
        <f>258716.8+32829.6</f>
        <v>291546.39999999997</v>
      </c>
      <c r="I1345" s="1027">
        <v>267695.3</v>
      </c>
      <c r="J1345" s="443">
        <v>278208.09999999998</v>
      </c>
      <c r="K1345" s="589" t="s">
        <v>2129</v>
      </c>
      <c r="L1345" s="511" t="s">
        <v>2130</v>
      </c>
      <c r="M1345" s="495">
        <v>44783</v>
      </c>
      <c r="N1345" s="1030">
        <v>49376</v>
      </c>
      <c r="O1345" s="1030">
        <v>49376</v>
      </c>
      <c r="P1345" s="1030">
        <v>47895</v>
      </c>
      <c r="Q1345" s="1030">
        <v>49810</v>
      </c>
    </row>
    <row r="1346" spans="2:17" ht="105" x14ac:dyDescent="0.25">
      <c r="B1346" s="413"/>
      <c r="C1346" s="413" t="s">
        <v>3</v>
      </c>
      <c r="D1346" s="413"/>
      <c r="E1346" s="495" t="s">
        <v>2131</v>
      </c>
      <c r="F1346" s="1026">
        <v>1150</v>
      </c>
      <c r="G1346" s="1027">
        <v>1279.4000000000001</v>
      </c>
      <c r="H1346" s="1027">
        <f>1279.4</f>
        <v>1279.4000000000001</v>
      </c>
      <c r="I1346" s="1027">
        <v>1315.4</v>
      </c>
      <c r="J1346" s="443">
        <v>1330.4</v>
      </c>
      <c r="K1346" s="589" t="s">
        <v>2132</v>
      </c>
      <c r="L1346" s="511" t="s">
        <v>2127</v>
      </c>
      <c r="M1346" s="495">
        <v>3774</v>
      </c>
      <c r="N1346" s="1030">
        <v>4190</v>
      </c>
      <c r="O1346" s="1030">
        <v>4190</v>
      </c>
      <c r="P1346" s="1030">
        <v>4064</v>
      </c>
      <c r="Q1346" s="1030">
        <v>4227</v>
      </c>
    </row>
    <row r="1347" spans="2:17" ht="85.5" x14ac:dyDescent="0.25">
      <c r="B1347" s="428" t="s">
        <v>1421</v>
      </c>
      <c r="C1347" s="428"/>
      <c r="D1347" s="413"/>
      <c r="E1347" s="658" t="s">
        <v>2133</v>
      </c>
      <c r="F1347" s="430"/>
      <c r="G1347" s="1031">
        <f>G1348+G1349</f>
        <v>2400</v>
      </c>
      <c r="H1347" s="1031">
        <f t="shared" ref="H1347:J1347" si="142">H1348+H1349</f>
        <v>2400</v>
      </c>
      <c r="I1347" s="1031">
        <f t="shared" si="142"/>
        <v>2431.6999999999998</v>
      </c>
      <c r="J1347" s="1031">
        <f t="shared" si="142"/>
        <v>2463.6999999999998</v>
      </c>
      <c r="K1347" s="582" t="s">
        <v>2134</v>
      </c>
      <c r="L1347" s="511" t="s">
        <v>2135</v>
      </c>
      <c r="M1347" s="495" t="s">
        <v>2136</v>
      </c>
      <c r="N1347" s="1032" t="s">
        <v>2137</v>
      </c>
      <c r="O1347" s="1032" t="s">
        <v>2138</v>
      </c>
      <c r="P1347" s="1032" t="s">
        <v>2139</v>
      </c>
      <c r="Q1347" s="1032" t="s">
        <v>2140</v>
      </c>
    </row>
    <row r="1348" spans="2:17" ht="45" x14ac:dyDescent="0.25">
      <c r="B1348" s="413"/>
      <c r="C1348" s="413" t="s">
        <v>2</v>
      </c>
      <c r="D1348" s="413"/>
      <c r="E1348" s="495" t="s">
        <v>2141</v>
      </c>
      <c r="F1348" s="430"/>
      <c r="G1348" s="1027">
        <v>1200</v>
      </c>
      <c r="H1348" s="1027">
        <v>1200</v>
      </c>
      <c r="I1348" s="1027">
        <v>1215.9000000000001</v>
      </c>
      <c r="J1348" s="1027">
        <v>1231.9000000000001</v>
      </c>
      <c r="K1348" s="589" t="s">
        <v>2142</v>
      </c>
      <c r="L1348" s="511" t="s">
        <v>2143</v>
      </c>
      <c r="M1348" s="511">
        <v>80</v>
      </c>
      <c r="N1348" s="511">
        <v>80</v>
      </c>
      <c r="O1348" s="511">
        <v>80</v>
      </c>
      <c r="P1348" s="511">
        <v>78</v>
      </c>
      <c r="Q1348" s="511">
        <v>81</v>
      </c>
    </row>
    <row r="1349" spans="2:17" ht="45" x14ac:dyDescent="0.25">
      <c r="B1349" s="413"/>
      <c r="C1349" s="413" t="s">
        <v>3</v>
      </c>
      <c r="D1349" s="413"/>
      <c r="E1349" s="495" t="s">
        <v>2144</v>
      </c>
      <c r="F1349" s="430"/>
      <c r="G1349" s="1027">
        <v>1200</v>
      </c>
      <c r="H1349" s="1027">
        <v>1200</v>
      </c>
      <c r="I1349" s="1027">
        <v>1215.8</v>
      </c>
      <c r="J1349" s="1027">
        <v>1231.8</v>
      </c>
      <c r="K1349" s="495" t="s">
        <v>2145</v>
      </c>
      <c r="L1349" s="511" t="s">
        <v>2135</v>
      </c>
      <c r="M1349" s="511" t="s">
        <v>2136</v>
      </c>
      <c r="N1349" s="330" t="s">
        <v>2137</v>
      </c>
      <c r="O1349" s="330" t="s">
        <v>2138</v>
      </c>
      <c r="P1349" s="330" t="s">
        <v>2139</v>
      </c>
      <c r="Q1349" s="330" t="s">
        <v>2140</v>
      </c>
    </row>
    <row r="1350" spans="2:17" ht="28.5" x14ac:dyDescent="0.25">
      <c r="B1350" s="61">
        <v>992</v>
      </c>
      <c r="C1350" s="515"/>
      <c r="D1350" s="91"/>
      <c r="E1350" s="496" t="s">
        <v>378</v>
      </c>
      <c r="F1350" s="68">
        <v>0</v>
      </c>
      <c r="G1350" s="68">
        <f>G1351</f>
        <v>122150</v>
      </c>
      <c r="H1350" s="68">
        <f t="shared" ref="H1350:J1350" si="143">H1351</f>
        <v>229125</v>
      </c>
      <c r="I1350" s="68">
        <f t="shared" si="143"/>
        <v>0</v>
      </c>
      <c r="J1350" s="68">
        <f t="shared" si="143"/>
        <v>0</v>
      </c>
      <c r="K1350" s="495"/>
      <c r="L1350" s="511"/>
      <c r="M1350" s="511"/>
      <c r="N1350" s="330"/>
      <c r="O1350" s="330"/>
      <c r="P1350" s="330"/>
      <c r="Q1350" s="330"/>
    </row>
    <row r="1351" spans="2:17" ht="30" x14ac:dyDescent="0.25">
      <c r="B1351" s="61"/>
      <c r="C1351" s="515" t="s">
        <v>2</v>
      </c>
      <c r="D1351" s="91"/>
      <c r="E1351" s="495" t="s">
        <v>379</v>
      </c>
      <c r="F1351" s="69"/>
      <c r="G1351" s="69">
        <v>122150</v>
      </c>
      <c r="H1351" s="69">
        <v>229125</v>
      </c>
      <c r="I1351" s="69"/>
      <c r="J1351" s="69"/>
      <c r="K1351" s="495"/>
      <c r="L1351" s="511"/>
      <c r="M1351" s="511"/>
      <c r="N1351" s="330"/>
      <c r="O1351" s="330"/>
      <c r="P1351" s="330"/>
      <c r="Q1351" s="330"/>
    </row>
    <row r="1352" spans="2:17" x14ac:dyDescent="0.25">
      <c r="B1352" s="1974" t="s">
        <v>2146</v>
      </c>
      <c r="C1352" s="1975"/>
      <c r="D1352" s="1975"/>
      <c r="E1352" s="1975"/>
      <c r="F1352" s="207">
        <f>F1328+F1336+F1339+F1342+F1344+F1347</f>
        <v>839252.05599999987</v>
      </c>
      <c r="G1352" s="207">
        <f>G1328+G1336+G1339+G1342+G1344+G1347+G1350</f>
        <v>1063674</v>
      </c>
      <c r="H1352" s="207">
        <f t="shared" ref="H1352:J1352" si="144">H1328+H1336+H1339+H1342+H1344+H1347+H1350</f>
        <v>1245688.8</v>
      </c>
      <c r="I1352" s="207">
        <f t="shared" si="144"/>
        <v>1028257.6957706702</v>
      </c>
      <c r="J1352" s="207">
        <f t="shared" si="144"/>
        <v>1037972.8968977755</v>
      </c>
      <c r="K1352" s="133"/>
      <c r="L1352" s="1771"/>
      <c r="M1352" s="1771"/>
      <c r="N1352" s="1771"/>
      <c r="O1352" s="1771"/>
      <c r="P1352" s="1771"/>
      <c r="Q1352" s="1771"/>
    </row>
    <row r="1353" spans="2:17" x14ac:dyDescent="0.25">
      <c r="B1353" s="1573" t="s">
        <v>2147</v>
      </c>
      <c r="C1353" s="1573"/>
      <c r="D1353" s="1573"/>
      <c r="E1353" s="1573"/>
      <c r="F1353" s="1573"/>
      <c r="G1353" s="1573"/>
      <c r="H1353" s="1573"/>
      <c r="I1353" s="1573"/>
      <c r="J1353" s="1573"/>
      <c r="K1353" s="1573"/>
      <c r="L1353" s="1573"/>
      <c r="M1353" s="1573"/>
      <c r="N1353" s="1573"/>
      <c r="O1353" s="1573"/>
      <c r="P1353" s="1573"/>
      <c r="Q1353" s="1573"/>
    </row>
    <row r="1354" spans="2:17" ht="102" x14ac:dyDescent="0.25">
      <c r="B1354" s="1033" t="s">
        <v>2148</v>
      </c>
      <c r="C1354" s="1034"/>
      <c r="D1354" s="1035"/>
      <c r="E1354" s="1036" t="s">
        <v>2149</v>
      </c>
      <c r="F1354" s="1037">
        <f>F1355+F1356+F1357+F1358+F1360+F1362+F1366+F1367</f>
        <v>93802.3</v>
      </c>
      <c r="G1354" s="1037">
        <f t="shared" ref="G1354:J1354" si="145">G1355+G1356+G1357+G1358+G1360+G1362+G1366+G1367</f>
        <v>96134.099999999991</v>
      </c>
      <c r="H1354" s="1037">
        <f t="shared" si="145"/>
        <v>106138.8</v>
      </c>
      <c r="I1354" s="1037">
        <f t="shared" si="145"/>
        <v>96217.9</v>
      </c>
      <c r="J1354" s="1037">
        <f t="shared" si="145"/>
        <v>96405.4</v>
      </c>
      <c r="K1354" s="582" t="s">
        <v>2098</v>
      </c>
      <c r="L1354" s="1038" t="s">
        <v>14</v>
      </c>
      <c r="M1354" s="1039">
        <v>0.316</v>
      </c>
      <c r="N1354" s="1039">
        <v>0.316</v>
      </c>
      <c r="O1354" s="1039">
        <v>0.316</v>
      </c>
      <c r="P1354" s="1039">
        <v>0.316</v>
      </c>
      <c r="Q1354" s="1039">
        <v>0.316</v>
      </c>
    </row>
    <row r="1355" spans="2:17" x14ac:dyDescent="0.25">
      <c r="B1355" s="1040"/>
      <c r="C1355" s="1041">
        <v>1</v>
      </c>
      <c r="D1355" s="1042"/>
      <c r="E1355" s="1043" t="s">
        <v>205</v>
      </c>
      <c r="F1355" s="1044">
        <v>22003</v>
      </c>
      <c r="G1355" s="1044">
        <v>22550</v>
      </c>
      <c r="H1355" s="1044">
        <f>21407.8+481.7</f>
        <v>21889.5</v>
      </c>
      <c r="I1355" s="1044">
        <v>22569.599999999999</v>
      </c>
      <c r="J1355" s="1044">
        <v>22613.599999999999</v>
      </c>
      <c r="K1355" s="625" t="s">
        <v>501</v>
      </c>
      <c r="L1355" s="1045" t="s">
        <v>15</v>
      </c>
      <c r="M1355" s="1046">
        <v>0.40699999999999997</v>
      </c>
      <c r="N1355" s="1046">
        <v>0.44</v>
      </c>
      <c r="O1355" s="1046">
        <v>0.49</v>
      </c>
      <c r="P1355" s="1046">
        <v>0.53</v>
      </c>
      <c r="Q1355" s="1046">
        <v>0.56999999999999995</v>
      </c>
    </row>
    <row r="1356" spans="2:17" ht="30" x14ac:dyDescent="0.25">
      <c r="B1356" s="1047"/>
      <c r="C1356" s="1041">
        <v>2</v>
      </c>
      <c r="D1356" s="1048"/>
      <c r="E1356" s="1049" t="s">
        <v>2150</v>
      </c>
      <c r="F1356" s="1050">
        <v>3860.2</v>
      </c>
      <c r="G1356" s="1050">
        <v>3956.1</v>
      </c>
      <c r="H1356" s="1050">
        <f>5256.9+320.9</f>
        <v>5577.7999999999993</v>
      </c>
      <c r="I1356" s="1050">
        <v>3959.6</v>
      </c>
      <c r="J1356" s="1050">
        <v>3967.3</v>
      </c>
      <c r="K1356" s="625" t="s">
        <v>834</v>
      </c>
      <c r="L1356" s="1045" t="s">
        <v>14</v>
      </c>
      <c r="M1356" s="1046">
        <v>0.95199999999999996</v>
      </c>
      <c r="N1356" s="1046">
        <v>0.98</v>
      </c>
      <c r="O1356" s="1046">
        <v>0.99</v>
      </c>
      <c r="P1356" s="1046">
        <v>0.99</v>
      </c>
      <c r="Q1356" s="1046">
        <v>1</v>
      </c>
    </row>
    <row r="1357" spans="2:17" ht="60" x14ac:dyDescent="0.25">
      <c r="B1357" s="1051"/>
      <c r="C1357" s="1052">
        <v>3</v>
      </c>
      <c r="D1357" s="1053"/>
      <c r="E1357" s="1054" t="s">
        <v>262</v>
      </c>
      <c r="F1357" s="1055">
        <v>2702.1</v>
      </c>
      <c r="G1357" s="1055">
        <v>2769.3</v>
      </c>
      <c r="H1357" s="1055">
        <f>3679.8+224.6</f>
        <v>3904.4</v>
      </c>
      <c r="I1357" s="1055">
        <v>2771.7</v>
      </c>
      <c r="J1357" s="1055">
        <v>2777.1</v>
      </c>
      <c r="K1357" s="1056" t="s">
        <v>2151</v>
      </c>
      <c r="L1357" s="1057" t="s">
        <v>14</v>
      </c>
      <c r="M1357" s="1058">
        <v>0.85</v>
      </c>
      <c r="N1357" s="1058">
        <v>0.85</v>
      </c>
      <c r="O1357" s="1058">
        <v>0.9</v>
      </c>
      <c r="P1357" s="1058">
        <v>0.9</v>
      </c>
      <c r="Q1357" s="1058">
        <v>0.9</v>
      </c>
    </row>
    <row r="1358" spans="2:17" ht="30" x14ac:dyDescent="0.25">
      <c r="B1358" s="1969"/>
      <c r="C1358" s="1960">
        <v>4</v>
      </c>
      <c r="D1358" s="1971"/>
      <c r="E1358" s="1966" t="s">
        <v>241</v>
      </c>
      <c r="F1358" s="1947">
        <v>5404.2</v>
      </c>
      <c r="G1358" s="1947">
        <v>5538.6</v>
      </c>
      <c r="H1358" s="1947">
        <f>8301.3+383.5</f>
        <v>8684.7999999999993</v>
      </c>
      <c r="I1358" s="1947">
        <v>5543.4</v>
      </c>
      <c r="J1358" s="1947">
        <v>5554.2</v>
      </c>
      <c r="K1358" s="589" t="s">
        <v>2152</v>
      </c>
      <c r="L1358" s="181" t="s">
        <v>1073</v>
      </c>
      <c r="M1358" s="181">
        <v>10</v>
      </c>
      <c r="N1358" s="181">
        <v>15</v>
      </c>
      <c r="O1358" s="181">
        <v>20</v>
      </c>
      <c r="P1358" s="181">
        <v>25</v>
      </c>
      <c r="Q1358" s="181">
        <v>30</v>
      </c>
    </row>
    <row r="1359" spans="2:17" ht="30" x14ac:dyDescent="0.25">
      <c r="B1359" s="1970"/>
      <c r="C1359" s="1962"/>
      <c r="D1359" s="1972"/>
      <c r="E1359" s="1968"/>
      <c r="F1359" s="1949"/>
      <c r="G1359" s="1949"/>
      <c r="H1359" s="1949"/>
      <c r="I1359" s="1949"/>
      <c r="J1359" s="1949"/>
      <c r="K1359" s="589" t="s">
        <v>2102</v>
      </c>
      <c r="L1359" s="181" t="s">
        <v>2153</v>
      </c>
      <c r="M1359" s="181" t="s">
        <v>2154</v>
      </c>
      <c r="N1359" s="181" t="s">
        <v>2155</v>
      </c>
      <c r="O1359" s="181" t="s">
        <v>2156</v>
      </c>
      <c r="P1359" s="181" t="s">
        <v>2157</v>
      </c>
      <c r="Q1359" s="181" t="s">
        <v>2158</v>
      </c>
    </row>
    <row r="1360" spans="2:17" x14ac:dyDescent="0.25">
      <c r="B1360" s="1969"/>
      <c r="C1360" s="1960"/>
      <c r="D1360" s="1971"/>
      <c r="E1360" s="1966" t="s">
        <v>2159</v>
      </c>
      <c r="F1360" s="1947">
        <v>1544.1</v>
      </c>
      <c r="G1360" s="1947">
        <v>1582.5</v>
      </c>
      <c r="H1360" s="1947"/>
      <c r="I1360" s="1947">
        <v>1583.8</v>
      </c>
      <c r="J1360" s="1947">
        <v>1586.9</v>
      </c>
      <c r="K1360" s="1850" t="s">
        <v>2160</v>
      </c>
      <c r="L1360" s="1953" t="s">
        <v>108</v>
      </c>
      <c r="M1360" s="1953">
        <v>12.4</v>
      </c>
      <c r="N1360" s="1955">
        <v>14</v>
      </c>
      <c r="O1360" s="1955">
        <v>15</v>
      </c>
      <c r="P1360" s="1955">
        <v>16</v>
      </c>
      <c r="Q1360" s="1955">
        <v>17</v>
      </c>
    </row>
    <row r="1361" spans="2:17" x14ac:dyDescent="0.25">
      <c r="B1361" s="1970"/>
      <c r="C1361" s="1962"/>
      <c r="D1361" s="1972"/>
      <c r="E1361" s="1968"/>
      <c r="F1361" s="1949"/>
      <c r="G1361" s="1949"/>
      <c r="H1361" s="1949"/>
      <c r="I1361" s="1949"/>
      <c r="J1361" s="1949"/>
      <c r="K1361" s="1851"/>
      <c r="L1361" s="1954"/>
      <c r="M1361" s="1954"/>
      <c r="N1361" s="1956"/>
      <c r="O1361" s="1956"/>
      <c r="P1361" s="1956"/>
      <c r="Q1361" s="1956"/>
    </row>
    <row r="1362" spans="2:17" ht="30" x14ac:dyDescent="0.25">
      <c r="B1362" s="1957"/>
      <c r="C1362" s="1960">
        <v>5</v>
      </c>
      <c r="D1362" s="1963"/>
      <c r="E1362" s="1966" t="s">
        <v>1964</v>
      </c>
      <c r="F1362" s="1947">
        <f>386+1158.1</f>
        <v>1544.1</v>
      </c>
      <c r="G1362" s="1947">
        <f>395.6+1186.8</f>
        <v>1582.4</v>
      </c>
      <c r="H1362" s="1947">
        <f>2102.6+128.4</f>
        <v>2231</v>
      </c>
      <c r="I1362" s="1947">
        <f>396+1187.9</f>
        <v>1583.9</v>
      </c>
      <c r="J1362" s="1947">
        <f>396.7+1190.2</f>
        <v>1586.9</v>
      </c>
      <c r="K1362" s="589" t="s">
        <v>2161</v>
      </c>
      <c r="L1362" s="181" t="s">
        <v>1073</v>
      </c>
      <c r="M1362" s="181">
        <v>15</v>
      </c>
      <c r="N1362" s="181">
        <v>17</v>
      </c>
      <c r="O1362" s="181">
        <v>19</v>
      </c>
      <c r="P1362" s="181">
        <v>21</v>
      </c>
      <c r="Q1362" s="181">
        <v>25</v>
      </c>
    </row>
    <row r="1363" spans="2:17" ht="45" x14ac:dyDescent="0.25">
      <c r="B1363" s="1958"/>
      <c r="C1363" s="1961"/>
      <c r="D1363" s="1964"/>
      <c r="E1363" s="1967"/>
      <c r="F1363" s="1948"/>
      <c r="G1363" s="1948"/>
      <c r="H1363" s="1948"/>
      <c r="I1363" s="1948"/>
      <c r="J1363" s="1948"/>
      <c r="K1363" s="589" t="s">
        <v>2162</v>
      </c>
      <c r="L1363" s="181" t="s">
        <v>1073</v>
      </c>
      <c r="M1363" s="181">
        <v>100</v>
      </c>
      <c r="N1363" s="181">
        <v>106</v>
      </c>
      <c r="O1363" s="181">
        <v>109</v>
      </c>
      <c r="P1363" s="181">
        <v>111</v>
      </c>
      <c r="Q1363" s="181">
        <v>115</v>
      </c>
    </row>
    <row r="1364" spans="2:17" ht="75" x14ac:dyDescent="0.25">
      <c r="B1364" s="1958"/>
      <c r="C1364" s="1961"/>
      <c r="D1364" s="1964"/>
      <c r="E1364" s="1967"/>
      <c r="F1364" s="1948"/>
      <c r="G1364" s="1948"/>
      <c r="H1364" s="1948"/>
      <c r="I1364" s="1948"/>
      <c r="J1364" s="1948"/>
      <c r="K1364" s="589" t="s">
        <v>2163</v>
      </c>
      <c r="L1364" s="181" t="s">
        <v>1073</v>
      </c>
      <c r="M1364" s="181">
        <v>75</v>
      </c>
      <c r="N1364" s="181">
        <v>81</v>
      </c>
      <c r="O1364" s="181">
        <v>88</v>
      </c>
      <c r="P1364" s="181">
        <v>91</v>
      </c>
      <c r="Q1364" s="181">
        <v>99</v>
      </c>
    </row>
    <row r="1365" spans="2:17" x14ac:dyDescent="0.25">
      <c r="B1365" s="1959"/>
      <c r="C1365" s="1962"/>
      <c r="D1365" s="1965"/>
      <c r="E1365" s="1968"/>
      <c r="F1365" s="1949"/>
      <c r="G1365" s="1949"/>
      <c r="H1365" s="1949"/>
      <c r="I1365" s="1949"/>
      <c r="J1365" s="1949"/>
      <c r="K1365" s="589" t="s">
        <v>2164</v>
      </c>
      <c r="L1365" s="181" t="s">
        <v>1073</v>
      </c>
      <c r="M1365" s="181">
        <v>0</v>
      </c>
      <c r="N1365" s="181">
        <v>1</v>
      </c>
      <c r="O1365" s="181">
        <v>1</v>
      </c>
      <c r="P1365" s="181">
        <v>0</v>
      </c>
      <c r="Q1365" s="181">
        <v>0</v>
      </c>
    </row>
    <row r="1366" spans="2:17" ht="60" x14ac:dyDescent="0.25">
      <c r="B1366" s="1059"/>
      <c r="C1366" s="1060">
        <v>6</v>
      </c>
      <c r="D1366" s="1061"/>
      <c r="E1366" s="589" t="s">
        <v>345</v>
      </c>
      <c r="F1366" s="1062">
        <v>50954.3</v>
      </c>
      <c r="G1366" s="1062">
        <v>52221</v>
      </c>
      <c r="H1366" s="1062">
        <f>55081.1+1962.5</f>
        <v>57043.6</v>
      </c>
      <c r="I1366" s="1062">
        <v>52266.5</v>
      </c>
      <c r="J1366" s="1062">
        <v>52368.4</v>
      </c>
      <c r="K1366" s="589" t="s">
        <v>2165</v>
      </c>
      <c r="L1366" s="181" t="s">
        <v>14</v>
      </c>
      <c r="M1366" s="172">
        <v>0.17</v>
      </c>
      <c r="N1366" s="172">
        <v>0.17</v>
      </c>
      <c r="O1366" s="172">
        <v>0.17</v>
      </c>
      <c r="P1366" s="172">
        <v>0.17</v>
      </c>
      <c r="Q1366" s="172">
        <v>0.17</v>
      </c>
    </row>
    <row r="1367" spans="2:17" ht="150" x14ac:dyDescent="0.25">
      <c r="B1367" s="1059"/>
      <c r="C1367" s="1060">
        <v>7</v>
      </c>
      <c r="D1367" s="1061"/>
      <c r="E1367" s="589" t="s">
        <v>2166</v>
      </c>
      <c r="F1367" s="1063">
        <v>5790.3</v>
      </c>
      <c r="G1367" s="1063">
        <v>5934.2</v>
      </c>
      <c r="H1367" s="1063">
        <f>6546.4+261.3</f>
        <v>6807.7</v>
      </c>
      <c r="I1367" s="1063">
        <v>5939.4</v>
      </c>
      <c r="J1367" s="1063">
        <v>5951</v>
      </c>
      <c r="K1367" s="589" t="s">
        <v>2167</v>
      </c>
      <c r="L1367" s="181" t="s">
        <v>108</v>
      </c>
      <c r="M1367" s="181">
        <v>82.6</v>
      </c>
      <c r="N1367" s="181">
        <v>100</v>
      </c>
      <c r="O1367" s="181">
        <v>100</v>
      </c>
      <c r="P1367" s="181">
        <v>100</v>
      </c>
      <c r="Q1367" s="181">
        <v>100</v>
      </c>
    </row>
    <row r="1368" spans="2:17" ht="58.5" x14ac:dyDescent="0.25">
      <c r="B1368" s="1064" t="s">
        <v>98</v>
      </c>
      <c r="C1368" s="1065"/>
      <c r="D1368" s="1065"/>
      <c r="E1368" s="486" t="s">
        <v>2168</v>
      </c>
      <c r="F1368" s="1066">
        <f>F1369+F1377+F1383+F1390</f>
        <v>71027.200000000012</v>
      </c>
      <c r="G1368" s="1066">
        <f t="shared" ref="G1368:J1368" si="146">G1369+G1377+G1383+G1390</f>
        <v>72792.899999999994</v>
      </c>
      <c r="H1368" s="1066">
        <f t="shared" si="146"/>
        <v>71659.700000000012</v>
      </c>
      <c r="I1368" s="1066">
        <f t="shared" si="146"/>
        <v>72856.399999999994</v>
      </c>
      <c r="J1368" s="1066">
        <f t="shared" si="146"/>
        <v>72998.400000000009</v>
      </c>
      <c r="K1368" s="582" t="s">
        <v>2169</v>
      </c>
      <c r="L1368" s="1067" t="s">
        <v>1974</v>
      </c>
      <c r="M1368" s="1067">
        <v>61</v>
      </c>
      <c r="N1368" s="1067">
        <v>51</v>
      </c>
      <c r="O1368" s="1067">
        <v>51</v>
      </c>
      <c r="P1368" s="1067">
        <v>40</v>
      </c>
      <c r="Q1368" s="1067">
        <v>40</v>
      </c>
    </row>
    <row r="1369" spans="2:17" ht="45" x14ac:dyDescent="0.25">
      <c r="B1369" s="1938"/>
      <c r="C1369" s="1941" t="s">
        <v>2</v>
      </c>
      <c r="D1369" s="1941"/>
      <c r="E1369" s="1950" t="s">
        <v>2170</v>
      </c>
      <c r="F1369" s="1947">
        <v>40145.800000000003</v>
      </c>
      <c r="G1369" s="1947">
        <v>41143.800000000003</v>
      </c>
      <c r="H1369" s="1947">
        <v>38581.4</v>
      </c>
      <c r="I1369" s="1947">
        <v>41179.699999999997</v>
      </c>
      <c r="J1369" s="1947">
        <v>41260</v>
      </c>
      <c r="K1369" s="719" t="s">
        <v>2171</v>
      </c>
      <c r="L1369" s="181" t="s">
        <v>1073</v>
      </c>
      <c r="M1369" s="181">
        <v>293</v>
      </c>
      <c r="N1369" s="181">
        <v>140</v>
      </c>
      <c r="O1369" s="181">
        <v>150</v>
      </c>
      <c r="P1369" s="181">
        <v>315</v>
      </c>
      <c r="Q1369" s="181">
        <v>320</v>
      </c>
    </row>
    <row r="1370" spans="2:17" x14ac:dyDescent="0.25">
      <c r="B1370" s="1939"/>
      <c r="C1370" s="1942"/>
      <c r="D1370" s="1942"/>
      <c r="E1370" s="1951"/>
      <c r="F1370" s="1948"/>
      <c r="G1370" s="1948"/>
      <c r="H1370" s="1948"/>
      <c r="I1370" s="1948"/>
      <c r="J1370" s="1948"/>
      <c r="K1370" s="589" t="s">
        <v>2172</v>
      </c>
      <c r="L1370" s="181" t="s">
        <v>1073</v>
      </c>
      <c r="M1370" s="181">
        <v>3170</v>
      </c>
      <c r="N1370" s="181">
        <v>1800</v>
      </c>
      <c r="O1370" s="181">
        <v>2000</v>
      </c>
      <c r="P1370" s="181">
        <v>3070</v>
      </c>
      <c r="Q1370" s="181">
        <v>3090</v>
      </c>
    </row>
    <row r="1371" spans="2:17" ht="30" x14ac:dyDescent="0.25">
      <c r="B1371" s="1939"/>
      <c r="C1371" s="1942"/>
      <c r="D1371" s="1942"/>
      <c r="E1371" s="1951"/>
      <c r="F1371" s="1948"/>
      <c r="G1371" s="1948"/>
      <c r="H1371" s="1948"/>
      <c r="I1371" s="1948"/>
      <c r="J1371" s="1948"/>
      <c r="K1371" s="589" t="s">
        <v>2173</v>
      </c>
      <c r="L1371" s="181" t="s">
        <v>14</v>
      </c>
      <c r="M1371" s="173">
        <v>0.56999999999999995</v>
      </c>
      <c r="N1371" s="173">
        <v>0.3</v>
      </c>
      <c r="O1371" s="173">
        <v>0.3</v>
      </c>
      <c r="P1371" s="173">
        <v>0.5</v>
      </c>
      <c r="Q1371" s="173">
        <v>0.55000000000000004</v>
      </c>
    </row>
    <row r="1372" spans="2:17" ht="45" x14ac:dyDescent="0.25">
      <c r="B1372" s="1939"/>
      <c r="C1372" s="1942"/>
      <c r="D1372" s="1942"/>
      <c r="E1372" s="1951"/>
      <c r="F1372" s="1948"/>
      <c r="G1372" s="1948"/>
      <c r="H1372" s="1948"/>
      <c r="I1372" s="1948"/>
      <c r="J1372" s="1948"/>
      <c r="K1372" s="589" t="s">
        <v>2174</v>
      </c>
      <c r="L1372" s="181" t="s">
        <v>1073</v>
      </c>
      <c r="M1372" s="181">
        <v>2465</v>
      </c>
      <c r="N1372" s="181">
        <v>800</v>
      </c>
      <c r="O1372" s="181">
        <v>900</v>
      </c>
      <c r="P1372" s="181">
        <v>1500</v>
      </c>
      <c r="Q1372" s="181">
        <v>1600</v>
      </c>
    </row>
    <row r="1373" spans="2:17" ht="30" x14ac:dyDescent="0.25">
      <c r="B1373" s="1939"/>
      <c r="C1373" s="1942"/>
      <c r="D1373" s="1942"/>
      <c r="E1373" s="1951"/>
      <c r="F1373" s="1948"/>
      <c r="G1373" s="1948"/>
      <c r="H1373" s="1948"/>
      <c r="I1373" s="1948"/>
      <c r="J1373" s="1948"/>
      <c r="K1373" s="589" t="s">
        <v>2175</v>
      </c>
      <c r="L1373" s="181" t="s">
        <v>14</v>
      </c>
      <c r="M1373" s="172">
        <v>0.72</v>
      </c>
      <c r="N1373" s="172">
        <v>0.71</v>
      </c>
      <c r="O1373" s="172">
        <v>0.7</v>
      </c>
      <c r="P1373" s="172">
        <v>0.68</v>
      </c>
      <c r="Q1373" s="172">
        <v>0.67</v>
      </c>
    </row>
    <row r="1374" spans="2:17" ht="45" x14ac:dyDescent="0.25">
      <c r="B1374" s="1939"/>
      <c r="C1374" s="1942"/>
      <c r="D1374" s="1942"/>
      <c r="E1374" s="1951"/>
      <c r="F1374" s="1948"/>
      <c r="G1374" s="1948"/>
      <c r="H1374" s="1948"/>
      <c r="I1374" s="1948"/>
      <c r="J1374" s="1948"/>
      <c r="K1374" s="589" t="s">
        <v>2176</v>
      </c>
      <c r="L1374" s="181" t="s">
        <v>14</v>
      </c>
      <c r="M1374" s="172">
        <v>0.61</v>
      </c>
      <c r="N1374" s="172">
        <v>0.61</v>
      </c>
      <c r="O1374" s="172">
        <v>0.6</v>
      </c>
      <c r="P1374" s="172">
        <v>0.56999999999999995</v>
      </c>
      <c r="Q1374" s="172">
        <v>0.55000000000000004</v>
      </c>
    </row>
    <row r="1375" spans="2:17" ht="60" x14ac:dyDescent="0.25">
      <c r="B1375" s="1939"/>
      <c r="C1375" s="1942"/>
      <c r="D1375" s="1942"/>
      <c r="E1375" s="1951"/>
      <c r="F1375" s="1948"/>
      <c r="G1375" s="1948"/>
      <c r="H1375" s="1948"/>
      <c r="I1375" s="1948"/>
      <c r="J1375" s="1948"/>
      <c r="K1375" s="589" t="s">
        <v>2177</v>
      </c>
      <c r="L1375" s="181" t="s">
        <v>14</v>
      </c>
      <c r="M1375" s="172">
        <v>0.92</v>
      </c>
      <c r="N1375" s="172">
        <v>0.93</v>
      </c>
      <c r="O1375" s="172">
        <v>0.94</v>
      </c>
      <c r="P1375" s="172">
        <v>0.94</v>
      </c>
      <c r="Q1375" s="172">
        <v>0.94</v>
      </c>
    </row>
    <row r="1376" spans="2:17" ht="60" x14ac:dyDescent="0.25">
      <c r="B1376" s="1940"/>
      <c r="C1376" s="1943"/>
      <c r="D1376" s="1943"/>
      <c r="E1376" s="1952"/>
      <c r="F1376" s="1949"/>
      <c r="G1376" s="1949"/>
      <c r="H1376" s="1949"/>
      <c r="I1376" s="1949"/>
      <c r="J1376" s="1949"/>
      <c r="K1376" s="589" t="s">
        <v>2178</v>
      </c>
      <c r="L1376" s="181" t="s">
        <v>14</v>
      </c>
      <c r="M1376" s="1068">
        <v>0.93</v>
      </c>
      <c r="N1376" s="1068">
        <v>0.93</v>
      </c>
      <c r="O1376" s="1068">
        <v>0.94</v>
      </c>
      <c r="P1376" s="1068">
        <v>0.95</v>
      </c>
      <c r="Q1376" s="1068">
        <v>0.95</v>
      </c>
    </row>
    <row r="1377" spans="2:17" ht="45" x14ac:dyDescent="0.25">
      <c r="B1377" s="1938"/>
      <c r="C1377" s="1941" t="s">
        <v>3</v>
      </c>
      <c r="D1377" s="1941"/>
      <c r="E1377" s="1950" t="s">
        <v>2179</v>
      </c>
      <c r="F1377" s="1947">
        <v>8492.4</v>
      </c>
      <c r="G1377" s="1947">
        <v>8703.5</v>
      </c>
      <c r="H1377" s="1947">
        <v>9604.2000000000007</v>
      </c>
      <c r="I1377" s="1947">
        <v>8711.1</v>
      </c>
      <c r="J1377" s="1947">
        <v>8728.1</v>
      </c>
      <c r="K1377" s="589" t="s">
        <v>2180</v>
      </c>
      <c r="L1377" s="181" t="s">
        <v>1073</v>
      </c>
      <c r="M1377" s="181">
        <v>2273</v>
      </c>
      <c r="N1377" s="181">
        <v>870</v>
      </c>
      <c r="O1377" s="181">
        <v>800</v>
      </c>
      <c r="P1377" s="181">
        <v>1500</v>
      </c>
      <c r="Q1377" s="181">
        <v>1700</v>
      </c>
    </row>
    <row r="1378" spans="2:17" x14ac:dyDescent="0.25">
      <c r="B1378" s="1939"/>
      <c r="C1378" s="1942"/>
      <c r="D1378" s="1942"/>
      <c r="E1378" s="1951"/>
      <c r="F1378" s="1948"/>
      <c r="G1378" s="1948"/>
      <c r="H1378" s="1948"/>
      <c r="I1378" s="1948"/>
      <c r="J1378" s="1948"/>
      <c r="K1378" s="589" t="s">
        <v>2172</v>
      </c>
      <c r="L1378" s="181" t="s">
        <v>1073</v>
      </c>
      <c r="M1378" s="181">
        <v>638</v>
      </c>
      <c r="N1378" s="181">
        <v>450</v>
      </c>
      <c r="O1378" s="181">
        <v>490</v>
      </c>
      <c r="P1378" s="181">
        <v>680</v>
      </c>
      <c r="Q1378" s="181">
        <v>700</v>
      </c>
    </row>
    <row r="1379" spans="2:17" ht="30" x14ac:dyDescent="0.25">
      <c r="B1379" s="1939"/>
      <c r="C1379" s="1942"/>
      <c r="D1379" s="1942"/>
      <c r="E1379" s="1951"/>
      <c r="F1379" s="1948"/>
      <c r="G1379" s="1948"/>
      <c r="H1379" s="1948"/>
      <c r="I1379" s="1948"/>
      <c r="J1379" s="1948"/>
      <c r="K1379" s="589" t="s">
        <v>2173</v>
      </c>
      <c r="L1379" s="181" t="s">
        <v>14</v>
      </c>
      <c r="M1379" s="172">
        <v>0.3</v>
      </c>
      <c r="N1379" s="172">
        <v>0.1</v>
      </c>
      <c r="O1379" s="172">
        <v>0.15</v>
      </c>
      <c r="P1379" s="172">
        <v>0.35</v>
      </c>
      <c r="Q1379" s="172">
        <v>0.4</v>
      </c>
    </row>
    <row r="1380" spans="2:17" ht="45" x14ac:dyDescent="0.25">
      <c r="B1380" s="1939"/>
      <c r="C1380" s="1942"/>
      <c r="D1380" s="1942"/>
      <c r="E1380" s="1951"/>
      <c r="F1380" s="1948"/>
      <c r="G1380" s="1948"/>
      <c r="H1380" s="1948"/>
      <c r="I1380" s="1948"/>
      <c r="J1380" s="1948"/>
      <c r="K1380" s="589" t="s">
        <v>2174</v>
      </c>
      <c r="L1380" s="181" t="s">
        <v>1073</v>
      </c>
      <c r="M1380" s="181">
        <v>1600</v>
      </c>
      <c r="N1380" s="181">
        <v>450</v>
      </c>
      <c r="O1380" s="181">
        <v>400</v>
      </c>
      <c r="P1380" s="181">
        <v>750</v>
      </c>
      <c r="Q1380" s="181">
        <v>850</v>
      </c>
    </row>
    <row r="1381" spans="2:17" ht="60" x14ac:dyDescent="0.25">
      <c r="B1381" s="1939"/>
      <c r="C1381" s="1942"/>
      <c r="D1381" s="1942"/>
      <c r="E1381" s="1951"/>
      <c r="F1381" s="1948"/>
      <c r="G1381" s="1948"/>
      <c r="H1381" s="1948"/>
      <c r="I1381" s="1948"/>
      <c r="J1381" s="1948"/>
      <c r="K1381" s="589" t="s">
        <v>2177</v>
      </c>
      <c r="L1381" s="181" t="s">
        <v>14</v>
      </c>
      <c r="M1381" s="172">
        <v>0.88</v>
      </c>
      <c r="N1381" s="172">
        <v>0.4</v>
      </c>
      <c r="O1381" s="172">
        <v>0.45</v>
      </c>
      <c r="P1381" s="172">
        <v>0.75</v>
      </c>
      <c r="Q1381" s="172">
        <v>0.8</v>
      </c>
    </row>
    <row r="1382" spans="2:17" ht="60" x14ac:dyDescent="0.25">
      <c r="B1382" s="1940"/>
      <c r="C1382" s="1943"/>
      <c r="D1382" s="1943"/>
      <c r="E1382" s="1952"/>
      <c r="F1382" s="1948"/>
      <c r="G1382" s="1948"/>
      <c r="H1382" s="1948"/>
      <c r="I1382" s="1948"/>
      <c r="J1382" s="1948"/>
      <c r="K1382" s="589" t="s">
        <v>2178</v>
      </c>
      <c r="L1382" s="1069" t="s">
        <v>14</v>
      </c>
      <c r="M1382" s="1068">
        <v>0.9</v>
      </c>
      <c r="N1382" s="1068">
        <v>0.4</v>
      </c>
      <c r="O1382" s="1068">
        <v>0.45</v>
      </c>
      <c r="P1382" s="1068">
        <v>0.75</v>
      </c>
      <c r="Q1382" s="1068">
        <v>0.8</v>
      </c>
    </row>
    <row r="1383" spans="2:17" ht="60" x14ac:dyDescent="0.25">
      <c r="B1383" s="1938"/>
      <c r="C1383" s="1941" t="s">
        <v>4</v>
      </c>
      <c r="D1383" s="1944"/>
      <c r="E1383" s="1832" t="s">
        <v>2181</v>
      </c>
      <c r="F1383" s="1947">
        <v>19300.900000000001</v>
      </c>
      <c r="G1383" s="1947">
        <v>19780.7</v>
      </c>
      <c r="H1383" s="1947">
        <v>19215.599999999999</v>
      </c>
      <c r="I1383" s="1947">
        <v>19797.900000000001</v>
      </c>
      <c r="J1383" s="1947">
        <v>19836.5</v>
      </c>
      <c r="K1383" s="589" t="s">
        <v>2182</v>
      </c>
      <c r="L1383" s="181" t="s">
        <v>1638</v>
      </c>
      <c r="M1383" s="1070">
        <v>292974.95</v>
      </c>
      <c r="N1383" s="1070">
        <v>292974.95</v>
      </c>
      <c r="O1383" s="1070">
        <v>292974.95</v>
      </c>
      <c r="P1383" s="1070">
        <v>292974.95</v>
      </c>
      <c r="Q1383" s="1070">
        <v>292974.95</v>
      </c>
    </row>
    <row r="1384" spans="2:17" x14ac:dyDescent="0.25">
      <c r="B1384" s="1939"/>
      <c r="C1384" s="1942"/>
      <c r="D1384" s="1945"/>
      <c r="E1384" s="1921"/>
      <c r="F1384" s="1948"/>
      <c r="G1384" s="1948"/>
      <c r="H1384" s="1948"/>
      <c r="I1384" s="1948"/>
      <c r="J1384" s="1948"/>
      <c r="K1384" s="628" t="s">
        <v>2172</v>
      </c>
      <c r="L1384" s="1071" t="s">
        <v>1073</v>
      </c>
      <c r="M1384" s="1071">
        <v>1515</v>
      </c>
      <c r="N1384" s="1071">
        <v>344</v>
      </c>
      <c r="O1384" s="1071">
        <v>350</v>
      </c>
      <c r="P1384" s="1071">
        <v>350</v>
      </c>
      <c r="Q1384" s="1071">
        <v>350</v>
      </c>
    </row>
    <row r="1385" spans="2:17" ht="30" x14ac:dyDescent="0.25">
      <c r="B1385" s="1939"/>
      <c r="C1385" s="1942"/>
      <c r="D1385" s="1945"/>
      <c r="E1385" s="1921"/>
      <c r="F1385" s="1948"/>
      <c r="G1385" s="1948"/>
      <c r="H1385" s="1948"/>
      <c r="I1385" s="1948"/>
      <c r="J1385" s="1948"/>
      <c r="K1385" s="589" t="s">
        <v>2173</v>
      </c>
      <c r="L1385" s="181" t="s">
        <v>14</v>
      </c>
      <c r="M1385" s="172">
        <v>0.7</v>
      </c>
      <c r="N1385" s="172">
        <v>0.33</v>
      </c>
      <c r="O1385" s="172">
        <v>0.38500000000000001</v>
      </c>
      <c r="P1385" s="172">
        <v>0.38500000000000001</v>
      </c>
      <c r="Q1385" s="172">
        <v>0.38500000000000001</v>
      </c>
    </row>
    <row r="1386" spans="2:17" ht="45" x14ac:dyDescent="0.25">
      <c r="B1386" s="1939"/>
      <c r="C1386" s="1942"/>
      <c r="D1386" s="1945"/>
      <c r="E1386" s="1921"/>
      <c r="F1386" s="1948"/>
      <c r="G1386" s="1948"/>
      <c r="H1386" s="1948"/>
      <c r="I1386" s="1948"/>
      <c r="J1386" s="1948"/>
      <c r="K1386" s="589" t="s">
        <v>2183</v>
      </c>
      <c r="L1386" s="181" t="s">
        <v>14</v>
      </c>
      <c r="M1386" s="172">
        <v>0.33</v>
      </c>
      <c r="N1386" s="172">
        <v>0.39</v>
      </c>
      <c r="O1386" s="172">
        <v>0.42</v>
      </c>
      <c r="P1386" s="172">
        <v>0.45</v>
      </c>
      <c r="Q1386" s="172">
        <v>0.49</v>
      </c>
    </row>
    <row r="1387" spans="2:17" ht="45" x14ac:dyDescent="0.25">
      <c r="B1387" s="1939"/>
      <c r="C1387" s="1942"/>
      <c r="D1387" s="1945"/>
      <c r="E1387" s="1921"/>
      <c r="F1387" s="1948"/>
      <c r="G1387" s="1948"/>
      <c r="H1387" s="1948"/>
      <c r="I1387" s="1948"/>
      <c r="J1387" s="1948"/>
      <c r="K1387" s="589" t="s">
        <v>2184</v>
      </c>
      <c r="L1387" s="181" t="s">
        <v>14</v>
      </c>
      <c r="M1387" s="172">
        <v>0.5</v>
      </c>
      <c r="N1387" s="172">
        <v>0.48</v>
      </c>
      <c r="O1387" s="172">
        <v>0.45</v>
      </c>
      <c r="P1387" s="172">
        <v>0.46</v>
      </c>
      <c r="Q1387" s="172">
        <v>0.45</v>
      </c>
    </row>
    <row r="1388" spans="2:17" ht="60" x14ac:dyDescent="0.25">
      <c r="B1388" s="1939"/>
      <c r="C1388" s="1942"/>
      <c r="D1388" s="1945"/>
      <c r="E1388" s="1921"/>
      <c r="F1388" s="1948"/>
      <c r="G1388" s="1948"/>
      <c r="H1388" s="1948"/>
      <c r="I1388" s="1948"/>
      <c r="J1388" s="1948"/>
      <c r="K1388" s="589" t="s">
        <v>2177</v>
      </c>
      <c r="L1388" s="181" t="s">
        <v>14</v>
      </c>
      <c r="M1388" s="172">
        <v>0.94299999999999995</v>
      </c>
      <c r="N1388" s="172">
        <v>0.94299999999999995</v>
      </c>
      <c r="O1388" s="172">
        <v>0.94699999999999995</v>
      </c>
      <c r="P1388" s="172">
        <v>0.94699999999999995</v>
      </c>
      <c r="Q1388" s="172">
        <v>0.94699999999999995</v>
      </c>
    </row>
    <row r="1389" spans="2:17" ht="60" x14ac:dyDescent="0.25">
      <c r="B1389" s="1940"/>
      <c r="C1389" s="1943"/>
      <c r="D1389" s="1946"/>
      <c r="E1389" s="1833"/>
      <c r="F1389" s="1949"/>
      <c r="G1389" s="1949"/>
      <c r="H1389" s="1949"/>
      <c r="I1389" s="1949"/>
      <c r="J1389" s="1949"/>
      <c r="K1389" s="589" t="s">
        <v>2178</v>
      </c>
      <c r="L1389" s="181" t="s">
        <v>14</v>
      </c>
      <c r="M1389" s="1068">
        <v>0.93300000000000005</v>
      </c>
      <c r="N1389" s="172">
        <v>0.93400000000000005</v>
      </c>
      <c r="O1389" s="1068">
        <v>0.93500000000000005</v>
      </c>
      <c r="P1389" s="1068">
        <v>0.93500000000000005</v>
      </c>
      <c r="Q1389" s="1068">
        <v>0.93700000000000006</v>
      </c>
    </row>
    <row r="1390" spans="2:17" x14ac:dyDescent="0.25">
      <c r="B1390" s="1931"/>
      <c r="C1390" s="1932" t="s">
        <v>5</v>
      </c>
      <c r="D1390" s="1933"/>
      <c r="E1390" s="1934" t="s">
        <v>2185</v>
      </c>
      <c r="F1390" s="1937">
        <v>3088.1</v>
      </c>
      <c r="G1390" s="1937">
        <v>3164.9</v>
      </c>
      <c r="H1390" s="1937">
        <v>4258.5</v>
      </c>
      <c r="I1390" s="1937">
        <v>3167.7</v>
      </c>
      <c r="J1390" s="1937">
        <v>3173.8</v>
      </c>
      <c r="K1390" s="628" t="s">
        <v>2172</v>
      </c>
      <c r="L1390" s="1072" t="s">
        <v>1073</v>
      </c>
      <c r="M1390" s="1073">
        <v>57</v>
      </c>
      <c r="N1390" s="1073">
        <v>30</v>
      </c>
      <c r="O1390" s="1073">
        <v>40</v>
      </c>
      <c r="P1390" s="1073">
        <v>60</v>
      </c>
      <c r="Q1390" s="1073">
        <v>64</v>
      </c>
    </row>
    <row r="1391" spans="2:17" ht="30" x14ac:dyDescent="0.25">
      <c r="B1391" s="1931"/>
      <c r="C1391" s="1932"/>
      <c r="D1391" s="1933"/>
      <c r="E1391" s="1935"/>
      <c r="F1391" s="1937"/>
      <c r="G1391" s="1937"/>
      <c r="H1391" s="1937"/>
      <c r="I1391" s="1937"/>
      <c r="J1391" s="1937"/>
      <c r="K1391" s="589" t="s">
        <v>2173</v>
      </c>
      <c r="L1391" s="1073" t="s">
        <v>14</v>
      </c>
      <c r="M1391" s="1074">
        <v>0.64</v>
      </c>
      <c r="N1391" s="1074">
        <v>0.35</v>
      </c>
      <c r="O1391" s="1074">
        <v>0.5</v>
      </c>
      <c r="P1391" s="1074">
        <v>0.66</v>
      </c>
      <c r="Q1391" s="1074">
        <v>0.7</v>
      </c>
    </row>
    <row r="1392" spans="2:17" ht="60" x14ac:dyDescent="0.25">
      <c r="B1392" s="1931"/>
      <c r="C1392" s="1932"/>
      <c r="D1392" s="1933"/>
      <c r="E1392" s="1935"/>
      <c r="F1392" s="1937"/>
      <c r="G1392" s="1937"/>
      <c r="H1392" s="1937"/>
      <c r="I1392" s="1937"/>
      <c r="J1392" s="1937"/>
      <c r="K1392" s="589" t="s">
        <v>2177</v>
      </c>
      <c r="L1392" s="1073" t="s">
        <v>14</v>
      </c>
      <c r="M1392" s="1075">
        <v>1</v>
      </c>
      <c r="N1392" s="1075">
        <v>0.9</v>
      </c>
      <c r="O1392" s="1075">
        <v>0.91</v>
      </c>
      <c r="P1392" s="1075">
        <v>0.93</v>
      </c>
      <c r="Q1392" s="1075">
        <v>0.95</v>
      </c>
    </row>
    <row r="1393" spans="2:17" ht="60" x14ac:dyDescent="0.25">
      <c r="B1393" s="1931"/>
      <c r="C1393" s="1932"/>
      <c r="D1393" s="1933"/>
      <c r="E1393" s="1935"/>
      <c r="F1393" s="1937"/>
      <c r="G1393" s="1937"/>
      <c r="H1393" s="1937"/>
      <c r="I1393" s="1937"/>
      <c r="J1393" s="1937"/>
      <c r="K1393" s="589" t="s">
        <v>2178</v>
      </c>
      <c r="L1393" s="1073" t="s">
        <v>14</v>
      </c>
      <c r="M1393" s="1075">
        <v>1</v>
      </c>
      <c r="N1393" s="1075">
        <v>0.88</v>
      </c>
      <c r="O1393" s="1075">
        <v>0.9</v>
      </c>
      <c r="P1393" s="1075">
        <v>0.92</v>
      </c>
      <c r="Q1393" s="1075">
        <v>0.94</v>
      </c>
    </row>
    <row r="1394" spans="2:17" ht="45" x14ac:dyDescent="0.25">
      <c r="B1394" s="1931"/>
      <c r="C1394" s="1932"/>
      <c r="D1394" s="1933"/>
      <c r="E1394" s="1936"/>
      <c r="F1394" s="1937"/>
      <c r="G1394" s="1937"/>
      <c r="H1394" s="1937"/>
      <c r="I1394" s="1937"/>
      <c r="J1394" s="1937"/>
      <c r="K1394" s="589" t="s">
        <v>2184</v>
      </c>
      <c r="L1394" s="1073" t="s">
        <v>14</v>
      </c>
      <c r="M1394" s="1075">
        <v>0.2</v>
      </c>
      <c r="N1394" s="1075">
        <v>0.15</v>
      </c>
      <c r="O1394" s="1075">
        <v>0.1</v>
      </c>
      <c r="P1394" s="1075">
        <v>0.1</v>
      </c>
      <c r="Q1394" s="1075">
        <v>0.05</v>
      </c>
    </row>
    <row r="1395" spans="2:17" ht="73.5" x14ac:dyDescent="0.25">
      <c r="B1395" s="1076" t="s">
        <v>101</v>
      </c>
      <c r="C1395" s="1077"/>
      <c r="D1395" s="1077"/>
      <c r="E1395" s="486" t="s">
        <v>2186</v>
      </c>
      <c r="F1395" s="1066">
        <f>F1396+F1405+F1412+F1426+F1437+F1430+F1443+F1449</f>
        <v>131631.99999999997</v>
      </c>
      <c r="G1395" s="1066">
        <f t="shared" ref="G1395:J1395" si="147">G1396+G1405+G1412+G1426+G1437+G1430+G1443+G1449</f>
        <v>134904.19999999998</v>
      </c>
      <c r="H1395" s="1066">
        <f t="shared" si="147"/>
        <v>135032.70000000001</v>
      </c>
      <c r="I1395" s="1066">
        <f t="shared" si="147"/>
        <v>135021.9</v>
      </c>
      <c r="J1395" s="1066">
        <f t="shared" si="147"/>
        <v>135285.1</v>
      </c>
      <c r="K1395" s="582" t="s">
        <v>2187</v>
      </c>
      <c r="L1395" s="1078" t="s">
        <v>2188</v>
      </c>
      <c r="M1395" s="1078">
        <v>28</v>
      </c>
      <c r="N1395" s="1078" t="s">
        <v>2189</v>
      </c>
      <c r="O1395" s="1078" t="s">
        <v>2189</v>
      </c>
      <c r="P1395" s="1078" t="s">
        <v>2189</v>
      </c>
      <c r="Q1395" s="1078" t="s">
        <v>2189</v>
      </c>
    </row>
    <row r="1396" spans="2:17" ht="42.75" x14ac:dyDescent="0.25">
      <c r="B1396" s="1912"/>
      <c r="C1396" s="1915" t="s">
        <v>2</v>
      </c>
      <c r="D1396" s="1918"/>
      <c r="E1396" s="1832" t="s">
        <v>2190</v>
      </c>
      <c r="F1396" s="1922">
        <v>11966.5</v>
      </c>
      <c r="G1396" s="1922">
        <v>12264</v>
      </c>
      <c r="H1396" s="1922">
        <v>11781.4</v>
      </c>
      <c r="I1396" s="1922">
        <v>12274.7</v>
      </c>
      <c r="J1396" s="1922">
        <v>12298.6</v>
      </c>
      <c r="K1396" s="582" t="s">
        <v>2187</v>
      </c>
      <c r="L1396" s="1078" t="s">
        <v>2188</v>
      </c>
      <c r="M1396" s="1078">
        <v>77</v>
      </c>
      <c r="N1396" s="1078" t="s">
        <v>2189</v>
      </c>
      <c r="O1396" s="1078" t="s">
        <v>2189</v>
      </c>
      <c r="P1396" s="1078" t="s">
        <v>2189</v>
      </c>
      <c r="Q1396" s="1078" t="s">
        <v>2189</v>
      </c>
    </row>
    <row r="1397" spans="2:17" x14ac:dyDescent="0.25">
      <c r="B1397" s="1913"/>
      <c r="C1397" s="1916"/>
      <c r="D1397" s="1919"/>
      <c r="E1397" s="1921"/>
      <c r="F1397" s="1923"/>
      <c r="G1397" s="1923"/>
      <c r="H1397" s="1923"/>
      <c r="I1397" s="1923"/>
      <c r="J1397" s="1923"/>
      <c r="K1397" s="589" t="s">
        <v>2172</v>
      </c>
      <c r="L1397" s="181" t="s">
        <v>1073</v>
      </c>
      <c r="M1397" s="1078">
        <v>1086</v>
      </c>
      <c r="N1397" s="1078">
        <v>880</v>
      </c>
      <c r="O1397" s="1078">
        <v>780</v>
      </c>
      <c r="P1397" s="1078">
        <v>700</v>
      </c>
      <c r="Q1397" s="1078">
        <v>700</v>
      </c>
    </row>
    <row r="1398" spans="2:17" ht="30" x14ac:dyDescent="0.25">
      <c r="B1398" s="1913"/>
      <c r="C1398" s="1916"/>
      <c r="D1398" s="1919"/>
      <c r="E1398" s="1921"/>
      <c r="F1398" s="1923"/>
      <c r="G1398" s="1923"/>
      <c r="H1398" s="1923"/>
      <c r="I1398" s="1923"/>
      <c r="J1398" s="1923"/>
      <c r="K1398" s="589" t="s">
        <v>2191</v>
      </c>
      <c r="L1398" s="1078" t="s">
        <v>2188</v>
      </c>
      <c r="M1398" s="1078">
        <v>594.4</v>
      </c>
      <c r="N1398" s="1078" t="s">
        <v>2189</v>
      </c>
      <c r="O1398" s="1078" t="s">
        <v>2189</v>
      </c>
      <c r="P1398" s="1078" t="s">
        <v>2189</v>
      </c>
      <c r="Q1398" s="1078" t="s">
        <v>2189</v>
      </c>
    </row>
    <row r="1399" spans="2:17" ht="60" x14ac:dyDescent="0.25">
      <c r="B1399" s="1913"/>
      <c r="C1399" s="1916"/>
      <c r="D1399" s="1919"/>
      <c r="E1399" s="1921"/>
      <c r="F1399" s="1923"/>
      <c r="G1399" s="1923"/>
      <c r="H1399" s="1923"/>
      <c r="I1399" s="1923"/>
      <c r="J1399" s="1923"/>
      <c r="K1399" s="589" t="s">
        <v>2192</v>
      </c>
      <c r="L1399" s="1078" t="s">
        <v>2188</v>
      </c>
      <c r="M1399" s="1078">
        <v>169.9</v>
      </c>
      <c r="N1399" s="1078" t="s">
        <v>2189</v>
      </c>
      <c r="O1399" s="1078" t="s">
        <v>2189</v>
      </c>
      <c r="P1399" s="1078" t="s">
        <v>2189</v>
      </c>
      <c r="Q1399" s="1078" t="s">
        <v>2189</v>
      </c>
    </row>
    <row r="1400" spans="2:17" ht="75" x14ac:dyDescent="0.25">
      <c r="B1400" s="1913"/>
      <c r="C1400" s="1916"/>
      <c r="D1400" s="1919"/>
      <c r="E1400" s="1921"/>
      <c r="F1400" s="1923"/>
      <c r="G1400" s="1923"/>
      <c r="H1400" s="1923"/>
      <c r="I1400" s="1923"/>
      <c r="J1400" s="1923"/>
      <c r="K1400" s="589" t="s">
        <v>2540</v>
      </c>
      <c r="L1400" s="1078" t="s">
        <v>2188</v>
      </c>
      <c r="M1400" s="1078">
        <v>82.4</v>
      </c>
      <c r="N1400" s="1078" t="s">
        <v>2189</v>
      </c>
      <c r="O1400" s="1078" t="s">
        <v>2189</v>
      </c>
      <c r="P1400" s="1078" t="s">
        <v>2189</v>
      </c>
      <c r="Q1400" s="1078" t="s">
        <v>2189</v>
      </c>
    </row>
    <row r="1401" spans="2:17" ht="45" x14ac:dyDescent="0.25">
      <c r="B1401" s="1913"/>
      <c r="C1401" s="1916"/>
      <c r="D1401" s="1919"/>
      <c r="E1401" s="1921"/>
      <c r="F1401" s="1923"/>
      <c r="G1401" s="1923"/>
      <c r="H1401" s="1923"/>
      <c r="I1401" s="1923"/>
      <c r="J1401" s="1923"/>
      <c r="K1401" s="589" t="s">
        <v>2193</v>
      </c>
      <c r="L1401" s="181" t="s">
        <v>14</v>
      </c>
      <c r="M1401" s="1079">
        <v>0.7</v>
      </c>
      <c r="N1401" s="1079" t="s">
        <v>2194</v>
      </c>
      <c r="O1401" s="1079" t="s">
        <v>2194</v>
      </c>
      <c r="P1401" s="1079" t="s">
        <v>2194</v>
      </c>
      <c r="Q1401" s="1079" t="s">
        <v>2194</v>
      </c>
    </row>
    <row r="1402" spans="2:17" ht="45" x14ac:dyDescent="0.25">
      <c r="B1402" s="1913"/>
      <c r="C1402" s="1916"/>
      <c r="D1402" s="1919"/>
      <c r="E1402" s="1921"/>
      <c r="F1402" s="1923"/>
      <c r="G1402" s="1923"/>
      <c r="H1402" s="1923"/>
      <c r="I1402" s="1923"/>
      <c r="J1402" s="1923"/>
      <c r="K1402" s="589" t="s">
        <v>2195</v>
      </c>
      <c r="L1402" s="181" t="s">
        <v>14</v>
      </c>
      <c r="M1402" s="1079">
        <v>0.7</v>
      </c>
      <c r="N1402" s="1079" t="s">
        <v>2194</v>
      </c>
      <c r="O1402" s="1079" t="s">
        <v>2194</v>
      </c>
      <c r="P1402" s="1079" t="s">
        <v>2194</v>
      </c>
      <c r="Q1402" s="1079" t="s">
        <v>2194</v>
      </c>
    </row>
    <row r="1403" spans="2:17" ht="60" x14ac:dyDescent="0.25">
      <c r="B1403" s="1913"/>
      <c r="C1403" s="1916"/>
      <c r="D1403" s="1919"/>
      <c r="E1403" s="1921"/>
      <c r="F1403" s="1923"/>
      <c r="G1403" s="1923"/>
      <c r="H1403" s="1923"/>
      <c r="I1403" s="1923"/>
      <c r="J1403" s="1923"/>
      <c r="K1403" s="589" t="s">
        <v>2177</v>
      </c>
      <c r="L1403" s="181" t="s">
        <v>14</v>
      </c>
      <c r="M1403" s="1080">
        <v>0.872</v>
      </c>
      <c r="N1403" s="1080">
        <v>0.81</v>
      </c>
      <c r="O1403" s="1080">
        <v>0.81</v>
      </c>
      <c r="P1403" s="1080">
        <v>0.8</v>
      </c>
      <c r="Q1403" s="1080">
        <v>0.8</v>
      </c>
    </row>
    <row r="1404" spans="2:17" ht="60" x14ac:dyDescent="0.25">
      <c r="B1404" s="1914"/>
      <c r="C1404" s="1917"/>
      <c r="D1404" s="1920"/>
      <c r="E1404" s="1833"/>
      <c r="F1404" s="1924"/>
      <c r="G1404" s="1924"/>
      <c r="H1404" s="1924"/>
      <c r="I1404" s="1924"/>
      <c r="J1404" s="1924"/>
      <c r="K1404" s="589" t="s">
        <v>2178</v>
      </c>
      <c r="L1404" s="181" t="s">
        <v>14</v>
      </c>
      <c r="M1404" s="1080">
        <v>0.92900000000000005</v>
      </c>
      <c r="N1404" s="1080">
        <v>0.9</v>
      </c>
      <c r="O1404" s="1080">
        <v>0.89</v>
      </c>
      <c r="P1404" s="1080">
        <v>0.88</v>
      </c>
      <c r="Q1404" s="1080">
        <v>0.87</v>
      </c>
    </row>
    <row r="1405" spans="2:17" ht="30" x14ac:dyDescent="0.25">
      <c r="B1405" s="1925"/>
      <c r="C1405" s="1915" t="s">
        <v>3</v>
      </c>
      <c r="D1405" s="1927"/>
      <c r="E1405" s="1902" t="s">
        <v>2196</v>
      </c>
      <c r="F1405" s="1928">
        <v>5790.3</v>
      </c>
      <c r="G1405" s="1928">
        <v>5934.2</v>
      </c>
      <c r="H1405" s="1922">
        <v>18721.900000000001</v>
      </c>
      <c r="I1405" s="1928">
        <v>5939.4</v>
      </c>
      <c r="J1405" s="1928">
        <v>5951</v>
      </c>
      <c r="K1405" s="589" t="s">
        <v>2541</v>
      </c>
      <c r="L1405" s="181" t="s">
        <v>1073</v>
      </c>
      <c r="M1405" s="1078">
        <v>2</v>
      </c>
      <c r="N1405" s="1078">
        <v>0</v>
      </c>
      <c r="O1405" s="1078">
        <v>0</v>
      </c>
      <c r="P1405" s="1078">
        <v>0</v>
      </c>
      <c r="Q1405" s="1078">
        <v>0</v>
      </c>
    </row>
    <row r="1406" spans="2:17" ht="30" x14ac:dyDescent="0.25">
      <c r="B1406" s="1925"/>
      <c r="C1406" s="1916"/>
      <c r="D1406" s="1927"/>
      <c r="E1406" s="1902"/>
      <c r="F1406" s="1928"/>
      <c r="G1406" s="1928"/>
      <c r="H1406" s="1923"/>
      <c r="I1406" s="1928"/>
      <c r="J1406" s="1928"/>
      <c r="K1406" s="589" t="s">
        <v>2542</v>
      </c>
      <c r="L1406" s="181" t="s">
        <v>1073</v>
      </c>
      <c r="M1406" s="1078">
        <v>2158</v>
      </c>
      <c r="N1406" s="1078">
        <v>2100</v>
      </c>
      <c r="O1406" s="1078">
        <v>2050</v>
      </c>
      <c r="P1406" s="1078">
        <v>2000</v>
      </c>
      <c r="Q1406" s="1078">
        <v>1950</v>
      </c>
    </row>
    <row r="1407" spans="2:17" x14ac:dyDescent="0.25">
      <c r="B1407" s="1925"/>
      <c r="C1407" s="1916"/>
      <c r="D1407" s="1927"/>
      <c r="E1407" s="1902"/>
      <c r="F1407" s="1928"/>
      <c r="G1407" s="1928"/>
      <c r="H1407" s="1923"/>
      <c r="I1407" s="1928"/>
      <c r="J1407" s="1928"/>
      <c r="K1407" s="589" t="s">
        <v>2172</v>
      </c>
      <c r="L1407" s="181" t="s">
        <v>1073</v>
      </c>
      <c r="M1407" s="1078">
        <v>612</v>
      </c>
      <c r="N1407" s="1078">
        <v>620</v>
      </c>
      <c r="O1407" s="1078">
        <v>650</v>
      </c>
      <c r="P1407" s="1078">
        <v>700</v>
      </c>
      <c r="Q1407" s="1078">
        <v>750</v>
      </c>
    </row>
    <row r="1408" spans="2:17" ht="30" x14ac:dyDescent="0.25">
      <c r="B1408" s="1925"/>
      <c r="C1408" s="1916"/>
      <c r="D1408" s="1927"/>
      <c r="E1408" s="1902"/>
      <c r="F1408" s="1928"/>
      <c r="G1408" s="1928"/>
      <c r="H1408" s="1923"/>
      <c r="I1408" s="1928"/>
      <c r="J1408" s="1928"/>
      <c r="K1408" s="589" t="s">
        <v>2173</v>
      </c>
      <c r="L1408" s="181" t="s">
        <v>1073</v>
      </c>
      <c r="M1408" s="1078">
        <v>13525</v>
      </c>
      <c r="N1408" s="1078">
        <v>1350</v>
      </c>
      <c r="O1408" s="1078">
        <v>1365</v>
      </c>
      <c r="P1408" s="1078">
        <v>1378</v>
      </c>
      <c r="Q1408" s="1078">
        <v>13586</v>
      </c>
    </row>
    <row r="1409" spans="2:17" ht="45" x14ac:dyDescent="0.25">
      <c r="B1409" s="1925"/>
      <c r="C1409" s="1916"/>
      <c r="D1409" s="1927"/>
      <c r="E1409" s="1902"/>
      <c r="F1409" s="1928"/>
      <c r="G1409" s="1928"/>
      <c r="H1409" s="1923"/>
      <c r="I1409" s="1928"/>
      <c r="J1409" s="1928"/>
      <c r="K1409" s="589" t="s">
        <v>2184</v>
      </c>
      <c r="L1409" s="1078" t="s">
        <v>14</v>
      </c>
      <c r="M1409" s="1079">
        <v>0.2</v>
      </c>
      <c r="N1409" s="1079">
        <v>0.15</v>
      </c>
      <c r="O1409" s="1079">
        <v>0.13</v>
      </c>
      <c r="P1409" s="1079">
        <v>0.1</v>
      </c>
      <c r="Q1409" s="1079">
        <v>0.08</v>
      </c>
    </row>
    <row r="1410" spans="2:17" ht="60" x14ac:dyDescent="0.25">
      <c r="B1410" s="1925"/>
      <c r="C1410" s="1916"/>
      <c r="D1410" s="1927"/>
      <c r="E1410" s="1902"/>
      <c r="F1410" s="1928"/>
      <c r="G1410" s="1928"/>
      <c r="H1410" s="1923"/>
      <c r="I1410" s="1928"/>
      <c r="J1410" s="1928"/>
      <c r="K1410" s="589" t="s">
        <v>2177</v>
      </c>
      <c r="L1410" s="181" t="s">
        <v>14</v>
      </c>
      <c r="M1410" s="1080">
        <v>0.92600000000000005</v>
      </c>
      <c r="N1410" s="1080">
        <v>0.93</v>
      </c>
      <c r="O1410" s="1080">
        <v>0.94</v>
      </c>
      <c r="P1410" s="1080">
        <v>0.95</v>
      </c>
      <c r="Q1410" s="1080">
        <v>0.96</v>
      </c>
    </row>
    <row r="1411" spans="2:17" ht="60" x14ac:dyDescent="0.25">
      <c r="B1411" s="1925"/>
      <c r="C1411" s="1916"/>
      <c r="D1411" s="1927"/>
      <c r="E1411" s="1902"/>
      <c r="F1411" s="1928"/>
      <c r="G1411" s="1928"/>
      <c r="H1411" s="1923"/>
      <c r="I1411" s="1928"/>
      <c r="J1411" s="1928"/>
      <c r="K1411" s="589" t="s">
        <v>2178</v>
      </c>
      <c r="L1411" s="181" t="s">
        <v>14</v>
      </c>
      <c r="M1411" s="1080">
        <v>0.93200000000000005</v>
      </c>
      <c r="N1411" s="1080">
        <v>0.94</v>
      </c>
      <c r="O1411" s="1080">
        <v>0.95</v>
      </c>
      <c r="P1411" s="1080">
        <v>0.96</v>
      </c>
      <c r="Q1411" s="1080">
        <v>0.97</v>
      </c>
    </row>
    <row r="1412" spans="2:17" x14ac:dyDescent="0.25">
      <c r="B1412" s="1929"/>
      <c r="C1412" s="1916"/>
      <c r="D1412" s="1930"/>
      <c r="E1412" s="1902" t="s">
        <v>2197</v>
      </c>
      <c r="F1412" s="1928">
        <v>11580.5</v>
      </c>
      <c r="G1412" s="1928">
        <v>11868.4</v>
      </c>
      <c r="H1412" s="1923"/>
      <c r="I1412" s="1928">
        <v>11878.8</v>
      </c>
      <c r="J1412" s="1928">
        <v>11901.9</v>
      </c>
      <c r="K1412" s="589" t="s">
        <v>2172</v>
      </c>
      <c r="L1412" s="181" t="s">
        <v>1073</v>
      </c>
      <c r="M1412" s="1078">
        <v>470</v>
      </c>
      <c r="N1412" s="1078">
        <v>500</v>
      </c>
      <c r="O1412" s="1078">
        <v>530</v>
      </c>
      <c r="P1412" s="1078">
        <v>550</v>
      </c>
      <c r="Q1412" s="1078">
        <v>650</v>
      </c>
    </row>
    <row r="1413" spans="2:17" ht="30" x14ac:dyDescent="0.25">
      <c r="B1413" s="1929"/>
      <c r="C1413" s="1916"/>
      <c r="D1413" s="1930"/>
      <c r="E1413" s="1902"/>
      <c r="F1413" s="1928"/>
      <c r="G1413" s="1928"/>
      <c r="H1413" s="1923"/>
      <c r="I1413" s="1928"/>
      <c r="J1413" s="1928"/>
      <c r="K1413" s="589" t="s">
        <v>2173</v>
      </c>
      <c r="L1413" s="181" t="s">
        <v>1073</v>
      </c>
      <c r="M1413" s="1078">
        <v>1150</v>
      </c>
      <c r="N1413" s="1078">
        <v>1200</v>
      </c>
      <c r="O1413" s="1078">
        <v>1220</v>
      </c>
      <c r="P1413" s="1078">
        <v>1240</v>
      </c>
      <c r="Q1413" s="1078">
        <v>1260</v>
      </c>
    </row>
    <row r="1414" spans="2:17" ht="45" x14ac:dyDescent="0.25">
      <c r="B1414" s="1929"/>
      <c r="C1414" s="1916"/>
      <c r="D1414" s="1930"/>
      <c r="E1414" s="1902"/>
      <c r="F1414" s="1928"/>
      <c r="G1414" s="1928"/>
      <c r="H1414" s="1923"/>
      <c r="I1414" s="1928"/>
      <c r="J1414" s="1928"/>
      <c r="K1414" s="589" t="s">
        <v>2184</v>
      </c>
      <c r="L1414" s="1078" t="s">
        <v>14</v>
      </c>
      <c r="M1414" s="1080">
        <v>0.35</v>
      </c>
      <c r="N1414" s="1080">
        <v>0.3</v>
      </c>
      <c r="O1414" s="1080">
        <v>0.28000000000000003</v>
      </c>
      <c r="P1414" s="1080">
        <v>0.25</v>
      </c>
      <c r="Q1414" s="1080">
        <v>0.22</v>
      </c>
    </row>
    <row r="1415" spans="2:17" ht="45" x14ac:dyDescent="0.25">
      <c r="B1415" s="1929"/>
      <c r="C1415" s="1916"/>
      <c r="D1415" s="1930"/>
      <c r="E1415" s="1902"/>
      <c r="F1415" s="1928"/>
      <c r="G1415" s="1928"/>
      <c r="H1415" s="1923"/>
      <c r="I1415" s="1928"/>
      <c r="J1415" s="1928"/>
      <c r="K1415" s="589" t="s">
        <v>2198</v>
      </c>
      <c r="L1415" s="181" t="s">
        <v>1073</v>
      </c>
      <c r="M1415" s="1078">
        <v>22</v>
      </c>
      <c r="N1415" s="1078">
        <v>0</v>
      </c>
      <c r="O1415" s="1078">
        <v>0</v>
      </c>
      <c r="P1415" s="1078">
        <v>0</v>
      </c>
      <c r="Q1415" s="1078">
        <v>0</v>
      </c>
    </row>
    <row r="1416" spans="2:17" ht="45" x14ac:dyDescent="0.25">
      <c r="B1416" s="1929"/>
      <c r="C1416" s="1916"/>
      <c r="D1416" s="1930"/>
      <c r="E1416" s="1902"/>
      <c r="F1416" s="1928"/>
      <c r="G1416" s="1928"/>
      <c r="H1416" s="1923"/>
      <c r="I1416" s="1928"/>
      <c r="J1416" s="1928"/>
      <c r="K1416" s="589" t="s">
        <v>2543</v>
      </c>
      <c r="L1416" s="181" t="s">
        <v>1073</v>
      </c>
      <c r="M1416" s="1078">
        <v>2659</v>
      </c>
      <c r="N1416" s="1078">
        <v>2400</v>
      </c>
      <c r="O1416" s="1078">
        <v>2200</v>
      </c>
      <c r="P1416" s="1078">
        <v>2000</v>
      </c>
      <c r="Q1416" s="1078">
        <v>1800</v>
      </c>
    </row>
    <row r="1417" spans="2:17" ht="60" x14ac:dyDescent="0.25">
      <c r="B1417" s="1929"/>
      <c r="C1417" s="1916"/>
      <c r="D1417" s="1930"/>
      <c r="E1417" s="1902"/>
      <c r="F1417" s="1928"/>
      <c r="G1417" s="1928"/>
      <c r="H1417" s="1923"/>
      <c r="I1417" s="1928"/>
      <c r="J1417" s="1928"/>
      <c r="K1417" s="589" t="s">
        <v>2177</v>
      </c>
      <c r="L1417" s="181" t="s">
        <v>14</v>
      </c>
      <c r="M1417" s="1080">
        <v>0.92600000000000005</v>
      </c>
      <c r="N1417" s="1080">
        <v>0.93</v>
      </c>
      <c r="O1417" s="1080">
        <v>0.94</v>
      </c>
      <c r="P1417" s="1080">
        <v>0.95</v>
      </c>
      <c r="Q1417" s="1080">
        <v>0.96</v>
      </c>
    </row>
    <row r="1418" spans="2:17" ht="60" x14ac:dyDescent="0.25">
      <c r="B1418" s="1929"/>
      <c r="C1418" s="1916"/>
      <c r="D1418" s="1930"/>
      <c r="E1418" s="1902"/>
      <c r="F1418" s="1928"/>
      <c r="G1418" s="1928"/>
      <c r="H1418" s="1923"/>
      <c r="I1418" s="1928"/>
      <c r="J1418" s="1928"/>
      <c r="K1418" s="589" t="s">
        <v>2178</v>
      </c>
      <c r="L1418" s="181" t="s">
        <v>14</v>
      </c>
      <c r="M1418" s="1080">
        <v>0.93200000000000005</v>
      </c>
      <c r="N1418" s="1080">
        <v>0.94</v>
      </c>
      <c r="O1418" s="1080">
        <v>0.95</v>
      </c>
      <c r="P1418" s="1080">
        <v>0.96</v>
      </c>
      <c r="Q1418" s="1080">
        <v>0.97</v>
      </c>
    </row>
    <row r="1419" spans="2:17" x14ac:dyDescent="0.25">
      <c r="B1419" s="1929"/>
      <c r="C1419" s="1916"/>
      <c r="D1419" s="1930"/>
      <c r="E1419" s="1902" t="s">
        <v>2199</v>
      </c>
      <c r="F1419" s="1928"/>
      <c r="G1419" s="1928"/>
      <c r="H1419" s="1923"/>
      <c r="I1419" s="1928"/>
      <c r="J1419" s="1928"/>
      <c r="K1419" s="589" t="s">
        <v>2172</v>
      </c>
      <c r="L1419" s="181" t="s">
        <v>1073</v>
      </c>
      <c r="M1419" s="1078">
        <v>78</v>
      </c>
      <c r="N1419" s="1078">
        <v>95</v>
      </c>
      <c r="O1419" s="1078">
        <v>100</v>
      </c>
      <c r="P1419" s="1078">
        <v>100</v>
      </c>
      <c r="Q1419" s="1078">
        <v>110</v>
      </c>
    </row>
    <row r="1420" spans="2:17" ht="30" x14ac:dyDescent="0.25">
      <c r="B1420" s="1929"/>
      <c r="C1420" s="1916"/>
      <c r="D1420" s="1930"/>
      <c r="E1420" s="1902"/>
      <c r="F1420" s="1928"/>
      <c r="G1420" s="1928"/>
      <c r="H1420" s="1923"/>
      <c r="I1420" s="1928"/>
      <c r="J1420" s="1928"/>
      <c r="K1420" s="589" t="s">
        <v>2173</v>
      </c>
      <c r="L1420" s="1078" t="s">
        <v>14</v>
      </c>
      <c r="M1420" s="1080">
        <v>0.05</v>
      </c>
      <c r="N1420" s="1080">
        <v>7.0000000000000007E-2</v>
      </c>
      <c r="O1420" s="1080">
        <v>0.09</v>
      </c>
      <c r="P1420" s="1080">
        <v>0.12</v>
      </c>
      <c r="Q1420" s="1080">
        <v>0.15</v>
      </c>
    </row>
    <row r="1421" spans="2:17" ht="45" x14ac:dyDescent="0.25">
      <c r="B1421" s="1929"/>
      <c r="C1421" s="1916"/>
      <c r="D1421" s="1930"/>
      <c r="E1421" s="1902"/>
      <c r="F1421" s="1928"/>
      <c r="G1421" s="1928"/>
      <c r="H1421" s="1923"/>
      <c r="I1421" s="1928"/>
      <c r="J1421" s="1928"/>
      <c r="K1421" s="589" t="s">
        <v>2184</v>
      </c>
      <c r="L1421" s="1078" t="s">
        <v>14</v>
      </c>
      <c r="M1421" s="1080">
        <v>0.3</v>
      </c>
      <c r="N1421" s="1080">
        <v>0.3</v>
      </c>
      <c r="O1421" s="1080">
        <v>0.3</v>
      </c>
      <c r="P1421" s="1080">
        <v>0.3</v>
      </c>
      <c r="Q1421" s="1080">
        <v>0.3</v>
      </c>
    </row>
    <row r="1422" spans="2:17" ht="30" x14ac:dyDescent="0.25">
      <c r="B1422" s="1929"/>
      <c r="C1422" s="1916"/>
      <c r="D1422" s="1930"/>
      <c r="E1422" s="1902"/>
      <c r="F1422" s="1928"/>
      <c r="G1422" s="1928"/>
      <c r="H1422" s="1923"/>
      <c r="I1422" s="1928"/>
      <c r="J1422" s="1928"/>
      <c r="K1422" s="589" t="s">
        <v>2200</v>
      </c>
      <c r="L1422" s="181" t="s">
        <v>1073</v>
      </c>
      <c r="M1422" s="1078">
        <v>75</v>
      </c>
      <c r="N1422" s="1078">
        <v>70</v>
      </c>
      <c r="O1422" s="1078">
        <v>65</v>
      </c>
      <c r="P1422" s="1078">
        <v>60</v>
      </c>
      <c r="Q1422" s="1078">
        <v>55</v>
      </c>
    </row>
    <row r="1423" spans="2:17" ht="30" x14ac:dyDescent="0.25">
      <c r="B1423" s="1929"/>
      <c r="C1423" s="1916"/>
      <c r="D1423" s="1930"/>
      <c r="E1423" s="1902"/>
      <c r="F1423" s="1928"/>
      <c r="G1423" s="1928"/>
      <c r="H1423" s="1923"/>
      <c r="I1423" s="1928"/>
      <c r="J1423" s="1928"/>
      <c r="K1423" s="589" t="s">
        <v>2201</v>
      </c>
      <c r="L1423" s="181" t="s">
        <v>1073</v>
      </c>
      <c r="M1423" s="1078">
        <v>61</v>
      </c>
      <c r="N1423" s="1078">
        <v>60</v>
      </c>
      <c r="O1423" s="1078">
        <v>58</v>
      </c>
      <c r="P1423" s="1078">
        <v>55</v>
      </c>
      <c r="Q1423" s="1078">
        <v>53</v>
      </c>
    </row>
    <row r="1424" spans="2:17" ht="60" x14ac:dyDescent="0.25">
      <c r="B1424" s="1929"/>
      <c r="C1424" s="1916"/>
      <c r="D1424" s="1930"/>
      <c r="E1424" s="1902"/>
      <c r="F1424" s="1928"/>
      <c r="G1424" s="1928"/>
      <c r="H1424" s="1923"/>
      <c r="I1424" s="1928"/>
      <c r="J1424" s="1928"/>
      <c r="K1424" s="589" t="s">
        <v>2177</v>
      </c>
      <c r="L1424" s="1078" t="s">
        <v>14</v>
      </c>
      <c r="M1424" s="1080">
        <v>0.92600000000000005</v>
      </c>
      <c r="N1424" s="1080">
        <v>0.93</v>
      </c>
      <c r="O1424" s="1080">
        <v>0.94</v>
      </c>
      <c r="P1424" s="1080">
        <v>0.95</v>
      </c>
      <c r="Q1424" s="1080">
        <v>0.96</v>
      </c>
    </row>
    <row r="1425" spans="2:17" ht="60" x14ac:dyDescent="0.25">
      <c r="B1425" s="1929"/>
      <c r="C1425" s="1917"/>
      <c r="D1425" s="1930"/>
      <c r="E1425" s="1902"/>
      <c r="F1425" s="1928"/>
      <c r="G1425" s="1928"/>
      <c r="H1425" s="1924"/>
      <c r="I1425" s="1928"/>
      <c r="J1425" s="1928"/>
      <c r="K1425" s="589" t="s">
        <v>2178</v>
      </c>
      <c r="L1425" s="1078" t="s">
        <v>14</v>
      </c>
      <c r="M1425" s="1080">
        <v>0.93200000000000005</v>
      </c>
      <c r="N1425" s="1080">
        <v>0.94</v>
      </c>
      <c r="O1425" s="1080">
        <v>0.95</v>
      </c>
      <c r="P1425" s="1080">
        <v>0.96</v>
      </c>
      <c r="Q1425" s="1080">
        <v>0.97</v>
      </c>
    </row>
    <row r="1426" spans="2:17" ht="45" x14ac:dyDescent="0.25">
      <c r="B1426" s="1925"/>
      <c r="C1426" s="1926" t="s">
        <v>4</v>
      </c>
      <c r="D1426" s="1918"/>
      <c r="E1426" s="1902" t="s">
        <v>2202</v>
      </c>
      <c r="F1426" s="1928">
        <v>36285.699999999997</v>
      </c>
      <c r="G1426" s="1928">
        <v>37187.699999999997</v>
      </c>
      <c r="H1426" s="1928">
        <v>35858.5</v>
      </c>
      <c r="I1426" s="1928">
        <v>37220.1</v>
      </c>
      <c r="J1426" s="1928">
        <v>37292.699999999997</v>
      </c>
      <c r="K1426" s="589" t="s">
        <v>2544</v>
      </c>
      <c r="L1426" s="1078" t="s">
        <v>1073</v>
      </c>
      <c r="M1426" s="1078">
        <v>7.4</v>
      </c>
      <c r="N1426" s="1078">
        <v>7.3</v>
      </c>
      <c r="O1426" s="1078">
        <v>7.2</v>
      </c>
      <c r="P1426" s="1078">
        <v>7.1</v>
      </c>
      <c r="Q1426" s="1078">
        <v>7</v>
      </c>
    </row>
    <row r="1427" spans="2:17" ht="60" x14ac:dyDescent="0.25">
      <c r="B1427" s="1925"/>
      <c r="C1427" s="1926"/>
      <c r="D1427" s="1919"/>
      <c r="E1427" s="1902"/>
      <c r="F1427" s="1928"/>
      <c r="G1427" s="1928"/>
      <c r="H1427" s="1928"/>
      <c r="I1427" s="1928"/>
      <c r="J1427" s="1928"/>
      <c r="K1427" s="589" t="s">
        <v>2177</v>
      </c>
      <c r="L1427" s="1078" t="s">
        <v>14</v>
      </c>
      <c r="M1427" s="1080">
        <v>0.87</v>
      </c>
      <c r="N1427" s="1080">
        <v>0.9</v>
      </c>
      <c r="O1427" s="1080">
        <v>0.92</v>
      </c>
      <c r="P1427" s="1080">
        <v>0.94</v>
      </c>
      <c r="Q1427" s="1080">
        <v>0.96</v>
      </c>
    </row>
    <row r="1428" spans="2:17" ht="60" x14ac:dyDescent="0.25">
      <c r="B1428" s="1925"/>
      <c r="C1428" s="1926"/>
      <c r="D1428" s="1919"/>
      <c r="E1428" s="1902"/>
      <c r="F1428" s="1928"/>
      <c r="G1428" s="1928"/>
      <c r="H1428" s="1928"/>
      <c r="I1428" s="1928"/>
      <c r="J1428" s="1928"/>
      <c r="K1428" s="589" t="s">
        <v>2178</v>
      </c>
      <c r="L1428" s="1069" t="s">
        <v>14</v>
      </c>
      <c r="M1428" s="1068">
        <v>0.63</v>
      </c>
      <c r="N1428" s="1068">
        <v>0.3</v>
      </c>
      <c r="O1428" s="1068">
        <v>0.28000000000000003</v>
      </c>
      <c r="P1428" s="1068">
        <v>0.45</v>
      </c>
      <c r="Q1428" s="1068">
        <v>0.48</v>
      </c>
    </row>
    <row r="1429" spans="2:17" ht="60" x14ac:dyDescent="0.25">
      <c r="B1429" s="1925"/>
      <c r="C1429" s="1926"/>
      <c r="D1429" s="1920"/>
      <c r="E1429" s="1902"/>
      <c r="F1429" s="1928"/>
      <c r="G1429" s="1928"/>
      <c r="H1429" s="1928"/>
      <c r="I1429" s="1928"/>
      <c r="J1429" s="1928"/>
      <c r="K1429" s="589" t="s">
        <v>2203</v>
      </c>
      <c r="L1429" s="1078" t="s">
        <v>979</v>
      </c>
      <c r="M1429" s="1078">
        <v>58</v>
      </c>
      <c r="N1429" s="1078">
        <v>59</v>
      </c>
      <c r="O1429" s="1078">
        <v>60</v>
      </c>
      <c r="P1429" s="1078">
        <v>61</v>
      </c>
      <c r="Q1429" s="1078">
        <v>62</v>
      </c>
    </row>
    <row r="1430" spans="2:17" x14ac:dyDescent="0.25">
      <c r="B1430" s="1925"/>
      <c r="C1430" s="1926" t="s">
        <v>5</v>
      </c>
      <c r="D1430" s="1927"/>
      <c r="E1430" s="1902" t="s">
        <v>2204</v>
      </c>
      <c r="F1430" s="1928">
        <v>31267.4</v>
      </c>
      <c r="G1430" s="1928">
        <v>32044.7</v>
      </c>
      <c r="H1430" s="1928">
        <v>30997.1</v>
      </c>
      <c r="I1430" s="1928">
        <v>32072.6</v>
      </c>
      <c r="J1430" s="1928">
        <v>32135.200000000001</v>
      </c>
      <c r="K1430" s="589" t="s">
        <v>2172</v>
      </c>
      <c r="L1430" s="1078" t="s">
        <v>1073</v>
      </c>
      <c r="M1430" s="1078">
        <v>2271</v>
      </c>
      <c r="N1430" s="1078">
        <v>850</v>
      </c>
      <c r="O1430" s="1078">
        <v>855</v>
      </c>
      <c r="P1430" s="1078">
        <v>1535</v>
      </c>
      <c r="Q1430" s="1078">
        <v>1625</v>
      </c>
    </row>
    <row r="1431" spans="2:17" ht="30" x14ac:dyDescent="0.25">
      <c r="B1431" s="1925"/>
      <c r="C1431" s="1926"/>
      <c r="D1431" s="1927"/>
      <c r="E1431" s="1902"/>
      <c r="F1431" s="1928"/>
      <c r="G1431" s="1928"/>
      <c r="H1431" s="1928"/>
      <c r="I1431" s="1928"/>
      <c r="J1431" s="1928"/>
      <c r="K1431" s="589" t="s">
        <v>2173</v>
      </c>
      <c r="L1431" s="1078" t="s">
        <v>14</v>
      </c>
      <c r="M1431" s="1079">
        <v>0.63</v>
      </c>
      <c r="N1431" s="1079">
        <v>0.57999999999999996</v>
      </c>
      <c r="O1431" s="1079">
        <v>0.6</v>
      </c>
      <c r="P1431" s="1079">
        <v>0.61</v>
      </c>
      <c r="Q1431" s="1079">
        <v>0.62</v>
      </c>
    </row>
    <row r="1432" spans="2:17" ht="45" x14ac:dyDescent="0.25">
      <c r="B1432" s="1925"/>
      <c r="C1432" s="1926"/>
      <c r="D1432" s="1927"/>
      <c r="E1432" s="1902"/>
      <c r="F1432" s="1928"/>
      <c r="G1432" s="1928"/>
      <c r="H1432" s="1928"/>
      <c r="I1432" s="1928"/>
      <c r="J1432" s="1928"/>
      <c r="K1432" s="589" t="s">
        <v>2205</v>
      </c>
      <c r="L1432" s="1078" t="s">
        <v>1073</v>
      </c>
      <c r="M1432" s="1078">
        <v>14733</v>
      </c>
      <c r="N1432" s="1078">
        <v>5265</v>
      </c>
      <c r="O1432" s="1078">
        <v>5687</v>
      </c>
      <c r="P1432" s="1078">
        <v>9846</v>
      </c>
      <c r="Q1432" s="1078">
        <v>10168</v>
      </c>
    </row>
    <row r="1433" spans="2:17" ht="30" x14ac:dyDescent="0.25">
      <c r="B1433" s="1925"/>
      <c r="C1433" s="1926"/>
      <c r="D1433" s="1927"/>
      <c r="E1433" s="1902"/>
      <c r="F1433" s="1928"/>
      <c r="G1433" s="1928"/>
      <c r="H1433" s="1928"/>
      <c r="I1433" s="1928"/>
      <c r="J1433" s="1928"/>
      <c r="K1433" s="589" t="s">
        <v>2206</v>
      </c>
      <c r="L1433" s="1078" t="s">
        <v>1073</v>
      </c>
      <c r="M1433" s="1078">
        <v>9953</v>
      </c>
      <c r="N1433" s="1078">
        <v>4368</v>
      </c>
      <c r="O1433" s="1078">
        <v>4854</v>
      </c>
      <c r="P1433" s="1078">
        <v>6753</v>
      </c>
      <c r="Q1433" s="1078">
        <v>7861</v>
      </c>
    </row>
    <row r="1434" spans="2:17" ht="60" x14ac:dyDescent="0.25">
      <c r="B1434" s="1925"/>
      <c r="C1434" s="1926"/>
      <c r="D1434" s="1927"/>
      <c r="E1434" s="1902"/>
      <c r="F1434" s="1928"/>
      <c r="G1434" s="1928"/>
      <c r="H1434" s="1928"/>
      <c r="I1434" s="1928"/>
      <c r="J1434" s="1928"/>
      <c r="K1434" s="589" t="s">
        <v>2177</v>
      </c>
      <c r="L1434" s="1078" t="s">
        <v>14</v>
      </c>
      <c r="M1434" s="1080">
        <v>0.95299999999999996</v>
      </c>
      <c r="N1434" s="1080">
        <v>0.95399999999999996</v>
      </c>
      <c r="O1434" s="1080">
        <v>0.95499999999999996</v>
      </c>
      <c r="P1434" s="1080">
        <v>0.95599999999999996</v>
      </c>
      <c r="Q1434" s="1080">
        <v>0.95699999999999996</v>
      </c>
    </row>
    <row r="1435" spans="2:17" ht="60" x14ac:dyDescent="0.25">
      <c r="B1435" s="1925"/>
      <c r="C1435" s="1926"/>
      <c r="D1435" s="1927"/>
      <c r="E1435" s="1902"/>
      <c r="F1435" s="1928"/>
      <c r="G1435" s="1928"/>
      <c r="H1435" s="1928"/>
      <c r="I1435" s="1928"/>
      <c r="J1435" s="1928"/>
      <c r="K1435" s="589" t="s">
        <v>2178</v>
      </c>
      <c r="L1435" s="1078" t="s">
        <v>14</v>
      </c>
      <c r="M1435" s="1068">
        <v>0.93300000000000005</v>
      </c>
      <c r="N1435" s="1068">
        <v>0.93400000000000005</v>
      </c>
      <c r="O1435" s="1068">
        <v>0.93500000000000005</v>
      </c>
      <c r="P1435" s="1068">
        <v>0.93600000000000005</v>
      </c>
      <c r="Q1435" s="1068">
        <v>0.93700000000000006</v>
      </c>
    </row>
    <row r="1436" spans="2:17" ht="45" x14ac:dyDescent="0.25">
      <c r="B1436" s="1925"/>
      <c r="C1436" s="1926"/>
      <c r="D1436" s="1927"/>
      <c r="E1436" s="1902"/>
      <c r="F1436" s="1928"/>
      <c r="G1436" s="1928"/>
      <c r="H1436" s="1928"/>
      <c r="I1436" s="1928"/>
      <c r="J1436" s="1928"/>
      <c r="K1436" s="589" t="s">
        <v>2207</v>
      </c>
      <c r="L1436" s="1078" t="s">
        <v>1073</v>
      </c>
      <c r="M1436" s="1078">
        <v>4352</v>
      </c>
      <c r="N1436" s="1078">
        <v>4348</v>
      </c>
      <c r="O1436" s="1078">
        <v>4345</v>
      </c>
      <c r="P1436" s="1078">
        <v>4343</v>
      </c>
      <c r="Q1436" s="1078">
        <v>4340</v>
      </c>
    </row>
    <row r="1437" spans="2:17" x14ac:dyDescent="0.25">
      <c r="B1437" s="1925"/>
      <c r="C1437" s="1926" t="s">
        <v>49</v>
      </c>
      <c r="D1437" s="1927"/>
      <c r="E1437" s="1902" t="s">
        <v>2208</v>
      </c>
      <c r="F1437" s="1928">
        <v>19300.900000000001</v>
      </c>
      <c r="G1437" s="1928">
        <v>19780.7</v>
      </c>
      <c r="H1437" s="1928">
        <v>19686.599999999999</v>
      </c>
      <c r="I1437" s="1928">
        <v>19797.900000000001</v>
      </c>
      <c r="J1437" s="1928">
        <v>19836.5</v>
      </c>
      <c r="K1437" s="589" t="s">
        <v>2172</v>
      </c>
      <c r="L1437" s="1078" t="s">
        <v>1073</v>
      </c>
      <c r="M1437" s="1078">
        <v>2828</v>
      </c>
      <c r="N1437" s="1078">
        <v>2800</v>
      </c>
      <c r="O1437" s="1078">
        <v>2700</v>
      </c>
      <c r="P1437" s="1078">
        <v>2600</v>
      </c>
      <c r="Q1437" s="1078">
        <v>2500</v>
      </c>
    </row>
    <row r="1438" spans="2:17" ht="30" x14ac:dyDescent="0.25">
      <c r="B1438" s="1925"/>
      <c r="C1438" s="1926"/>
      <c r="D1438" s="1927"/>
      <c r="E1438" s="1902"/>
      <c r="F1438" s="1928"/>
      <c r="G1438" s="1928"/>
      <c r="H1438" s="1928"/>
      <c r="I1438" s="1928"/>
      <c r="J1438" s="1928"/>
      <c r="K1438" s="589" t="s">
        <v>2173</v>
      </c>
      <c r="L1438" s="1078" t="s">
        <v>14</v>
      </c>
      <c r="M1438" s="1080">
        <v>0.02</v>
      </c>
      <c r="N1438" s="1080">
        <v>2.5000000000000001E-2</v>
      </c>
      <c r="O1438" s="1080">
        <v>2.5999999999999999E-2</v>
      </c>
      <c r="P1438" s="1080">
        <v>2.8000000000000001E-2</v>
      </c>
      <c r="Q1438" s="1080">
        <v>0.3</v>
      </c>
    </row>
    <row r="1439" spans="2:17" ht="45" x14ac:dyDescent="0.25">
      <c r="B1439" s="1925"/>
      <c r="C1439" s="1926"/>
      <c r="D1439" s="1927"/>
      <c r="E1439" s="1902"/>
      <c r="F1439" s="1928"/>
      <c r="G1439" s="1928"/>
      <c r="H1439" s="1928"/>
      <c r="I1439" s="1928"/>
      <c r="J1439" s="1928"/>
      <c r="K1439" s="589" t="s">
        <v>2184</v>
      </c>
      <c r="L1439" s="1078" t="s">
        <v>14</v>
      </c>
      <c r="M1439" s="1080">
        <v>0.62</v>
      </c>
      <c r="N1439" s="1080">
        <v>0.6</v>
      </c>
      <c r="O1439" s="1080">
        <v>0.55000000000000004</v>
      </c>
      <c r="P1439" s="1080">
        <v>0.5</v>
      </c>
      <c r="Q1439" s="1080">
        <v>0.45</v>
      </c>
    </row>
    <row r="1440" spans="2:17" ht="45" x14ac:dyDescent="0.25">
      <c r="B1440" s="1925"/>
      <c r="C1440" s="1926"/>
      <c r="D1440" s="1927"/>
      <c r="E1440" s="1902"/>
      <c r="F1440" s="1928"/>
      <c r="G1440" s="1928"/>
      <c r="H1440" s="1928"/>
      <c r="I1440" s="1928"/>
      <c r="J1440" s="1928"/>
      <c r="K1440" s="589" t="s">
        <v>2209</v>
      </c>
      <c r="L1440" s="1078" t="s">
        <v>14</v>
      </c>
      <c r="M1440" s="1080">
        <v>0.04</v>
      </c>
      <c r="N1440" s="1080">
        <v>0.05</v>
      </c>
      <c r="O1440" s="1080">
        <v>0.03</v>
      </c>
      <c r="P1440" s="1080">
        <v>0.03</v>
      </c>
      <c r="Q1440" s="1080">
        <v>0.02</v>
      </c>
    </row>
    <row r="1441" spans="2:17" ht="60" x14ac:dyDescent="0.25">
      <c r="B1441" s="1925"/>
      <c r="C1441" s="1926"/>
      <c r="D1441" s="1927"/>
      <c r="E1441" s="1902"/>
      <c r="F1441" s="1928"/>
      <c r="G1441" s="1928"/>
      <c r="H1441" s="1928"/>
      <c r="I1441" s="1928"/>
      <c r="J1441" s="1928"/>
      <c r="K1441" s="589" t="s">
        <v>2177</v>
      </c>
      <c r="L1441" s="1078" t="s">
        <v>14</v>
      </c>
      <c r="M1441" s="1080">
        <v>0.93</v>
      </c>
      <c r="N1441" s="1080">
        <v>0.93500000000000005</v>
      </c>
      <c r="O1441" s="1080">
        <v>0.94</v>
      </c>
      <c r="P1441" s="1080">
        <v>0.94499999999999995</v>
      </c>
      <c r="Q1441" s="1080">
        <v>0.95</v>
      </c>
    </row>
    <row r="1442" spans="2:17" ht="60" x14ac:dyDescent="0.25">
      <c r="B1442" s="1925"/>
      <c r="C1442" s="1926"/>
      <c r="D1442" s="1927"/>
      <c r="E1442" s="1902"/>
      <c r="F1442" s="1928"/>
      <c r="G1442" s="1928"/>
      <c r="H1442" s="1928"/>
      <c r="I1442" s="1928"/>
      <c r="J1442" s="1928"/>
      <c r="K1442" s="589" t="s">
        <v>2178</v>
      </c>
      <c r="L1442" s="1078" t="s">
        <v>14</v>
      </c>
      <c r="M1442" s="1080">
        <v>0.85</v>
      </c>
      <c r="N1442" s="1080">
        <v>0.86</v>
      </c>
      <c r="O1442" s="1080">
        <v>0.87</v>
      </c>
      <c r="P1442" s="1080">
        <v>0.88</v>
      </c>
      <c r="Q1442" s="1080">
        <v>0.89</v>
      </c>
    </row>
    <row r="1443" spans="2:17" x14ac:dyDescent="0.25">
      <c r="B1443" s="1912"/>
      <c r="C1443" s="1915" t="s">
        <v>50</v>
      </c>
      <c r="D1443" s="1918"/>
      <c r="E1443" s="1832" t="s">
        <v>2210</v>
      </c>
      <c r="F1443" s="1922">
        <v>8878.4</v>
      </c>
      <c r="G1443" s="1922">
        <v>9099.1</v>
      </c>
      <c r="H1443" s="1922">
        <v>9117.1</v>
      </c>
      <c r="I1443" s="1922">
        <v>9107</v>
      </c>
      <c r="J1443" s="1922">
        <v>9124.7999999999993</v>
      </c>
      <c r="K1443" s="589" t="s">
        <v>2172</v>
      </c>
      <c r="L1443" s="1078" t="s">
        <v>1073</v>
      </c>
      <c r="M1443" s="1078">
        <v>850</v>
      </c>
      <c r="N1443" s="1078">
        <v>50</v>
      </c>
      <c r="O1443" s="1078">
        <v>100</v>
      </c>
      <c r="P1443" s="1078">
        <v>200</v>
      </c>
      <c r="Q1443" s="1078">
        <v>300</v>
      </c>
    </row>
    <row r="1444" spans="2:17" ht="30" x14ac:dyDescent="0.25">
      <c r="B1444" s="1913"/>
      <c r="C1444" s="1916"/>
      <c r="D1444" s="1919"/>
      <c r="E1444" s="1921"/>
      <c r="F1444" s="1923"/>
      <c r="G1444" s="1923"/>
      <c r="H1444" s="1923"/>
      <c r="I1444" s="1923"/>
      <c r="J1444" s="1923"/>
      <c r="K1444" s="589" t="s">
        <v>2173</v>
      </c>
      <c r="L1444" s="1078" t="s">
        <v>14</v>
      </c>
      <c r="M1444" s="1080">
        <v>0.5</v>
      </c>
      <c r="N1444" s="1080">
        <v>0.1</v>
      </c>
      <c r="O1444" s="1080">
        <v>0.15</v>
      </c>
      <c r="P1444" s="1080">
        <v>0.35</v>
      </c>
      <c r="Q1444" s="1080">
        <v>0.4</v>
      </c>
    </row>
    <row r="1445" spans="2:17" ht="45" x14ac:dyDescent="0.25">
      <c r="B1445" s="1913"/>
      <c r="C1445" s="1916"/>
      <c r="D1445" s="1919"/>
      <c r="E1445" s="1921"/>
      <c r="F1445" s="1923"/>
      <c r="G1445" s="1923"/>
      <c r="H1445" s="1923"/>
      <c r="I1445" s="1923"/>
      <c r="J1445" s="1923"/>
      <c r="K1445" s="589" t="s">
        <v>2211</v>
      </c>
      <c r="L1445" s="1078" t="s">
        <v>14</v>
      </c>
      <c r="M1445" s="1080">
        <v>1</v>
      </c>
      <c r="N1445" s="1080">
        <v>0.15</v>
      </c>
      <c r="O1445" s="1080">
        <v>0.25</v>
      </c>
      <c r="P1445" s="1080">
        <v>0.3</v>
      </c>
      <c r="Q1445" s="1080">
        <v>0.35</v>
      </c>
    </row>
    <row r="1446" spans="2:17" ht="45" x14ac:dyDescent="0.25">
      <c r="B1446" s="1913"/>
      <c r="C1446" s="1916"/>
      <c r="D1446" s="1919"/>
      <c r="E1446" s="1921"/>
      <c r="F1446" s="1923"/>
      <c r="G1446" s="1923"/>
      <c r="H1446" s="1923"/>
      <c r="I1446" s="1923"/>
      <c r="J1446" s="1923"/>
      <c r="K1446" s="589" t="s">
        <v>2184</v>
      </c>
      <c r="L1446" s="1078" t="s">
        <v>14</v>
      </c>
      <c r="M1446" s="1080">
        <v>0.86899999999999999</v>
      </c>
      <c r="N1446" s="1080">
        <v>0.15</v>
      </c>
      <c r="O1446" s="1080">
        <v>0.2</v>
      </c>
      <c r="P1446" s="1080">
        <v>0.4</v>
      </c>
      <c r="Q1446" s="1080">
        <v>0.5</v>
      </c>
    </row>
    <row r="1447" spans="2:17" ht="60" x14ac:dyDescent="0.25">
      <c r="B1447" s="1913"/>
      <c r="C1447" s="1916"/>
      <c r="D1447" s="1919"/>
      <c r="E1447" s="1921"/>
      <c r="F1447" s="1923"/>
      <c r="G1447" s="1923"/>
      <c r="H1447" s="1923"/>
      <c r="I1447" s="1923"/>
      <c r="J1447" s="1923"/>
      <c r="K1447" s="589" t="s">
        <v>2177</v>
      </c>
      <c r="L1447" s="1078" t="s">
        <v>14</v>
      </c>
      <c r="M1447" s="1080">
        <v>1</v>
      </c>
      <c r="N1447" s="1080">
        <v>0.97</v>
      </c>
      <c r="O1447" s="1080">
        <v>0.94</v>
      </c>
      <c r="P1447" s="1080">
        <v>0.91</v>
      </c>
      <c r="Q1447" s="1080">
        <v>0.97</v>
      </c>
    </row>
    <row r="1448" spans="2:17" ht="60" x14ac:dyDescent="0.25">
      <c r="B1448" s="1914"/>
      <c r="C1448" s="1917"/>
      <c r="D1448" s="1920"/>
      <c r="E1448" s="1833"/>
      <c r="F1448" s="1924"/>
      <c r="G1448" s="1924"/>
      <c r="H1448" s="1924"/>
      <c r="I1448" s="1924"/>
      <c r="J1448" s="1924"/>
      <c r="K1448" s="589" t="s">
        <v>2178</v>
      </c>
      <c r="L1448" s="1078" t="s">
        <v>14</v>
      </c>
      <c r="M1448" s="1080">
        <v>1</v>
      </c>
      <c r="N1448" s="1068">
        <v>0.98</v>
      </c>
      <c r="O1448" s="1068">
        <v>0.96</v>
      </c>
      <c r="P1448" s="1080">
        <v>0.94</v>
      </c>
      <c r="Q1448" s="1068">
        <v>0.98</v>
      </c>
    </row>
    <row r="1449" spans="2:17" x14ac:dyDescent="0.25">
      <c r="B1449" s="1912"/>
      <c r="C1449" s="1915" t="s">
        <v>51</v>
      </c>
      <c r="D1449" s="1918"/>
      <c r="E1449" s="1832" t="s">
        <v>2212</v>
      </c>
      <c r="F1449" s="1922">
        <v>6562.3</v>
      </c>
      <c r="G1449" s="1922">
        <v>6725.4</v>
      </c>
      <c r="H1449" s="1922">
        <v>8870.1</v>
      </c>
      <c r="I1449" s="1922">
        <f>6731.3+0.1</f>
        <v>6731.4000000000005</v>
      </c>
      <c r="J1449" s="1922">
        <v>6744.4</v>
      </c>
      <c r="K1449" s="589" t="s">
        <v>2172</v>
      </c>
      <c r="L1449" s="181" t="s">
        <v>1073</v>
      </c>
      <c r="M1449" s="1078">
        <v>850</v>
      </c>
      <c r="N1449" s="1078">
        <v>250</v>
      </c>
      <c r="O1449" s="1078">
        <v>270</v>
      </c>
      <c r="P1449" s="1078">
        <v>750</v>
      </c>
      <c r="Q1449" s="1078">
        <v>780</v>
      </c>
    </row>
    <row r="1450" spans="2:17" ht="45" x14ac:dyDescent="0.25">
      <c r="B1450" s="1913"/>
      <c r="C1450" s="1916"/>
      <c r="D1450" s="1919"/>
      <c r="E1450" s="1921"/>
      <c r="F1450" s="1923"/>
      <c r="G1450" s="1923"/>
      <c r="H1450" s="1923"/>
      <c r="I1450" s="1923"/>
      <c r="J1450" s="1923"/>
      <c r="K1450" s="589" t="s">
        <v>2213</v>
      </c>
      <c r="L1450" s="1078" t="s">
        <v>14</v>
      </c>
      <c r="M1450" s="1080">
        <v>0.4</v>
      </c>
      <c r="N1450" s="1080">
        <v>0.1</v>
      </c>
      <c r="O1450" s="1080">
        <v>0.15</v>
      </c>
      <c r="P1450" s="1080">
        <v>0.3</v>
      </c>
      <c r="Q1450" s="1080">
        <v>0.32</v>
      </c>
    </row>
    <row r="1451" spans="2:17" ht="45" x14ac:dyDescent="0.25">
      <c r="B1451" s="1913"/>
      <c r="C1451" s="1916"/>
      <c r="D1451" s="1919"/>
      <c r="E1451" s="1921"/>
      <c r="F1451" s="1923"/>
      <c r="G1451" s="1923"/>
      <c r="H1451" s="1923"/>
      <c r="I1451" s="1923"/>
      <c r="J1451" s="1923"/>
      <c r="K1451" s="589" t="s">
        <v>2184</v>
      </c>
      <c r="L1451" s="1078" t="s">
        <v>14</v>
      </c>
      <c r="M1451" s="1080">
        <v>0.52</v>
      </c>
      <c r="N1451" s="1080">
        <v>0.15</v>
      </c>
      <c r="O1451" s="1080">
        <v>0.16</v>
      </c>
      <c r="P1451" s="1080">
        <v>0.44</v>
      </c>
      <c r="Q1451" s="1080">
        <v>0.46</v>
      </c>
    </row>
    <row r="1452" spans="2:17" ht="45" x14ac:dyDescent="0.25">
      <c r="B1452" s="1913"/>
      <c r="C1452" s="1916"/>
      <c r="D1452" s="1919"/>
      <c r="E1452" s="1921"/>
      <c r="F1452" s="1923"/>
      <c r="G1452" s="1923"/>
      <c r="H1452" s="1923"/>
      <c r="I1452" s="1923"/>
      <c r="J1452" s="1923"/>
      <c r="K1452" s="589" t="s">
        <v>2214</v>
      </c>
      <c r="L1452" s="181" t="s">
        <v>1073</v>
      </c>
      <c r="M1452" s="1078">
        <v>428</v>
      </c>
      <c r="N1452" s="1078">
        <v>120</v>
      </c>
      <c r="O1452" s="1078">
        <v>135</v>
      </c>
      <c r="P1452" s="1078">
        <v>300</v>
      </c>
      <c r="Q1452" s="1078">
        <v>310</v>
      </c>
    </row>
    <row r="1453" spans="2:17" ht="60" x14ac:dyDescent="0.25">
      <c r="B1453" s="1913"/>
      <c r="C1453" s="1916"/>
      <c r="D1453" s="1919"/>
      <c r="E1453" s="1921"/>
      <c r="F1453" s="1923"/>
      <c r="G1453" s="1923"/>
      <c r="H1453" s="1923"/>
      <c r="I1453" s="1923"/>
      <c r="J1453" s="1923"/>
      <c r="K1453" s="589" t="s">
        <v>2177</v>
      </c>
      <c r="L1453" s="181" t="s">
        <v>14</v>
      </c>
      <c r="M1453" s="1080">
        <v>0.92500000000000004</v>
      </c>
      <c r="N1453" s="1079">
        <v>0.93</v>
      </c>
      <c r="O1453" s="1080">
        <v>0.93500000000000005</v>
      </c>
      <c r="P1453" s="1079">
        <v>0.94</v>
      </c>
      <c r="Q1453" s="1080">
        <v>0.94499999999999995</v>
      </c>
    </row>
    <row r="1454" spans="2:17" ht="60" x14ac:dyDescent="0.25">
      <c r="B1454" s="1914"/>
      <c r="C1454" s="1917"/>
      <c r="D1454" s="1920"/>
      <c r="E1454" s="1833"/>
      <c r="F1454" s="1924"/>
      <c r="G1454" s="1923"/>
      <c r="H1454" s="1923"/>
      <c r="I1454" s="1923"/>
      <c r="J1454" s="1923"/>
      <c r="K1454" s="589" t="s">
        <v>2178</v>
      </c>
      <c r="L1454" s="181" t="s">
        <v>14</v>
      </c>
      <c r="M1454" s="1068">
        <v>0.94</v>
      </c>
      <c r="N1454" s="1068">
        <v>0.94499999999999995</v>
      </c>
      <c r="O1454" s="1068">
        <v>0.95</v>
      </c>
      <c r="P1454" s="1068">
        <v>0.95499999999999996</v>
      </c>
      <c r="Q1454" s="1068">
        <v>0.96</v>
      </c>
    </row>
    <row r="1455" spans="2:17" x14ac:dyDescent="0.25">
      <c r="B1455" s="1888" t="s">
        <v>291</v>
      </c>
      <c r="C1455" s="1889"/>
      <c r="D1455" s="1889"/>
      <c r="E1455" s="1890"/>
      <c r="F1455" s="1081">
        <f>F1354+F1368+F1395</f>
        <v>296461.5</v>
      </c>
      <c r="G1455" s="1081">
        <f t="shared" ref="G1455:J1455" si="148">G1354+G1368+G1395</f>
        <v>303831.19999999995</v>
      </c>
      <c r="H1455" s="1081">
        <f t="shared" si="148"/>
        <v>312831.2</v>
      </c>
      <c r="I1455" s="1081">
        <f t="shared" si="148"/>
        <v>304096.19999999995</v>
      </c>
      <c r="J1455" s="1081">
        <f t="shared" si="148"/>
        <v>304688.90000000002</v>
      </c>
      <c r="K1455" s="1082"/>
      <c r="L1455" s="1553"/>
      <c r="M1455" s="1083"/>
      <c r="N1455" s="1083"/>
      <c r="O1455" s="1083"/>
      <c r="P1455" s="1083"/>
      <c r="Q1455" s="1083"/>
    </row>
    <row r="1456" spans="2:17" x14ac:dyDescent="0.25">
      <c r="B1456" s="1880" t="s">
        <v>2215</v>
      </c>
      <c r="C1456" s="1880"/>
      <c r="D1456" s="1880"/>
      <c r="E1456" s="1880"/>
      <c r="F1456" s="1880"/>
      <c r="G1456" s="1880"/>
      <c r="H1456" s="1880"/>
      <c r="I1456" s="1880"/>
      <c r="J1456" s="1880"/>
      <c r="K1456" s="1880"/>
      <c r="L1456" s="1880"/>
      <c r="M1456" s="1880"/>
      <c r="N1456" s="1880"/>
      <c r="O1456" s="1880"/>
      <c r="P1456" s="1880"/>
      <c r="Q1456" s="1880"/>
    </row>
    <row r="1457" spans="2:17" ht="90" x14ac:dyDescent="0.25">
      <c r="B1457" s="428" t="s">
        <v>102</v>
      </c>
      <c r="C1457" s="413"/>
      <c r="D1457" s="413"/>
      <c r="E1457" s="562" t="s">
        <v>2547</v>
      </c>
      <c r="F1457" s="1177">
        <f>SUM(F1458:F1461)</f>
        <v>89787.4</v>
      </c>
      <c r="G1457" s="1177">
        <f t="shared" ref="G1457:J1457" si="149">SUM(G1458:G1461)</f>
        <v>74180.399999999994</v>
      </c>
      <c r="H1457" s="1177">
        <f t="shared" si="149"/>
        <v>35712.300000000003</v>
      </c>
      <c r="I1457" s="1177">
        <f t="shared" si="149"/>
        <v>92163.3</v>
      </c>
      <c r="J1457" s="1177">
        <f t="shared" si="149"/>
        <v>92416.6</v>
      </c>
      <c r="K1457" s="658" t="s">
        <v>2216</v>
      </c>
      <c r="L1457" s="583" t="s">
        <v>2217</v>
      </c>
      <c r="M1457" s="583">
        <v>79.3</v>
      </c>
      <c r="N1457" s="583">
        <v>80</v>
      </c>
      <c r="O1457" s="583">
        <v>81</v>
      </c>
      <c r="P1457" s="583">
        <v>82</v>
      </c>
      <c r="Q1457" s="583">
        <v>83</v>
      </c>
    </row>
    <row r="1458" spans="2:17" x14ac:dyDescent="0.25">
      <c r="B1458" s="413"/>
      <c r="C1458" s="413" t="s">
        <v>2</v>
      </c>
      <c r="D1458" s="413"/>
      <c r="E1458" s="663" t="s">
        <v>205</v>
      </c>
      <c r="F1458" s="1084">
        <v>10363.4</v>
      </c>
      <c r="G1458" s="1084">
        <v>6097.31</v>
      </c>
      <c r="H1458" s="1085">
        <f>8694+428.6</f>
        <v>9122.6</v>
      </c>
      <c r="I1458" s="1085">
        <v>9132.5</v>
      </c>
      <c r="J1458" s="1085">
        <v>9182.6</v>
      </c>
      <c r="K1458" s="495" t="s">
        <v>731</v>
      </c>
      <c r="L1458" s="511" t="s">
        <v>2218</v>
      </c>
      <c r="M1458" s="416">
        <v>25</v>
      </c>
      <c r="N1458" s="416">
        <v>25.5</v>
      </c>
      <c r="O1458" s="511">
        <v>26</v>
      </c>
      <c r="P1458" s="511">
        <v>26.5</v>
      </c>
      <c r="Q1458" s="511">
        <v>27</v>
      </c>
    </row>
    <row r="1459" spans="2:17" ht="30" x14ac:dyDescent="0.25">
      <c r="B1459" s="1619"/>
      <c r="C1459" s="1619" t="s">
        <v>3</v>
      </c>
      <c r="D1459" s="1619"/>
      <c r="E1459" s="1829" t="s">
        <v>2219</v>
      </c>
      <c r="F1459" s="1629">
        <v>30766.400000000001</v>
      </c>
      <c r="G1459" s="1599">
        <v>42161.74</v>
      </c>
      <c r="H1459" s="1910"/>
      <c r="I1459" s="1910">
        <v>56244.9</v>
      </c>
      <c r="J1459" s="1910">
        <v>56348.1</v>
      </c>
      <c r="K1459" s="628" t="s">
        <v>2220</v>
      </c>
      <c r="L1459" s="511" t="s">
        <v>1073</v>
      </c>
      <c r="M1459" s="416"/>
      <c r="N1459" s="511">
        <v>1</v>
      </c>
      <c r="O1459" s="511"/>
      <c r="P1459" s="511"/>
      <c r="Q1459" s="511"/>
    </row>
    <row r="1460" spans="2:17" ht="45" x14ac:dyDescent="0.25">
      <c r="B1460" s="1620"/>
      <c r="C1460" s="1620"/>
      <c r="D1460" s="1620"/>
      <c r="E1460" s="1829"/>
      <c r="F1460" s="1629"/>
      <c r="G1460" s="1600"/>
      <c r="H1460" s="1911"/>
      <c r="I1460" s="1911"/>
      <c r="J1460" s="1911"/>
      <c r="K1460" s="628" t="s">
        <v>2221</v>
      </c>
      <c r="L1460" s="511" t="s">
        <v>1073</v>
      </c>
      <c r="M1460" s="416">
        <v>37</v>
      </c>
      <c r="N1460" s="511">
        <v>9</v>
      </c>
      <c r="O1460" s="511">
        <v>8</v>
      </c>
      <c r="P1460" s="511">
        <v>8</v>
      </c>
      <c r="Q1460" s="511">
        <v>8</v>
      </c>
    </row>
    <row r="1461" spans="2:17" ht="30" x14ac:dyDescent="0.25">
      <c r="B1461" s="413"/>
      <c r="C1461" s="413" t="s">
        <v>50</v>
      </c>
      <c r="D1461" s="1178"/>
      <c r="E1461" s="663" t="s">
        <v>2222</v>
      </c>
      <c r="F1461" s="1085">
        <v>48657.599999999999</v>
      </c>
      <c r="G1461" s="1085">
        <v>25921.35</v>
      </c>
      <c r="H1461" s="1085">
        <f>24959.3+1630.4</f>
        <v>26589.7</v>
      </c>
      <c r="I1461" s="1085">
        <v>26785.9</v>
      </c>
      <c r="J1461" s="1085">
        <v>26885.9</v>
      </c>
      <c r="K1461" s="628" t="s">
        <v>2223</v>
      </c>
      <c r="L1461" s="511" t="s">
        <v>14</v>
      </c>
      <c r="M1461" s="412"/>
      <c r="N1461" s="511"/>
      <c r="O1461" s="511">
        <v>20</v>
      </c>
      <c r="P1461" s="511">
        <v>20</v>
      </c>
      <c r="Q1461" s="511">
        <v>20</v>
      </c>
    </row>
    <row r="1462" spans="2:17" ht="103.5" x14ac:dyDescent="0.25">
      <c r="B1462" s="428" t="s">
        <v>91</v>
      </c>
      <c r="C1462" s="413"/>
      <c r="D1462" s="413"/>
      <c r="E1462" s="197" t="s">
        <v>2548</v>
      </c>
      <c r="F1462" s="1177">
        <f>F1463+F1465+F1467</f>
        <v>49702.60815</v>
      </c>
      <c r="G1462" s="1177">
        <f t="shared" ref="G1462:J1462" si="150">G1463+G1465+G1467</f>
        <v>13100</v>
      </c>
      <c r="H1462" s="1177">
        <f t="shared" si="150"/>
        <v>56181.9</v>
      </c>
      <c r="I1462" s="1177">
        <f t="shared" si="150"/>
        <v>2100</v>
      </c>
      <c r="J1462" s="1177">
        <f t="shared" si="150"/>
        <v>2100</v>
      </c>
      <c r="K1462" s="628" t="s">
        <v>2224</v>
      </c>
      <c r="L1462" s="511" t="s">
        <v>14</v>
      </c>
      <c r="M1462" s="1086"/>
      <c r="N1462" s="511">
        <v>44.4</v>
      </c>
      <c r="O1462" s="511"/>
      <c r="P1462" s="511">
        <v>22.2</v>
      </c>
      <c r="Q1462" s="330">
        <v>33.299999999999997</v>
      </c>
    </row>
    <row r="1463" spans="2:17" ht="30" x14ac:dyDescent="0.25">
      <c r="B1463" s="1909"/>
      <c r="C1463" s="1909" t="s">
        <v>2</v>
      </c>
      <c r="D1463" s="1909"/>
      <c r="E1463" s="1829" t="s">
        <v>2225</v>
      </c>
      <c r="F1463" s="1901">
        <v>21551.1</v>
      </c>
      <c r="G1463" s="1901">
        <v>3100</v>
      </c>
      <c r="H1463" s="1901">
        <f>43240.9+12941</f>
        <v>56181.9</v>
      </c>
      <c r="I1463" s="1901"/>
      <c r="J1463" s="1901"/>
      <c r="K1463" s="495" t="s">
        <v>2226</v>
      </c>
      <c r="L1463" s="511" t="s">
        <v>2227</v>
      </c>
      <c r="M1463" s="511">
        <f>5+6.1+70</f>
        <v>81.099999999999994</v>
      </c>
      <c r="N1463" s="416">
        <v>9.1999999999999993</v>
      </c>
      <c r="O1463" s="416">
        <f>300+5+4</f>
        <v>309</v>
      </c>
      <c r="P1463" s="416">
        <f>400+5+4</f>
        <v>409</v>
      </c>
      <c r="Q1463" s="416">
        <v>202</v>
      </c>
    </row>
    <row r="1464" spans="2:17" ht="30" x14ac:dyDescent="0.25">
      <c r="B1464" s="1909"/>
      <c r="C1464" s="1909"/>
      <c r="D1464" s="1909"/>
      <c r="E1464" s="1829"/>
      <c r="F1464" s="1901"/>
      <c r="G1464" s="1901"/>
      <c r="H1464" s="1901"/>
      <c r="I1464" s="1901"/>
      <c r="J1464" s="1901"/>
      <c r="K1464" s="495" t="s">
        <v>2228</v>
      </c>
      <c r="L1464" s="511" t="s">
        <v>979</v>
      </c>
      <c r="M1464" s="511">
        <f>1+1+2</f>
        <v>4</v>
      </c>
      <c r="N1464" s="416">
        <f>1+1+2</f>
        <v>4</v>
      </c>
      <c r="O1464" s="416"/>
      <c r="P1464" s="416">
        <v>2</v>
      </c>
      <c r="Q1464" s="416">
        <v>3</v>
      </c>
    </row>
    <row r="1465" spans="2:17" ht="45" x14ac:dyDescent="0.25">
      <c r="B1465" s="1909"/>
      <c r="C1465" s="1909" t="s">
        <v>3</v>
      </c>
      <c r="D1465" s="1909"/>
      <c r="E1465" s="1902" t="s">
        <v>2229</v>
      </c>
      <c r="F1465" s="1901">
        <v>18151.508150000001</v>
      </c>
      <c r="G1465" s="1901">
        <v>5000</v>
      </c>
      <c r="H1465" s="1901"/>
      <c r="I1465" s="1901"/>
      <c r="J1465" s="1901"/>
      <c r="K1465" s="495" t="s">
        <v>2230</v>
      </c>
      <c r="L1465" s="511" t="s">
        <v>979</v>
      </c>
      <c r="M1465" s="511">
        <v>1200</v>
      </c>
      <c r="N1465" s="416">
        <v>400</v>
      </c>
      <c r="O1465" s="416">
        <v>400</v>
      </c>
      <c r="P1465" s="416">
        <v>400</v>
      </c>
      <c r="Q1465" s="416">
        <v>400</v>
      </c>
    </row>
    <row r="1466" spans="2:17" ht="45" x14ac:dyDescent="0.25">
      <c r="B1466" s="1909"/>
      <c r="C1466" s="1909"/>
      <c r="D1466" s="1909"/>
      <c r="E1466" s="1902"/>
      <c r="F1466" s="1901"/>
      <c r="G1466" s="1901"/>
      <c r="H1466" s="1901"/>
      <c r="I1466" s="1901"/>
      <c r="J1466" s="1901"/>
      <c r="K1466" s="628" t="s">
        <v>2231</v>
      </c>
      <c r="L1466" s="511" t="s">
        <v>979</v>
      </c>
      <c r="M1466" s="511">
        <v>256</v>
      </c>
      <c r="N1466" s="416">
        <v>10</v>
      </c>
      <c r="O1466" s="416">
        <v>10</v>
      </c>
      <c r="P1466" s="416">
        <v>10</v>
      </c>
      <c r="Q1466" s="416">
        <v>10</v>
      </c>
    </row>
    <row r="1467" spans="2:17" ht="45" x14ac:dyDescent="0.25">
      <c r="B1467" s="1903"/>
      <c r="C1467" s="1903" t="s">
        <v>4</v>
      </c>
      <c r="D1467" s="1904"/>
      <c r="E1467" s="1908" t="s">
        <v>2232</v>
      </c>
      <c r="F1467" s="1901">
        <v>10000</v>
      </c>
      <c r="G1467" s="1901">
        <v>5000</v>
      </c>
      <c r="H1467" s="1901"/>
      <c r="I1467" s="1901">
        <v>2100</v>
      </c>
      <c r="J1467" s="1901">
        <v>2100</v>
      </c>
      <c r="K1467" s="628" t="s">
        <v>2233</v>
      </c>
      <c r="L1467" s="511" t="s">
        <v>2234</v>
      </c>
      <c r="M1467" s="511">
        <v>45200</v>
      </c>
      <c r="N1467" s="416">
        <v>45250</v>
      </c>
      <c r="O1467" s="416">
        <v>45255</v>
      </c>
      <c r="P1467" s="416">
        <v>45260</v>
      </c>
      <c r="Q1467" s="416">
        <v>45265</v>
      </c>
    </row>
    <row r="1468" spans="2:17" ht="45" x14ac:dyDescent="0.25">
      <c r="B1468" s="1903"/>
      <c r="C1468" s="1903"/>
      <c r="D1468" s="1904"/>
      <c r="E1468" s="1908"/>
      <c r="F1468" s="1901"/>
      <c r="G1468" s="1901"/>
      <c r="H1468" s="1901"/>
      <c r="I1468" s="1901"/>
      <c r="J1468" s="1901"/>
      <c r="K1468" s="628" t="s">
        <v>2235</v>
      </c>
      <c r="L1468" s="511" t="s">
        <v>2549</v>
      </c>
      <c r="M1468" s="511">
        <v>53.5</v>
      </c>
      <c r="N1468" s="416">
        <v>53.5</v>
      </c>
      <c r="O1468" s="511">
        <v>53.5</v>
      </c>
      <c r="P1468" s="511">
        <v>53.5</v>
      </c>
      <c r="Q1468" s="511">
        <v>53.5</v>
      </c>
    </row>
    <row r="1469" spans="2:17" ht="57" x14ac:dyDescent="0.25">
      <c r="B1469" s="331" t="s">
        <v>98</v>
      </c>
      <c r="C1469" s="412"/>
      <c r="D1469" s="331"/>
      <c r="E1469" s="1087" t="s">
        <v>2236</v>
      </c>
      <c r="F1469" s="1085"/>
      <c r="G1469" s="1085"/>
      <c r="H1469" s="1088">
        <f>H1470+H1471+H1472</f>
        <v>42100</v>
      </c>
      <c r="I1469" s="1085"/>
      <c r="J1469" s="1085"/>
      <c r="K1469" s="628"/>
      <c r="L1469" s="511"/>
      <c r="M1469" s="511"/>
      <c r="N1469" s="416"/>
      <c r="O1469" s="511"/>
      <c r="P1469" s="511"/>
      <c r="Q1469" s="511"/>
    </row>
    <row r="1470" spans="2:17" ht="30" x14ac:dyDescent="0.25">
      <c r="B1470" s="412"/>
      <c r="C1470" s="412" t="s">
        <v>2</v>
      </c>
      <c r="D1470" s="331"/>
      <c r="E1470" s="777" t="s">
        <v>2237</v>
      </c>
      <c r="F1470" s="1085"/>
      <c r="G1470" s="1085"/>
      <c r="H1470" s="1085">
        <v>15000</v>
      </c>
      <c r="I1470" s="1085"/>
      <c r="J1470" s="1085"/>
      <c r="K1470" s="628"/>
      <c r="L1470" s="511"/>
      <c r="M1470" s="511"/>
      <c r="N1470" s="416"/>
      <c r="O1470" s="511"/>
      <c r="P1470" s="511"/>
      <c r="Q1470" s="511"/>
    </row>
    <row r="1471" spans="2:17" ht="45" x14ac:dyDescent="0.25">
      <c r="B1471" s="412"/>
      <c r="C1471" s="412" t="s">
        <v>3</v>
      </c>
      <c r="D1471" s="331"/>
      <c r="E1471" s="777" t="s">
        <v>2238</v>
      </c>
      <c r="F1471" s="1085"/>
      <c r="G1471" s="1085"/>
      <c r="H1471" s="1085">
        <v>7100</v>
      </c>
      <c r="I1471" s="1085"/>
      <c r="J1471" s="1085"/>
      <c r="K1471" s="628"/>
      <c r="L1471" s="511"/>
      <c r="M1471" s="511"/>
      <c r="N1471" s="416"/>
      <c r="O1471" s="511"/>
      <c r="P1471" s="511"/>
      <c r="Q1471" s="511"/>
    </row>
    <row r="1472" spans="2:17" ht="60" x14ac:dyDescent="0.25">
      <c r="B1472" s="412"/>
      <c r="C1472" s="412" t="s">
        <v>4</v>
      </c>
      <c r="D1472" s="331"/>
      <c r="E1472" s="777" t="s">
        <v>2239</v>
      </c>
      <c r="F1472" s="1085"/>
      <c r="G1472" s="1085"/>
      <c r="H1472" s="1085">
        <v>20000</v>
      </c>
      <c r="I1472" s="1085"/>
      <c r="J1472" s="1085"/>
      <c r="K1472" s="628"/>
      <c r="L1472" s="511"/>
      <c r="M1472" s="511"/>
      <c r="N1472" s="416"/>
      <c r="O1472" s="511"/>
      <c r="P1472" s="511"/>
      <c r="Q1472" s="511"/>
    </row>
    <row r="1473" spans="2:17" ht="74.25" x14ac:dyDescent="0.25">
      <c r="B1473" s="331" t="s">
        <v>1735</v>
      </c>
      <c r="C1473" s="412"/>
      <c r="D1473" s="331"/>
      <c r="E1473" s="1089" t="s">
        <v>2240</v>
      </c>
      <c r="F1473" s="1088">
        <f>F1474+F1475+F1476+F1477+F1478+F1479+F1480+F1482+F1484+F1485+F1486+F1487+F1488+F1489+F1490</f>
        <v>3358191.8</v>
      </c>
      <c r="G1473" s="1088">
        <f>G1474+G1475+G1476+G1477+G1478+G1479+G1480+G1482+G1484+G1485+G1486+G1487+G1488+G1489+G1490</f>
        <v>9320519.6400000006</v>
      </c>
      <c r="H1473" s="1088">
        <f>H1474+H1475+H1476+H1477+H1478+H1479+H1480+H1482+H1484+H1485+H1486+H1487+H1488+H1489+H1490</f>
        <v>5794772.5300000003</v>
      </c>
      <c r="I1473" s="1088">
        <f t="shared" ref="I1473:J1473" si="151">I1474+I1475+I1476+I1477+I1478+I1479+I1480+I1482+I1484+I1485+I1486+I1487+I1488+I1489+I1490</f>
        <v>8117030.7200000007</v>
      </c>
      <c r="J1473" s="1088">
        <f t="shared" si="151"/>
        <v>8912401.0700000003</v>
      </c>
      <c r="K1473" s="628"/>
      <c r="L1473" s="511"/>
      <c r="M1473" s="511"/>
      <c r="N1473" s="416"/>
      <c r="O1473" s="416"/>
      <c r="P1473" s="416"/>
      <c r="Q1473" s="416"/>
    </row>
    <row r="1474" spans="2:17" ht="30" x14ac:dyDescent="0.25">
      <c r="B1474" s="412"/>
      <c r="C1474" s="412" t="s">
        <v>5</v>
      </c>
      <c r="D1474" s="331"/>
      <c r="E1474" s="1089" t="s">
        <v>2241</v>
      </c>
      <c r="F1474" s="1085">
        <v>181668.3</v>
      </c>
      <c r="G1474" s="557" t="s">
        <v>2242</v>
      </c>
      <c r="H1474" s="1085">
        <v>199162.5</v>
      </c>
      <c r="I1474" s="1085">
        <v>281278.5</v>
      </c>
      <c r="J1474" s="1085">
        <v>105931.84</v>
      </c>
      <c r="K1474" s="628" t="s">
        <v>2243</v>
      </c>
      <c r="L1474" s="511" t="s">
        <v>1073</v>
      </c>
      <c r="M1474" s="511"/>
      <c r="N1474" s="416"/>
      <c r="O1474" s="416"/>
      <c r="P1474" s="511" t="s">
        <v>2244</v>
      </c>
      <c r="Q1474" s="416"/>
    </row>
    <row r="1475" spans="2:17" x14ac:dyDescent="0.25">
      <c r="B1475" s="412"/>
      <c r="C1475" s="412" t="s">
        <v>50</v>
      </c>
      <c r="D1475" s="331"/>
      <c r="E1475" s="1089" t="s">
        <v>2245</v>
      </c>
      <c r="F1475" s="1085">
        <v>0</v>
      </c>
      <c r="G1475" s="557" t="s">
        <v>2246</v>
      </c>
      <c r="H1475" s="1085">
        <v>2735400</v>
      </c>
      <c r="I1475" s="1085">
        <v>3101550</v>
      </c>
      <c r="J1475" s="1085">
        <v>1191300</v>
      </c>
      <c r="K1475" s="628" t="s">
        <v>2247</v>
      </c>
      <c r="L1475" s="511" t="s">
        <v>1073</v>
      </c>
      <c r="M1475" s="511"/>
      <c r="N1475" s="416" t="s">
        <v>2248</v>
      </c>
      <c r="O1475" s="284"/>
      <c r="P1475" s="416"/>
      <c r="Q1475" s="416"/>
    </row>
    <row r="1476" spans="2:17" ht="45" x14ac:dyDescent="0.25">
      <c r="B1476" s="412"/>
      <c r="C1476" s="412" t="s">
        <v>51</v>
      </c>
      <c r="D1476" s="331"/>
      <c r="E1476" s="1089" t="s">
        <v>2249</v>
      </c>
      <c r="F1476" s="1085">
        <v>304180.8</v>
      </c>
      <c r="G1476" s="557" t="s">
        <v>2250</v>
      </c>
      <c r="H1476" s="1085">
        <v>98700</v>
      </c>
      <c r="I1476" s="1088">
        <v>0</v>
      </c>
      <c r="J1476" s="1088">
        <v>0</v>
      </c>
      <c r="K1476" s="628" t="s">
        <v>2251</v>
      </c>
      <c r="L1476" s="511" t="s">
        <v>1073</v>
      </c>
      <c r="M1476" s="511" t="s">
        <v>2252</v>
      </c>
      <c r="N1476" s="416"/>
      <c r="O1476" s="416"/>
      <c r="P1476" s="416"/>
      <c r="Q1476" s="416"/>
    </row>
    <row r="1477" spans="2:17" ht="30" x14ac:dyDescent="0.25">
      <c r="B1477" s="412"/>
      <c r="C1477" s="412" t="s">
        <v>53</v>
      </c>
      <c r="D1477" s="331"/>
      <c r="E1477" s="1089" t="s">
        <v>2253</v>
      </c>
      <c r="F1477" s="1085">
        <v>142894.1</v>
      </c>
      <c r="G1477" s="557" t="s">
        <v>2254</v>
      </c>
      <c r="H1477" s="1085">
        <v>141000</v>
      </c>
      <c r="I1477" s="1085">
        <v>64170</v>
      </c>
      <c r="J1477" s="1088"/>
      <c r="K1477" s="628" t="s">
        <v>2255</v>
      </c>
      <c r="L1477" s="511" t="s">
        <v>1073</v>
      </c>
      <c r="M1477" s="511"/>
      <c r="N1477" s="511" t="s">
        <v>2256</v>
      </c>
      <c r="O1477" s="416"/>
      <c r="P1477" s="416"/>
      <c r="Q1477" s="416"/>
    </row>
    <row r="1478" spans="2:17" ht="30" x14ac:dyDescent="0.25">
      <c r="B1478" s="412"/>
      <c r="C1478" s="412" t="s">
        <v>54</v>
      </c>
      <c r="D1478" s="331"/>
      <c r="E1478" s="1089" t="s">
        <v>2257</v>
      </c>
      <c r="F1478" s="1085">
        <v>0</v>
      </c>
      <c r="G1478" s="557" t="s">
        <v>2258</v>
      </c>
      <c r="H1478" s="1085">
        <v>67680</v>
      </c>
      <c r="I1478" s="1085">
        <v>1073968.3700000001</v>
      </c>
      <c r="J1478" s="1085">
        <v>3819006.73</v>
      </c>
      <c r="K1478" s="628" t="s">
        <v>2259</v>
      </c>
      <c r="L1478" s="511" t="s">
        <v>1073</v>
      </c>
      <c r="M1478" s="511"/>
      <c r="N1478" s="284"/>
      <c r="O1478" s="416"/>
      <c r="P1478" s="511" t="s">
        <v>2260</v>
      </c>
      <c r="Q1478" s="416"/>
    </row>
    <row r="1479" spans="2:17" ht="30" x14ac:dyDescent="0.25">
      <c r="B1479" s="412"/>
      <c r="C1479" s="412" t="s">
        <v>86</v>
      </c>
      <c r="D1479" s="331"/>
      <c r="E1479" s="1089" t="s">
        <v>2261</v>
      </c>
      <c r="F1479" s="1085">
        <v>762285.1</v>
      </c>
      <c r="G1479" s="557" t="s">
        <v>2262</v>
      </c>
      <c r="H1479" s="1085">
        <v>1708240.03</v>
      </c>
      <c r="I1479" s="1085">
        <v>2096639.11</v>
      </c>
      <c r="J1479" s="1085">
        <v>3630384.08</v>
      </c>
      <c r="K1479" s="628" t="s">
        <v>2263</v>
      </c>
      <c r="L1479" s="511" t="s">
        <v>1073</v>
      </c>
      <c r="M1479" s="511"/>
      <c r="N1479" s="416"/>
      <c r="O1479" s="511" t="s">
        <v>2264</v>
      </c>
      <c r="P1479" s="511" t="s">
        <v>2264</v>
      </c>
      <c r="Q1479" s="511"/>
    </row>
    <row r="1480" spans="2:17" x14ac:dyDescent="0.25">
      <c r="B1480" s="1899"/>
      <c r="C1480" s="1899" t="s">
        <v>90</v>
      </c>
      <c r="D1480" s="1906"/>
      <c r="E1480" s="1908" t="s">
        <v>2265</v>
      </c>
      <c r="F1480" s="1901">
        <v>0</v>
      </c>
      <c r="G1480" s="1629" t="s">
        <v>2266</v>
      </c>
      <c r="H1480" s="1901">
        <v>634500</v>
      </c>
      <c r="I1480" s="1901">
        <v>713000</v>
      </c>
      <c r="J1480" s="1901">
        <v>47146.6</v>
      </c>
      <c r="K1480" s="1808" t="s">
        <v>2267</v>
      </c>
      <c r="L1480" s="511" t="s">
        <v>2268</v>
      </c>
      <c r="M1480" s="511"/>
      <c r="N1480" s="1593" t="s">
        <v>2269</v>
      </c>
      <c r="O1480" s="1593"/>
      <c r="P1480" s="1593"/>
      <c r="Q1480" s="416"/>
    </row>
    <row r="1481" spans="2:17" x14ac:dyDescent="0.25">
      <c r="B1481" s="1900"/>
      <c r="C1481" s="1900"/>
      <c r="D1481" s="1907"/>
      <c r="E1481" s="1908"/>
      <c r="F1481" s="1901"/>
      <c r="G1481" s="1629"/>
      <c r="H1481" s="1901"/>
      <c r="I1481" s="1901"/>
      <c r="J1481" s="1901"/>
      <c r="K1481" s="1808"/>
      <c r="L1481" s="511" t="s">
        <v>912</v>
      </c>
      <c r="M1481" s="511"/>
      <c r="N1481" s="1593" t="s">
        <v>2270</v>
      </c>
      <c r="O1481" s="1593"/>
      <c r="P1481" s="1593"/>
      <c r="Q1481" s="416"/>
    </row>
    <row r="1482" spans="2:17" x14ac:dyDescent="0.25">
      <c r="B1482" s="1903"/>
      <c r="C1482" s="1903" t="s">
        <v>65</v>
      </c>
      <c r="D1482" s="1904"/>
      <c r="E1482" s="1905" t="s">
        <v>2271</v>
      </c>
      <c r="F1482" s="1571" t="s">
        <v>2272</v>
      </c>
      <c r="G1482" s="1629" t="s">
        <v>2273</v>
      </c>
      <c r="H1482" s="1901"/>
      <c r="I1482" s="1901">
        <v>558279</v>
      </c>
      <c r="J1482" s="1901">
        <v>18071.66</v>
      </c>
      <c r="K1482" s="1808" t="s">
        <v>2274</v>
      </c>
      <c r="L1482" s="511" t="s">
        <v>2275</v>
      </c>
      <c r="M1482" s="511"/>
      <c r="N1482" s="1808" t="s">
        <v>2276</v>
      </c>
      <c r="O1482" s="1808"/>
      <c r="P1482" s="1808"/>
      <c r="Q1482" s="416"/>
    </row>
    <row r="1483" spans="2:17" ht="45" x14ac:dyDescent="0.25">
      <c r="B1483" s="1903"/>
      <c r="C1483" s="1903"/>
      <c r="D1483" s="1904"/>
      <c r="E1483" s="1905"/>
      <c r="F1483" s="1571"/>
      <c r="G1483" s="1629"/>
      <c r="H1483" s="1901"/>
      <c r="I1483" s="1901"/>
      <c r="J1483" s="1901"/>
      <c r="K1483" s="1808"/>
      <c r="L1483" s="511" t="s">
        <v>2277</v>
      </c>
      <c r="M1483" s="511"/>
      <c r="N1483" s="1808" t="s">
        <v>2278</v>
      </c>
      <c r="O1483" s="1808"/>
      <c r="P1483" s="1808"/>
      <c r="Q1483" s="416"/>
    </row>
    <row r="1484" spans="2:17" ht="45" x14ac:dyDescent="0.25">
      <c r="B1484" s="412"/>
      <c r="C1484" s="412" t="s">
        <v>79</v>
      </c>
      <c r="D1484" s="331"/>
      <c r="E1484" s="349" t="s">
        <v>2279</v>
      </c>
      <c r="F1484" s="430" t="s">
        <v>2272</v>
      </c>
      <c r="G1484" s="557" t="s">
        <v>2280</v>
      </c>
      <c r="H1484" s="1085">
        <v>84600</v>
      </c>
      <c r="I1484" s="1085">
        <v>167790.29</v>
      </c>
      <c r="J1484" s="1085">
        <v>100560.16</v>
      </c>
      <c r="K1484" s="495" t="s">
        <v>2281</v>
      </c>
      <c r="L1484" s="511" t="s">
        <v>2282</v>
      </c>
      <c r="M1484" s="511"/>
      <c r="N1484" s="1657" t="s">
        <v>2550</v>
      </c>
      <c r="O1484" s="1657"/>
      <c r="P1484" s="1657"/>
      <c r="Q1484" s="416"/>
    </row>
    <row r="1485" spans="2:17" ht="45" x14ac:dyDescent="0.25">
      <c r="B1485" s="412"/>
      <c r="C1485" s="412" t="s">
        <v>80</v>
      </c>
      <c r="D1485" s="331"/>
      <c r="E1485" s="349" t="s">
        <v>2283</v>
      </c>
      <c r="F1485" s="430" t="s">
        <v>2272</v>
      </c>
      <c r="G1485" s="557" t="s">
        <v>2284</v>
      </c>
      <c r="H1485" s="1085">
        <v>94047</v>
      </c>
      <c r="I1485" s="1085">
        <v>60355.45</v>
      </c>
      <c r="J1485" s="1088"/>
      <c r="K1485" s="495" t="s">
        <v>2285</v>
      </c>
      <c r="L1485" s="511" t="s">
        <v>2545</v>
      </c>
      <c r="M1485" s="511"/>
      <c r="N1485" s="1593" t="s">
        <v>2286</v>
      </c>
      <c r="O1485" s="1593"/>
      <c r="P1485" s="1593"/>
      <c r="Q1485" s="416"/>
    </row>
    <row r="1486" spans="2:17" ht="30" x14ac:dyDescent="0.25">
      <c r="B1486" s="412"/>
      <c r="C1486" s="412" t="s">
        <v>4</v>
      </c>
      <c r="D1486" s="331"/>
      <c r="E1486" s="1089" t="s">
        <v>2287</v>
      </c>
      <c r="F1486" s="557" t="s">
        <v>2288</v>
      </c>
      <c r="G1486" s="557" t="s">
        <v>2289</v>
      </c>
      <c r="H1486" s="1085">
        <v>31443</v>
      </c>
      <c r="I1486" s="1088">
        <v>0</v>
      </c>
      <c r="J1486" s="1088">
        <v>0</v>
      </c>
      <c r="K1486" s="495" t="s">
        <v>2290</v>
      </c>
      <c r="L1486" s="511" t="s">
        <v>14</v>
      </c>
      <c r="M1486" s="511">
        <v>12.4</v>
      </c>
      <c r="N1486" s="511"/>
      <c r="O1486" s="511"/>
      <c r="P1486" s="511"/>
      <c r="Q1486" s="416"/>
    </row>
    <row r="1487" spans="2:17" x14ac:dyDescent="0.25">
      <c r="B1487" s="412"/>
      <c r="C1487" s="412" t="s">
        <v>3</v>
      </c>
      <c r="D1487" s="331"/>
      <c r="E1487" s="1089" t="s">
        <v>2291</v>
      </c>
      <c r="F1487" s="557" t="s">
        <v>2292</v>
      </c>
      <c r="G1487" s="557" t="s">
        <v>2293</v>
      </c>
      <c r="H1487" s="1085">
        <v>0</v>
      </c>
      <c r="I1487" s="1088">
        <v>0</v>
      </c>
      <c r="J1487" s="1088">
        <v>0</v>
      </c>
      <c r="K1487" s="495"/>
      <c r="L1487" s="511"/>
      <c r="M1487" s="511"/>
      <c r="N1487" s="511"/>
      <c r="O1487" s="511"/>
      <c r="P1487" s="511"/>
      <c r="Q1487" s="416"/>
    </row>
    <row r="1488" spans="2:17" x14ac:dyDescent="0.25">
      <c r="B1488" s="412"/>
      <c r="C1488" s="412" t="s">
        <v>49</v>
      </c>
      <c r="D1488" s="331"/>
      <c r="E1488" s="1089" t="s">
        <v>2294</v>
      </c>
      <c r="F1488" s="557" t="s">
        <v>2295</v>
      </c>
      <c r="G1488" s="557" t="s">
        <v>2296</v>
      </c>
      <c r="H1488" s="1085">
        <v>0</v>
      </c>
      <c r="I1488" s="1088">
        <v>0</v>
      </c>
      <c r="J1488" s="1088">
        <v>0</v>
      </c>
      <c r="K1488" s="495"/>
      <c r="L1488" s="511"/>
      <c r="M1488" s="511"/>
      <c r="N1488" s="511"/>
      <c r="O1488" s="511"/>
      <c r="P1488" s="511"/>
      <c r="Q1488" s="416"/>
    </row>
    <row r="1489" spans="2:17" x14ac:dyDescent="0.25">
      <c r="B1489" s="412"/>
      <c r="C1489" s="412" t="s">
        <v>89</v>
      </c>
      <c r="D1489" s="331"/>
      <c r="E1489" s="1089" t="s">
        <v>2297</v>
      </c>
      <c r="F1489" s="557" t="s">
        <v>2298</v>
      </c>
      <c r="G1489" s="557" t="s">
        <v>2272</v>
      </c>
      <c r="H1489" s="1085">
        <v>0</v>
      </c>
      <c r="I1489" s="1088">
        <v>0</v>
      </c>
      <c r="J1489" s="1088">
        <v>0</v>
      </c>
      <c r="K1489" s="495"/>
      <c r="L1489" s="511"/>
      <c r="M1489" s="511"/>
      <c r="N1489" s="511"/>
      <c r="O1489" s="511"/>
      <c r="P1489" s="511"/>
      <c r="Q1489" s="416"/>
    </row>
    <row r="1490" spans="2:17" ht="30" x14ac:dyDescent="0.25">
      <c r="B1490" s="412"/>
      <c r="C1490" s="412" t="s">
        <v>88</v>
      </c>
      <c r="D1490" s="331"/>
      <c r="E1490" s="1089" t="s">
        <v>2299</v>
      </c>
      <c r="F1490" s="557" t="s">
        <v>2300</v>
      </c>
      <c r="G1490" s="557" t="s">
        <v>2272</v>
      </c>
      <c r="H1490" s="1085">
        <v>0</v>
      </c>
      <c r="I1490" s="1088">
        <v>0</v>
      </c>
      <c r="J1490" s="1088">
        <v>0</v>
      </c>
      <c r="K1490" s="495"/>
      <c r="L1490" s="511"/>
      <c r="M1490" s="511"/>
      <c r="N1490" s="511"/>
      <c r="O1490" s="511"/>
      <c r="P1490" s="511"/>
      <c r="Q1490" s="416"/>
    </row>
    <row r="1491" spans="2:17" ht="103.5" x14ac:dyDescent="0.25">
      <c r="B1491" s="331" t="s">
        <v>101</v>
      </c>
      <c r="C1491" s="331"/>
      <c r="D1491" s="331"/>
      <c r="E1491" s="562" t="s">
        <v>2301</v>
      </c>
      <c r="F1491" s="1088">
        <f>F1492+F1494</f>
        <v>30288</v>
      </c>
      <c r="G1491" s="1088">
        <f t="shared" ref="G1491" si="152">G1492+G1494</f>
        <v>35032.5</v>
      </c>
      <c r="H1491" s="1088">
        <f>H1492+H1494</f>
        <v>0</v>
      </c>
      <c r="I1491" s="1088">
        <f>I1492+I1494</f>
        <v>35032.5</v>
      </c>
      <c r="J1491" s="1088">
        <f>J1492+J1494</f>
        <v>35032.5</v>
      </c>
      <c r="K1491" s="496"/>
      <c r="L1491" s="583"/>
      <c r="M1491" s="583"/>
      <c r="N1491" s="583"/>
      <c r="O1491" s="583"/>
      <c r="P1491" s="583"/>
      <c r="Q1491" s="116"/>
    </row>
    <row r="1492" spans="2:17" ht="60" x14ac:dyDescent="0.25">
      <c r="B1492" s="1899"/>
      <c r="C1492" s="1899" t="s">
        <v>2</v>
      </c>
      <c r="D1492" s="1899"/>
      <c r="E1492" s="1669" t="s">
        <v>2302</v>
      </c>
      <c r="F1492" s="1901">
        <v>14144.5</v>
      </c>
      <c r="G1492" s="1901">
        <v>18676.400000000001</v>
      </c>
      <c r="H1492" s="1901"/>
      <c r="I1492" s="1901">
        <v>18676.8</v>
      </c>
      <c r="J1492" s="1901">
        <v>18676.8</v>
      </c>
      <c r="K1492" s="628" t="s">
        <v>2303</v>
      </c>
      <c r="L1492" s="511" t="s">
        <v>2304</v>
      </c>
      <c r="M1492" s="511">
        <v>69</v>
      </c>
      <c r="N1492" s="416">
        <v>71</v>
      </c>
      <c r="O1492" s="416">
        <v>71</v>
      </c>
      <c r="P1492" s="416">
        <v>71</v>
      </c>
      <c r="Q1492" s="416">
        <v>71</v>
      </c>
    </row>
    <row r="1493" spans="2:17" ht="75" x14ac:dyDescent="0.25">
      <c r="B1493" s="1900"/>
      <c r="C1493" s="1900"/>
      <c r="D1493" s="1900"/>
      <c r="E1493" s="1902"/>
      <c r="F1493" s="1901"/>
      <c r="G1493" s="1901"/>
      <c r="H1493" s="1901"/>
      <c r="I1493" s="1901"/>
      <c r="J1493" s="1901"/>
      <c r="K1493" s="628" t="s">
        <v>2305</v>
      </c>
      <c r="L1493" s="511" t="s">
        <v>2306</v>
      </c>
      <c r="M1493" s="511">
        <v>8</v>
      </c>
      <c r="N1493" s="416">
        <v>8</v>
      </c>
      <c r="O1493" s="416">
        <v>8</v>
      </c>
      <c r="P1493" s="416">
        <v>8</v>
      </c>
      <c r="Q1493" s="416">
        <v>8</v>
      </c>
    </row>
    <row r="1494" spans="2:17" ht="30" x14ac:dyDescent="0.25">
      <c r="B1494" s="1899"/>
      <c r="C1494" s="1899" t="s">
        <v>3</v>
      </c>
      <c r="D1494" s="1899"/>
      <c r="E1494" s="1669" t="s">
        <v>2307</v>
      </c>
      <c r="F1494" s="1901">
        <v>16143.5</v>
      </c>
      <c r="G1494" s="1901">
        <v>16356.1</v>
      </c>
      <c r="H1494" s="1901"/>
      <c r="I1494" s="1901">
        <v>16355.7</v>
      </c>
      <c r="J1494" s="1901">
        <v>16355.7</v>
      </c>
      <c r="K1494" s="628" t="s">
        <v>2308</v>
      </c>
      <c r="L1494" s="511" t="s">
        <v>2234</v>
      </c>
      <c r="M1494" s="511">
        <v>122</v>
      </c>
      <c r="N1494" s="914">
        <v>126</v>
      </c>
      <c r="O1494" s="914">
        <v>126</v>
      </c>
      <c r="P1494" s="914">
        <v>126</v>
      </c>
      <c r="Q1494" s="914">
        <v>126</v>
      </c>
    </row>
    <row r="1495" spans="2:17" ht="45" x14ac:dyDescent="0.25">
      <c r="B1495" s="1900"/>
      <c r="C1495" s="1900"/>
      <c r="D1495" s="1900"/>
      <c r="E1495" s="1902"/>
      <c r="F1495" s="1901"/>
      <c r="G1495" s="1901"/>
      <c r="H1495" s="1901"/>
      <c r="I1495" s="1901"/>
      <c r="J1495" s="1901"/>
      <c r="K1495" s="628" t="s">
        <v>2309</v>
      </c>
      <c r="L1495" s="511" t="s">
        <v>2234</v>
      </c>
      <c r="M1495" s="511">
        <v>119</v>
      </c>
      <c r="N1495" s="914">
        <v>122</v>
      </c>
      <c r="O1495" s="914">
        <v>122</v>
      </c>
      <c r="P1495" s="914">
        <v>122</v>
      </c>
      <c r="Q1495" s="914">
        <v>122</v>
      </c>
    </row>
    <row r="1496" spans="2:17" ht="103.5" x14ac:dyDescent="0.25">
      <c r="B1496" s="331" t="s">
        <v>110</v>
      </c>
      <c r="C1496" s="412"/>
      <c r="D1496" s="331"/>
      <c r="E1496" s="562" t="s">
        <v>2310</v>
      </c>
      <c r="F1496" s="1088">
        <f>F1497+F1499</f>
        <v>38382.6</v>
      </c>
      <c r="G1496" s="1088">
        <f t="shared" ref="G1496:J1496" si="153">G1497+G1499</f>
        <v>39917.9</v>
      </c>
      <c r="H1496" s="1088">
        <f>H1497+H1499</f>
        <v>0</v>
      </c>
      <c r="I1496" s="1088">
        <f t="shared" si="153"/>
        <v>39980.399999999994</v>
      </c>
      <c r="J1496" s="1088">
        <f t="shared" si="153"/>
        <v>40112.6</v>
      </c>
      <c r="K1496" s="495"/>
      <c r="L1496" s="511"/>
      <c r="M1496" s="914"/>
      <c r="N1496" s="914"/>
      <c r="O1496" s="914"/>
      <c r="P1496" s="914"/>
      <c r="Q1496" s="416"/>
    </row>
    <row r="1497" spans="2:17" ht="30" x14ac:dyDescent="0.25">
      <c r="B1497" s="1899"/>
      <c r="C1497" s="1899" t="s">
        <v>2</v>
      </c>
      <c r="D1497" s="1899"/>
      <c r="E1497" s="1669" t="s">
        <v>2311</v>
      </c>
      <c r="F1497" s="1901">
        <v>22031.599999999999</v>
      </c>
      <c r="G1497" s="1901">
        <v>22904.9</v>
      </c>
      <c r="H1497" s="1901"/>
      <c r="I1497" s="1901">
        <v>22899.599999999999</v>
      </c>
      <c r="J1497" s="1901">
        <v>22899.599999999999</v>
      </c>
      <c r="K1497" s="769" t="s">
        <v>2312</v>
      </c>
      <c r="L1497" s="511" t="s">
        <v>2313</v>
      </c>
      <c r="M1497" s="511">
        <v>0</v>
      </c>
      <c r="N1497" s="276">
        <v>31</v>
      </c>
      <c r="O1497" s="276">
        <v>31</v>
      </c>
      <c r="P1497" s="276">
        <v>31</v>
      </c>
      <c r="Q1497" s="276">
        <v>31</v>
      </c>
    </row>
    <row r="1498" spans="2:17" ht="30" x14ac:dyDescent="0.25">
      <c r="B1498" s="1900"/>
      <c r="C1498" s="1900"/>
      <c r="D1498" s="1900"/>
      <c r="E1498" s="1669"/>
      <c r="F1498" s="1901"/>
      <c r="G1498" s="1901"/>
      <c r="H1498" s="1901"/>
      <c r="I1498" s="1901"/>
      <c r="J1498" s="1901"/>
      <c r="K1498" s="495" t="s">
        <v>2314</v>
      </c>
      <c r="L1498" s="511" t="s">
        <v>2227</v>
      </c>
      <c r="M1498" s="511">
        <v>1895.2</v>
      </c>
      <c r="N1498" s="914">
        <v>970</v>
      </c>
      <c r="O1498" s="914">
        <v>970</v>
      </c>
      <c r="P1498" s="914">
        <v>970</v>
      </c>
      <c r="Q1498" s="914">
        <v>970</v>
      </c>
    </row>
    <row r="1499" spans="2:17" ht="45" x14ac:dyDescent="0.25">
      <c r="B1499" s="1899"/>
      <c r="C1499" s="1899" t="s">
        <v>3</v>
      </c>
      <c r="D1499" s="1899"/>
      <c r="E1499" s="1669" t="s">
        <v>2315</v>
      </c>
      <c r="F1499" s="1901">
        <v>16351</v>
      </c>
      <c r="G1499" s="1901">
        <v>17013</v>
      </c>
      <c r="H1499" s="1901"/>
      <c r="I1499" s="1901">
        <v>17080.8</v>
      </c>
      <c r="J1499" s="1901">
        <v>17213</v>
      </c>
      <c r="K1499" s="628" t="s">
        <v>2316</v>
      </c>
      <c r="L1499" s="511" t="s">
        <v>2234</v>
      </c>
      <c r="M1499" s="511">
        <v>61</v>
      </c>
      <c r="N1499" s="914">
        <v>62</v>
      </c>
      <c r="O1499" s="914">
        <v>62</v>
      </c>
      <c r="P1499" s="914">
        <v>62</v>
      </c>
      <c r="Q1499" s="914">
        <v>62</v>
      </c>
    </row>
    <row r="1500" spans="2:17" ht="45" x14ac:dyDescent="0.25">
      <c r="B1500" s="1900"/>
      <c r="C1500" s="1900"/>
      <c r="D1500" s="1900"/>
      <c r="E1500" s="1669"/>
      <c r="F1500" s="1901"/>
      <c r="G1500" s="1901"/>
      <c r="H1500" s="1901"/>
      <c r="I1500" s="1901"/>
      <c r="J1500" s="1901"/>
      <c r="K1500" s="628" t="s">
        <v>2317</v>
      </c>
      <c r="L1500" s="511" t="s">
        <v>2234</v>
      </c>
      <c r="M1500" s="511">
        <v>46</v>
      </c>
      <c r="N1500" s="914">
        <v>47</v>
      </c>
      <c r="O1500" s="914">
        <v>47</v>
      </c>
      <c r="P1500" s="914">
        <v>47</v>
      </c>
      <c r="Q1500" s="914">
        <v>47</v>
      </c>
    </row>
    <row r="1501" spans="2:17" ht="103.5" x14ac:dyDescent="0.25">
      <c r="B1501" s="331" t="s">
        <v>1421</v>
      </c>
      <c r="C1501" s="412"/>
      <c r="D1501" s="331"/>
      <c r="E1501" s="582" t="s">
        <v>2318</v>
      </c>
      <c r="F1501" s="1177">
        <f t="shared" ref="F1501:G1501" si="154">F1502+F1503+F1504+F1505</f>
        <v>5797.8</v>
      </c>
      <c r="G1501" s="1177">
        <f t="shared" si="154"/>
        <v>5759.6</v>
      </c>
      <c r="H1501" s="1177">
        <f>H1502+H1503</f>
        <v>5810.2</v>
      </c>
      <c r="I1501" s="1177">
        <f t="shared" ref="I1501:J1501" si="155">I1502+I1503</f>
        <v>5764.7999999999993</v>
      </c>
      <c r="J1501" s="1177">
        <f t="shared" si="155"/>
        <v>5742.4</v>
      </c>
      <c r="K1501" s="496"/>
      <c r="L1501" s="511"/>
      <c r="M1501" s="511"/>
      <c r="N1501" s="511"/>
      <c r="O1501" s="511"/>
      <c r="P1501" s="511"/>
      <c r="Q1501" s="416"/>
    </row>
    <row r="1502" spans="2:17" ht="75" x14ac:dyDescent="0.25">
      <c r="B1502" s="412"/>
      <c r="C1502" s="412" t="s">
        <v>2</v>
      </c>
      <c r="D1502" s="331"/>
      <c r="E1502" s="589" t="s">
        <v>2319</v>
      </c>
      <c r="F1502" s="1084">
        <v>3797.8</v>
      </c>
      <c r="G1502" s="1084">
        <v>3759.6</v>
      </c>
      <c r="H1502" s="1084">
        <v>3810.2</v>
      </c>
      <c r="I1502" s="1084">
        <f>3764.7+0.1</f>
        <v>3764.7999999999997</v>
      </c>
      <c r="J1502" s="1084">
        <f>3775.6-33.4+0.2</f>
        <v>3742.3999999999996</v>
      </c>
      <c r="K1502" s="769" t="s">
        <v>2320</v>
      </c>
      <c r="L1502" s="511" t="s">
        <v>2321</v>
      </c>
      <c r="M1502" s="511" t="s">
        <v>2322</v>
      </c>
      <c r="N1502" s="511" t="s">
        <v>2323</v>
      </c>
      <c r="O1502" s="416">
        <v>1</v>
      </c>
      <c r="P1502" s="416">
        <v>1</v>
      </c>
      <c r="Q1502" s="416">
        <v>1</v>
      </c>
    </row>
    <row r="1503" spans="2:17" ht="75" x14ac:dyDescent="0.25">
      <c r="B1503" s="412"/>
      <c r="C1503" s="412" t="s">
        <v>3</v>
      </c>
      <c r="D1503" s="331"/>
      <c r="E1503" s="589" t="s">
        <v>2324</v>
      </c>
      <c r="F1503" s="1084">
        <v>2000</v>
      </c>
      <c r="G1503" s="1084">
        <v>2000</v>
      </c>
      <c r="H1503" s="1084">
        <v>2000</v>
      </c>
      <c r="I1503" s="1084">
        <v>2000</v>
      </c>
      <c r="J1503" s="1084">
        <v>2000</v>
      </c>
      <c r="K1503" s="769" t="s">
        <v>2325</v>
      </c>
      <c r="L1503" s="511" t="s">
        <v>2326</v>
      </c>
      <c r="M1503" s="511" t="s">
        <v>2327</v>
      </c>
      <c r="N1503" s="511" t="s">
        <v>2328</v>
      </c>
      <c r="O1503" s="511" t="s">
        <v>2328</v>
      </c>
      <c r="P1503" s="511" t="s">
        <v>2329</v>
      </c>
      <c r="Q1503" s="511" t="s">
        <v>2328</v>
      </c>
    </row>
    <row r="1504" spans="2:17" ht="60" x14ac:dyDescent="0.25">
      <c r="B1504" s="412"/>
      <c r="C1504" s="412" t="s">
        <v>4</v>
      </c>
      <c r="D1504" s="331"/>
      <c r="E1504" s="589" t="s">
        <v>2330</v>
      </c>
      <c r="F1504" s="1084"/>
      <c r="G1504" s="1084"/>
      <c r="H1504" s="1084">
        <f ca="1">H1504</f>
        <v>0</v>
      </c>
      <c r="I1504" s="1084"/>
      <c r="J1504" s="1084"/>
      <c r="K1504" s="769" t="s">
        <v>2331</v>
      </c>
      <c r="L1504" s="511" t="s">
        <v>2321</v>
      </c>
      <c r="M1504" s="511"/>
      <c r="N1504" s="511" t="s">
        <v>2332</v>
      </c>
      <c r="O1504" s="416">
        <v>1</v>
      </c>
      <c r="P1504" s="416">
        <v>1</v>
      </c>
      <c r="Q1504" s="416">
        <v>1</v>
      </c>
    </row>
    <row r="1505" spans="2:17" ht="45" x14ac:dyDescent="0.25">
      <c r="B1505" s="412"/>
      <c r="C1505" s="412" t="s">
        <v>5</v>
      </c>
      <c r="D1505" s="331"/>
      <c r="E1505" s="589" t="s">
        <v>2333</v>
      </c>
      <c r="F1505" s="1084"/>
      <c r="G1505" s="1084"/>
      <c r="H1505" s="1084"/>
      <c r="I1505" s="1084"/>
      <c r="J1505" s="1084"/>
      <c r="K1505" s="769" t="s">
        <v>2334</v>
      </c>
      <c r="L1505" s="511" t="s">
        <v>2321</v>
      </c>
      <c r="M1505" s="511"/>
      <c r="N1505" s="511" t="s">
        <v>2332</v>
      </c>
      <c r="O1505" s="416">
        <v>1</v>
      </c>
      <c r="P1505" s="511">
        <v>1</v>
      </c>
      <c r="Q1505" s="511">
        <v>1</v>
      </c>
    </row>
    <row r="1506" spans="2:17" x14ac:dyDescent="0.25">
      <c r="B1506" s="1888" t="s">
        <v>291</v>
      </c>
      <c r="C1506" s="1889"/>
      <c r="D1506" s="1889"/>
      <c r="E1506" s="1890"/>
      <c r="F1506" s="1090">
        <f>F1457+F1462+F1473+F1491+F1496+F1501</f>
        <v>3572150.2081499998</v>
      </c>
      <c r="G1506" s="1090">
        <f>G1457+G1462+G1473+G1491+G1496+G1501</f>
        <v>9488510.040000001</v>
      </c>
      <c r="H1506" s="1090">
        <f>H1457+H1462+H1469+H1473+H1491+H1496+H1501</f>
        <v>5934576.9300000006</v>
      </c>
      <c r="I1506" s="1090">
        <f>I1457+I1462+I1473+I1491+I1496+I1501</f>
        <v>8292071.7200000007</v>
      </c>
      <c r="J1506" s="1090">
        <f>J1457+J1462+J1473+J1491+J1496+J1501</f>
        <v>9087805.1699999999</v>
      </c>
      <c r="K1506" s="133"/>
      <c r="L1506" s="1891"/>
      <c r="M1506" s="1891"/>
      <c r="N1506" s="1891"/>
      <c r="O1506" s="1891"/>
      <c r="P1506" s="1891"/>
      <c r="Q1506" s="1891"/>
    </row>
    <row r="1507" spans="2:17" x14ac:dyDescent="0.25">
      <c r="B1507" s="1892" t="s">
        <v>2335</v>
      </c>
      <c r="C1507" s="1892"/>
      <c r="D1507" s="1892"/>
      <c r="E1507" s="1892"/>
      <c r="F1507" s="1892"/>
      <c r="G1507" s="1892"/>
      <c r="H1507" s="1892"/>
      <c r="I1507" s="1892"/>
      <c r="J1507" s="1892"/>
      <c r="K1507" s="1892"/>
      <c r="L1507" s="1892"/>
      <c r="M1507" s="1892"/>
      <c r="N1507" s="1892"/>
      <c r="O1507" s="1892"/>
      <c r="P1507" s="1892"/>
      <c r="Q1507" s="1892"/>
    </row>
    <row r="1508" spans="2:17" x14ac:dyDescent="0.25">
      <c r="B1508" s="1880" t="s">
        <v>2336</v>
      </c>
      <c r="C1508" s="1880"/>
      <c r="D1508" s="1880"/>
      <c r="E1508" s="1880"/>
      <c r="F1508" s="1880"/>
      <c r="G1508" s="1880"/>
      <c r="H1508" s="1880"/>
      <c r="I1508" s="1880"/>
      <c r="J1508" s="1880"/>
      <c r="K1508" s="1880"/>
      <c r="L1508" s="1880"/>
      <c r="M1508" s="1880"/>
      <c r="N1508" s="1880"/>
      <c r="O1508" s="1880"/>
      <c r="P1508" s="1880"/>
      <c r="Q1508" s="1880"/>
    </row>
    <row r="1509" spans="2:17" ht="30" x14ac:dyDescent="0.25">
      <c r="B1509" s="1025">
        <v>982</v>
      </c>
      <c r="C1509" s="416"/>
      <c r="D1509" s="416"/>
      <c r="E1509" s="496" t="s">
        <v>2337</v>
      </c>
      <c r="F1509" s="203">
        <f>F1510</f>
        <v>1276228.7</v>
      </c>
      <c r="G1509" s="203">
        <f t="shared" ref="G1509:J1509" si="156">G1510</f>
        <v>1221748.7</v>
      </c>
      <c r="H1509" s="203">
        <f>H1510</f>
        <v>1221748.7</v>
      </c>
      <c r="I1509" s="203">
        <f t="shared" si="156"/>
        <v>1222859.3</v>
      </c>
      <c r="J1509" s="203">
        <f t="shared" si="156"/>
        <v>1225207.8</v>
      </c>
      <c r="K1509" s="495" t="s">
        <v>2338</v>
      </c>
      <c r="L1509" s="416" t="s">
        <v>1073</v>
      </c>
      <c r="M1509" s="416">
        <v>45311</v>
      </c>
      <c r="N1509" s="416">
        <v>45389</v>
      </c>
      <c r="O1509" s="41">
        <v>45739</v>
      </c>
      <c r="P1509" s="41">
        <v>45739</v>
      </c>
      <c r="Q1509" s="41">
        <v>45739</v>
      </c>
    </row>
    <row r="1510" spans="2:17" x14ac:dyDescent="0.25">
      <c r="B1510" s="1893"/>
      <c r="C1510" s="1733">
        <v>1</v>
      </c>
      <c r="D1510" s="1739"/>
      <c r="E1510" s="1737" t="s">
        <v>2339</v>
      </c>
      <c r="F1510" s="1885">
        <v>1276228.7</v>
      </c>
      <c r="G1510" s="1896">
        <f>1216748.7+5000</f>
        <v>1221748.7</v>
      </c>
      <c r="H1510" s="1898">
        <v>1221748.7</v>
      </c>
      <c r="I1510" s="1898">
        <v>1222859.3</v>
      </c>
      <c r="J1510" s="1898">
        <v>1225207.8</v>
      </c>
      <c r="K1510" s="1808" t="s">
        <v>2340</v>
      </c>
      <c r="L1510" s="416" t="s">
        <v>2341</v>
      </c>
      <c r="M1510" s="416">
        <v>429</v>
      </c>
      <c r="N1510" s="416">
        <v>418</v>
      </c>
      <c r="O1510" s="416">
        <v>417</v>
      </c>
      <c r="P1510" s="1179">
        <v>417</v>
      </c>
      <c r="Q1510" s="416">
        <v>417</v>
      </c>
    </row>
    <row r="1511" spans="2:17" x14ac:dyDescent="0.25">
      <c r="B1511" s="1894"/>
      <c r="C1511" s="1820"/>
      <c r="D1511" s="1821"/>
      <c r="E1511" s="1822"/>
      <c r="F1511" s="1885"/>
      <c r="G1511" s="1896"/>
      <c r="H1511" s="1896"/>
      <c r="I1511" s="1896"/>
      <c r="J1511" s="1896"/>
      <c r="K1511" s="1808"/>
      <c r="L1511" s="416" t="s">
        <v>2342</v>
      </c>
      <c r="M1511" s="416">
        <v>164</v>
      </c>
      <c r="N1511" s="416">
        <v>162</v>
      </c>
      <c r="O1511" s="416">
        <v>160</v>
      </c>
      <c r="P1511" s="1179">
        <v>160</v>
      </c>
      <c r="Q1511" s="416">
        <v>160</v>
      </c>
    </row>
    <row r="1512" spans="2:17" x14ac:dyDescent="0.25">
      <c r="B1512" s="1894"/>
      <c r="C1512" s="1820"/>
      <c r="D1512" s="1821"/>
      <c r="E1512" s="1822"/>
      <c r="F1512" s="1885"/>
      <c r="G1512" s="1896"/>
      <c r="H1512" s="1896"/>
      <c r="I1512" s="1896"/>
      <c r="J1512" s="1896"/>
      <c r="K1512" s="1808"/>
      <c r="L1512" s="416" t="s">
        <v>2343</v>
      </c>
      <c r="M1512" s="416">
        <v>144</v>
      </c>
      <c r="N1512" s="416">
        <v>143</v>
      </c>
      <c r="O1512" s="416">
        <v>142</v>
      </c>
      <c r="P1512" s="1179">
        <v>142</v>
      </c>
      <c r="Q1512" s="416">
        <v>142</v>
      </c>
    </row>
    <row r="1513" spans="2:17" x14ac:dyDescent="0.25">
      <c r="B1513" s="1894"/>
      <c r="C1513" s="1820"/>
      <c r="D1513" s="1821"/>
      <c r="E1513" s="1822"/>
      <c r="F1513" s="1885"/>
      <c r="G1513" s="1896"/>
      <c r="H1513" s="1896"/>
      <c r="I1513" s="1896"/>
      <c r="J1513" s="1896"/>
      <c r="K1513" s="1808"/>
      <c r="L1513" s="416" t="s">
        <v>2344</v>
      </c>
      <c r="M1513" s="416">
        <v>1181</v>
      </c>
      <c r="N1513" s="416">
        <v>1195</v>
      </c>
      <c r="O1513" s="416">
        <v>1195</v>
      </c>
      <c r="P1513" s="1179">
        <v>1195</v>
      </c>
      <c r="Q1513" s="416">
        <v>1195</v>
      </c>
    </row>
    <row r="1514" spans="2:17" ht="45" x14ac:dyDescent="0.25">
      <c r="B1514" s="1894"/>
      <c r="C1514" s="1820"/>
      <c r="D1514" s="1821"/>
      <c r="E1514" s="1822"/>
      <c r="F1514" s="1885"/>
      <c r="G1514" s="1896"/>
      <c r="H1514" s="1896"/>
      <c r="I1514" s="1896"/>
      <c r="J1514" s="1896"/>
      <c r="K1514" s="495" t="s">
        <v>2345</v>
      </c>
      <c r="L1514" s="416" t="s">
        <v>2346</v>
      </c>
      <c r="M1514" s="416">
        <v>354.6</v>
      </c>
      <c r="N1514" s="416">
        <v>353.7</v>
      </c>
      <c r="O1514" s="416">
        <v>353.7</v>
      </c>
      <c r="P1514" s="1179">
        <v>353.7</v>
      </c>
      <c r="Q1514" s="1180">
        <v>353.7</v>
      </c>
    </row>
    <row r="1515" spans="2:17" x14ac:dyDescent="0.25">
      <c r="B1515" s="1894"/>
      <c r="C1515" s="1820"/>
      <c r="D1515" s="1821"/>
      <c r="E1515" s="1822"/>
      <c r="F1515" s="1885"/>
      <c r="G1515" s="1896"/>
      <c r="H1515" s="1896"/>
      <c r="I1515" s="1896"/>
      <c r="J1515" s="1896"/>
      <c r="K1515" s="495" t="s">
        <v>2347</v>
      </c>
      <c r="L1515" s="416" t="s">
        <v>979</v>
      </c>
      <c r="M1515" s="416">
        <v>131</v>
      </c>
      <c r="N1515" s="416">
        <v>132</v>
      </c>
      <c r="O1515" s="416">
        <v>132</v>
      </c>
      <c r="P1515" s="1179">
        <v>132</v>
      </c>
      <c r="Q1515" s="1180">
        <v>132</v>
      </c>
    </row>
    <row r="1516" spans="2:17" x14ac:dyDescent="0.25">
      <c r="B1516" s="1894"/>
      <c r="C1516" s="1820"/>
      <c r="D1516" s="1821"/>
      <c r="E1516" s="1822"/>
      <c r="F1516" s="1885"/>
      <c r="G1516" s="1896"/>
      <c r="H1516" s="1896"/>
      <c r="I1516" s="1896"/>
      <c r="J1516" s="1896"/>
      <c r="K1516" s="495" t="s">
        <v>2348</v>
      </c>
      <c r="L1516" s="416" t="s">
        <v>14</v>
      </c>
      <c r="M1516" s="416">
        <v>70</v>
      </c>
      <c r="N1516" s="416">
        <v>70</v>
      </c>
      <c r="O1516" s="416">
        <v>70</v>
      </c>
      <c r="P1516" s="1179">
        <v>70</v>
      </c>
      <c r="Q1516" s="1180">
        <v>70</v>
      </c>
    </row>
    <row r="1517" spans="2:17" x14ac:dyDescent="0.25">
      <c r="B1517" s="1895"/>
      <c r="C1517" s="1734"/>
      <c r="D1517" s="1740"/>
      <c r="E1517" s="1738"/>
      <c r="F1517" s="1831"/>
      <c r="G1517" s="1897"/>
      <c r="H1517" s="1897"/>
      <c r="I1517" s="1897"/>
      <c r="J1517" s="1897"/>
      <c r="K1517" s="495" t="s">
        <v>2349</v>
      </c>
      <c r="L1517" s="416" t="s">
        <v>14</v>
      </c>
      <c r="M1517" s="416">
        <v>31.3</v>
      </c>
      <c r="N1517" s="1180">
        <v>31.3</v>
      </c>
      <c r="O1517" s="1180">
        <v>31.5</v>
      </c>
      <c r="P1517" s="1181">
        <v>31.7</v>
      </c>
      <c r="Q1517" s="1180">
        <v>32</v>
      </c>
    </row>
    <row r="1518" spans="2:17" ht="30" x14ac:dyDescent="0.25">
      <c r="B1518" s="428" t="s">
        <v>2350</v>
      </c>
      <c r="C1518" s="413"/>
      <c r="D1518" s="413"/>
      <c r="E1518" s="496" t="s">
        <v>2351</v>
      </c>
      <c r="F1518" s="203">
        <f>F1519</f>
        <v>9458.1</v>
      </c>
      <c r="G1518" s="203">
        <f t="shared" ref="G1518:J1518" si="157">G1519</f>
        <v>13938.1</v>
      </c>
      <c r="H1518" s="203">
        <f t="shared" si="157"/>
        <v>13938.1</v>
      </c>
      <c r="I1518" s="203">
        <f t="shared" si="157"/>
        <v>13938.1</v>
      </c>
      <c r="J1518" s="203">
        <f t="shared" si="157"/>
        <v>13938.1</v>
      </c>
      <c r="K1518" s="426" t="s">
        <v>2352</v>
      </c>
      <c r="L1518" s="416" t="s">
        <v>2551</v>
      </c>
      <c r="M1518" s="416">
        <v>187.6</v>
      </c>
      <c r="N1518" s="416">
        <v>180</v>
      </c>
      <c r="O1518" s="416">
        <v>180</v>
      </c>
      <c r="P1518" s="1179">
        <v>180</v>
      </c>
      <c r="Q1518" s="1180">
        <v>180</v>
      </c>
    </row>
    <row r="1519" spans="2:17" ht="75" x14ac:dyDescent="0.25">
      <c r="B1519" s="413"/>
      <c r="C1519" s="413" t="s">
        <v>2</v>
      </c>
      <c r="D1519" s="413"/>
      <c r="E1519" s="495" t="s">
        <v>2353</v>
      </c>
      <c r="F1519" s="1158">
        <v>9458.1</v>
      </c>
      <c r="G1519" s="1158">
        <v>13938.1</v>
      </c>
      <c r="H1519" s="1158">
        <v>13938.1</v>
      </c>
      <c r="I1519" s="1158">
        <v>13938.1</v>
      </c>
      <c r="J1519" s="1158">
        <v>13938.1</v>
      </c>
      <c r="K1519" s="495" t="s">
        <v>2354</v>
      </c>
      <c r="L1519" s="416" t="s">
        <v>1530</v>
      </c>
      <c r="M1519" s="416">
        <v>30</v>
      </c>
      <c r="N1519" s="416">
        <v>40</v>
      </c>
      <c r="O1519" s="416">
        <v>40</v>
      </c>
      <c r="P1519" s="1179">
        <v>40</v>
      </c>
      <c r="Q1519" s="1180">
        <v>40</v>
      </c>
    </row>
    <row r="1520" spans="2:17" ht="42.75" x14ac:dyDescent="0.25">
      <c r="B1520" s="428" t="s">
        <v>2355</v>
      </c>
      <c r="C1520" s="413"/>
      <c r="D1520" s="413"/>
      <c r="E1520" s="658" t="s">
        <v>2356</v>
      </c>
      <c r="F1520" s="1182">
        <f>F1521</f>
        <v>14173.6</v>
      </c>
      <c r="G1520" s="1182">
        <f t="shared" ref="G1520:J1520" si="158">G1521</f>
        <v>14173.6</v>
      </c>
      <c r="H1520" s="1182">
        <f t="shared" si="158"/>
        <v>14173.6</v>
      </c>
      <c r="I1520" s="1182">
        <f t="shared" si="158"/>
        <v>14187.8</v>
      </c>
      <c r="J1520" s="1182">
        <f t="shared" si="158"/>
        <v>14216.2</v>
      </c>
      <c r="K1520" s="1183"/>
      <c r="L1520" s="416"/>
      <c r="M1520" s="416"/>
      <c r="N1520" s="416"/>
      <c r="O1520" s="416"/>
      <c r="P1520" s="1179"/>
      <c r="Q1520" s="1180"/>
    </row>
    <row r="1521" spans="2:17" x14ac:dyDescent="0.25">
      <c r="B1521" s="413"/>
      <c r="C1521" s="413" t="s">
        <v>2</v>
      </c>
      <c r="D1521" s="413"/>
      <c r="E1521" s="628" t="s">
        <v>2357</v>
      </c>
      <c r="F1521" s="1830">
        <v>14173.6</v>
      </c>
      <c r="G1521" s="1876">
        <v>14173.6</v>
      </c>
      <c r="H1521" s="1876">
        <v>14173.6</v>
      </c>
      <c r="I1521" s="1876">
        <v>14187.8</v>
      </c>
      <c r="J1521" s="1830">
        <v>14216.2</v>
      </c>
      <c r="K1521" s="495" t="s">
        <v>2357</v>
      </c>
      <c r="L1521" s="416" t="s">
        <v>979</v>
      </c>
      <c r="M1521" s="416">
        <v>19</v>
      </c>
      <c r="N1521" s="416">
        <v>100</v>
      </c>
      <c r="O1521" s="416">
        <v>100</v>
      </c>
      <c r="P1521" s="1179">
        <v>100</v>
      </c>
      <c r="Q1521" s="1180">
        <v>100</v>
      </c>
    </row>
    <row r="1522" spans="2:17" ht="30" x14ac:dyDescent="0.25">
      <c r="B1522" s="413"/>
      <c r="C1522" s="413" t="s">
        <v>4</v>
      </c>
      <c r="D1522" s="413"/>
      <c r="E1522" s="495" t="s">
        <v>2358</v>
      </c>
      <c r="F1522" s="1885"/>
      <c r="G1522" s="1876"/>
      <c r="H1522" s="1876"/>
      <c r="I1522" s="1876"/>
      <c r="J1522" s="1885"/>
      <c r="K1522" s="1808" t="s">
        <v>2359</v>
      </c>
      <c r="L1522" s="1828" t="s">
        <v>2360</v>
      </c>
      <c r="M1522" s="1886">
        <v>26682</v>
      </c>
      <c r="N1522" s="1876">
        <v>45000</v>
      </c>
      <c r="O1522" s="1876">
        <v>45000</v>
      </c>
      <c r="P1522" s="1877">
        <v>45000</v>
      </c>
      <c r="Q1522" s="1878">
        <v>45000</v>
      </c>
    </row>
    <row r="1523" spans="2:17" ht="30" x14ac:dyDescent="0.25">
      <c r="B1523" s="413"/>
      <c r="C1523" s="413" t="s">
        <v>5</v>
      </c>
      <c r="D1523" s="413"/>
      <c r="E1523" s="628" t="s">
        <v>2361</v>
      </c>
      <c r="F1523" s="1831"/>
      <c r="G1523" s="1876"/>
      <c r="H1523" s="1876"/>
      <c r="I1523" s="1876"/>
      <c r="J1523" s="1831"/>
      <c r="K1523" s="1808"/>
      <c r="L1523" s="1828"/>
      <c r="M1523" s="1887"/>
      <c r="N1523" s="1876"/>
      <c r="O1523" s="1876"/>
      <c r="P1523" s="1877"/>
      <c r="Q1523" s="1879"/>
    </row>
    <row r="1524" spans="2:17" x14ac:dyDescent="0.25">
      <c r="B1524" s="1815" t="s">
        <v>291</v>
      </c>
      <c r="C1524" s="1816"/>
      <c r="D1524" s="1816"/>
      <c r="E1524" s="1817"/>
      <c r="F1524" s="207">
        <f>F1510+F1519+F1521</f>
        <v>1299860.4000000001</v>
      </c>
      <c r="G1524" s="207">
        <f>G1510+G1519+G1521</f>
        <v>1249860.4000000001</v>
      </c>
      <c r="H1524" s="207">
        <f>H1509+H1518+H1520</f>
        <v>1249860.4000000001</v>
      </c>
      <c r="I1524" s="207">
        <f>I1510+I1519+I1521</f>
        <v>1250985.2000000002</v>
      </c>
      <c r="J1524" s="207">
        <f>J1510+J1519+J1521</f>
        <v>1253362.1000000001</v>
      </c>
      <c r="K1524" s="1011"/>
      <c r="L1524" s="1156"/>
      <c r="M1524" s="1184"/>
      <c r="N1524" s="1184"/>
      <c r="O1524" s="1184"/>
      <c r="P1524" s="1185"/>
      <c r="Q1524" s="822"/>
    </row>
    <row r="1525" spans="2:17" ht="15.75" thickBot="1" x14ac:dyDescent="0.3">
      <c r="B1525" s="1880" t="s">
        <v>2362</v>
      </c>
      <c r="C1525" s="1880"/>
      <c r="D1525" s="1880"/>
      <c r="E1525" s="1880"/>
      <c r="F1525" s="1880"/>
      <c r="G1525" s="1880"/>
      <c r="H1525" s="1880"/>
      <c r="I1525" s="1880"/>
      <c r="J1525" s="1880"/>
      <c r="K1525" s="1880"/>
      <c r="L1525" s="1880"/>
      <c r="M1525" s="1880"/>
      <c r="N1525" s="1880"/>
      <c r="O1525" s="1880"/>
      <c r="P1525" s="1880"/>
      <c r="Q1525" s="1880"/>
    </row>
    <row r="1526" spans="2:17" ht="74.25" x14ac:dyDescent="0.25">
      <c r="B1526" s="980">
        <v>1</v>
      </c>
      <c r="C1526" s="1091"/>
      <c r="D1526" s="1091"/>
      <c r="E1526" s="1186" t="s">
        <v>2552</v>
      </c>
      <c r="F1526" s="627">
        <f>SUM(F1527:F1537)</f>
        <v>16975.3</v>
      </c>
      <c r="G1526" s="627">
        <f>SUM(G1527:G1537)</f>
        <v>21260.6</v>
      </c>
      <c r="H1526" s="627">
        <f>SUM(H1527:H1537)</f>
        <v>28868</v>
      </c>
      <c r="I1526" s="627">
        <f t="shared" ref="I1526:J1526" si="159">SUM(I1527:I1537)</f>
        <v>29041.208000000006</v>
      </c>
      <c r="J1526" s="627">
        <f t="shared" si="159"/>
        <v>29215.455247999998</v>
      </c>
      <c r="K1526" s="1187" t="s">
        <v>2363</v>
      </c>
      <c r="L1526" s="583" t="s">
        <v>14</v>
      </c>
      <c r="M1526" s="1092">
        <v>5.4</v>
      </c>
      <c r="N1526" s="1092">
        <v>3.4</v>
      </c>
      <c r="O1526" s="1092">
        <v>3.4</v>
      </c>
      <c r="P1526" s="1092">
        <v>3.4</v>
      </c>
      <c r="Q1526" s="1092">
        <v>3.4</v>
      </c>
    </row>
    <row r="1527" spans="2:17" ht="30" x14ac:dyDescent="0.25">
      <c r="B1527" s="1093"/>
      <c r="C1527" s="633">
        <v>1</v>
      </c>
      <c r="D1527" s="1094"/>
      <c r="E1527" s="1188" t="s">
        <v>205</v>
      </c>
      <c r="F1527" s="1021">
        <v>4108.1000000000004</v>
      </c>
      <c r="G1527" s="539">
        <f>2598.6+434.6</f>
        <v>3033.2</v>
      </c>
      <c r="H1527" s="538">
        <v>4551.1000000000004</v>
      </c>
      <c r="I1527" s="539">
        <f t="shared" ref="I1527:J1534" si="160">H1527*0.6%+H1527</f>
        <v>4578.4066000000003</v>
      </c>
      <c r="J1527" s="539">
        <f t="shared" si="160"/>
        <v>4605.8770396</v>
      </c>
      <c r="K1527" s="1189" t="s">
        <v>2364</v>
      </c>
      <c r="L1527" s="511" t="s">
        <v>14</v>
      </c>
      <c r="M1527" s="1095">
        <v>1</v>
      </c>
      <c r="N1527" s="1095">
        <v>1</v>
      </c>
      <c r="O1527" s="1095">
        <v>1</v>
      </c>
      <c r="P1527" s="1095">
        <v>1</v>
      </c>
      <c r="Q1527" s="1095">
        <v>1</v>
      </c>
    </row>
    <row r="1528" spans="2:17" ht="30" x14ac:dyDescent="0.25">
      <c r="B1528" s="1093"/>
      <c r="C1528" s="365">
        <v>41</v>
      </c>
      <c r="D1528" s="1094"/>
      <c r="E1528" s="1190" t="s">
        <v>2365</v>
      </c>
      <c r="F1528" s="1021">
        <v>332.9</v>
      </c>
      <c r="G1528" s="539">
        <f>427.1+60</f>
        <v>487.1</v>
      </c>
      <c r="H1528" s="538">
        <v>487.1</v>
      </c>
      <c r="I1528" s="539">
        <f t="shared" si="160"/>
        <v>490.02260000000001</v>
      </c>
      <c r="J1528" s="539">
        <f t="shared" si="160"/>
        <v>492.96273560000003</v>
      </c>
      <c r="K1528" s="1189" t="s">
        <v>2366</v>
      </c>
      <c r="L1528" s="511" t="s">
        <v>14</v>
      </c>
      <c r="M1528" s="1095">
        <v>1</v>
      </c>
      <c r="N1528" s="1095">
        <v>1</v>
      </c>
      <c r="O1528" s="1095">
        <v>1</v>
      </c>
      <c r="P1528" s="1095">
        <v>1</v>
      </c>
      <c r="Q1528" s="1095">
        <v>1</v>
      </c>
    </row>
    <row r="1529" spans="2:17" ht="30" x14ac:dyDescent="0.25">
      <c r="B1529" s="1093"/>
      <c r="C1529" s="633">
        <v>3</v>
      </c>
      <c r="D1529" s="1094"/>
      <c r="E1529" s="1190" t="s">
        <v>142</v>
      </c>
      <c r="F1529" s="1021">
        <v>2000</v>
      </c>
      <c r="G1529" s="539">
        <f>1924.1+290</f>
        <v>2214.1</v>
      </c>
      <c r="H1529" s="538">
        <v>3432</v>
      </c>
      <c r="I1529" s="539">
        <f t="shared" si="160"/>
        <v>3452.5920000000001</v>
      </c>
      <c r="J1529" s="539">
        <f t="shared" si="160"/>
        <v>3473.3075520000002</v>
      </c>
      <c r="K1529" s="1191" t="s">
        <v>2367</v>
      </c>
      <c r="L1529" s="511" t="s">
        <v>14</v>
      </c>
      <c r="M1529" s="1095">
        <v>0.7</v>
      </c>
      <c r="N1529" s="1095">
        <v>0.8</v>
      </c>
      <c r="O1529" s="1095">
        <v>0.8</v>
      </c>
      <c r="P1529" s="1095">
        <v>0.8</v>
      </c>
      <c r="Q1529" s="1095">
        <v>0.8</v>
      </c>
    </row>
    <row r="1530" spans="2:17" ht="30" x14ac:dyDescent="0.25">
      <c r="B1530" s="1093"/>
      <c r="C1530" s="365">
        <v>2</v>
      </c>
      <c r="D1530" s="1094"/>
      <c r="E1530" s="1190" t="s">
        <v>2368</v>
      </c>
      <c r="F1530" s="1021">
        <v>1433.4</v>
      </c>
      <c r="G1530" s="539">
        <f>1334.8+190.1</f>
        <v>1524.8999999999999</v>
      </c>
      <c r="H1530" s="538">
        <v>2742.8</v>
      </c>
      <c r="I1530" s="539">
        <f t="shared" si="160"/>
        <v>2759.2568000000001</v>
      </c>
      <c r="J1530" s="539">
        <f t="shared" si="160"/>
        <v>2775.8123408000001</v>
      </c>
      <c r="K1530" s="1189" t="s">
        <v>2369</v>
      </c>
      <c r="L1530" s="511" t="s">
        <v>14</v>
      </c>
      <c r="M1530" s="1095">
        <v>1</v>
      </c>
      <c r="N1530" s="1095">
        <v>1</v>
      </c>
      <c r="O1530" s="1095">
        <v>1</v>
      </c>
      <c r="P1530" s="1095">
        <v>1</v>
      </c>
      <c r="Q1530" s="1095">
        <v>1</v>
      </c>
    </row>
    <row r="1531" spans="2:17" ht="30" x14ac:dyDescent="0.25">
      <c r="B1531" s="1093"/>
      <c r="C1531" s="633">
        <v>5</v>
      </c>
      <c r="D1531" s="1094"/>
      <c r="E1531" s="494" t="s">
        <v>2370</v>
      </c>
      <c r="F1531" s="1021">
        <v>1314.3</v>
      </c>
      <c r="G1531" s="539">
        <f>1055.9+175</f>
        <v>1230.9000000000001</v>
      </c>
      <c r="H1531" s="538">
        <v>2448.8000000000002</v>
      </c>
      <c r="I1531" s="539">
        <f t="shared" si="160"/>
        <v>2463.4928</v>
      </c>
      <c r="J1531" s="539">
        <f t="shared" si="160"/>
        <v>2478.2737567999998</v>
      </c>
      <c r="K1531" s="1189" t="s">
        <v>2371</v>
      </c>
      <c r="L1531" s="511" t="s">
        <v>979</v>
      </c>
      <c r="M1531" s="495">
        <v>75</v>
      </c>
      <c r="N1531" s="495">
        <v>80</v>
      </c>
      <c r="O1531" s="495">
        <v>80</v>
      </c>
      <c r="P1531" s="495">
        <v>80</v>
      </c>
      <c r="Q1531" s="495">
        <v>80</v>
      </c>
    </row>
    <row r="1532" spans="2:17" ht="30" x14ac:dyDescent="0.25">
      <c r="B1532" s="1093"/>
      <c r="C1532" s="365">
        <v>26</v>
      </c>
      <c r="D1532" s="1094"/>
      <c r="E1532" s="1192" t="s">
        <v>2372</v>
      </c>
      <c r="F1532" s="1021">
        <v>2500</v>
      </c>
      <c r="G1532" s="539">
        <f>1700.9+300</f>
        <v>2000.9</v>
      </c>
      <c r="H1532" s="538">
        <v>3218.8</v>
      </c>
      <c r="I1532" s="539">
        <f t="shared" si="160"/>
        <v>3238.1128000000003</v>
      </c>
      <c r="J1532" s="539">
        <f t="shared" si="160"/>
        <v>3257.5414768000005</v>
      </c>
      <c r="K1532" s="1189" t="s">
        <v>2373</v>
      </c>
      <c r="L1532" s="511" t="s">
        <v>14</v>
      </c>
      <c r="M1532" s="1095">
        <v>1</v>
      </c>
      <c r="N1532" s="1095">
        <v>1</v>
      </c>
      <c r="O1532" s="1095">
        <v>1</v>
      </c>
      <c r="P1532" s="1095">
        <v>1</v>
      </c>
      <c r="Q1532" s="1095">
        <v>1</v>
      </c>
    </row>
    <row r="1533" spans="2:17" ht="30" x14ac:dyDescent="0.25">
      <c r="B1533" s="1093"/>
      <c r="C1533" s="633">
        <v>42</v>
      </c>
      <c r="D1533" s="1094"/>
      <c r="E1533" s="1192" t="s">
        <v>2374</v>
      </c>
      <c r="F1533" s="1021">
        <v>1620.2</v>
      </c>
      <c r="G1533" s="539">
        <f>1441.2+200</f>
        <v>1641.2</v>
      </c>
      <c r="H1533" s="538">
        <v>1641.2</v>
      </c>
      <c r="I1533" s="539">
        <f t="shared" si="160"/>
        <v>1651.0472</v>
      </c>
      <c r="J1533" s="539">
        <f t="shared" si="160"/>
        <v>1660.9534831999999</v>
      </c>
      <c r="K1533" s="1189" t="s">
        <v>2375</v>
      </c>
      <c r="L1533" s="511" t="s">
        <v>979</v>
      </c>
      <c r="M1533" s="495">
        <v>12</v>
      </c>
      <c r="N1533" s="495">
        <v>12</v>
      </c>
      <c r="O1533" s="495">
        <v>5</v>
      </c>
      <c r="P1533" s="495">
        <v>5</v>
      </c>
      <c r="Q1533" s="495">
        <v>5</v>
      </c>
    </row>
    <row r="1534" spans="2:17" ht="30" x14ac:dyDescent="0.25">
      <c r="B1534" s="1866"/>
      <c r="C1534" s="1881">
        <v>43</v>
      </c>
      <c r="D1534" s="1870"/>
      <c r="E1534" s="1883" t="s">
        <v>2376</v>
      </c>
      <c r="F1534" s="1874">
        <v>850</v>
      </c>
      <c r="G1534" s="1599">
        <f>746.5+115</f>
        <v>861.5</v>
      </c>
      <c r="H1534" s="1788">
        <v>861.5</v>
      </c>
      <c r="I1534" s="1599">
        <f t="shared" si="160"/>
        <v>866.66899999999998</v>
      </c>
      <c r="J1534" s="1599">
        <f t="shared" si="160"/>
        <v>871.86901399999999</v>
      </c>
      <c r="K1534" s="1193" t="s">
        <v>2377</v>
      </c>
      <c r="L1534" s="511" t="s">
        <v>979</v>
      </c>
      <c r="M1534" s="495">
        <v>1</v>
      </c>
      <c r="N1534" s="495">
        <v>1</v>
      </c>
      <c r="O1534" s="495">
        <v>1</v>
      </c>
      <c r="P1534" s="495">
        <v>1</v>
      </c>
      <c r="Q1534" s="495">
        <v>1</v>
      </c>
    </row>
    <row r="1535" spans="2:17" ht="30" x14ac:dyDescent="0.25">
      <c r="B1535" s="1867"/>
      <c r="C1535" s="1882"/>
      <c r="D1535" s="1871"/>
      <c r="E1535" s="1884"/>
      <c r="F1535" s="1875"/>
      <c r="G1535" s="1600"/>
      <c r="H1535" s="1789"/>
      <c r="I1535" s="1600"/>
      <c r="J1535" s="1600"/>
      <c r="K1535" s="1193" t="s">
        <v>2378</v>
      </c>
      <c r="L1535" s="511" t="s">
        <v>979</v>
      </c>
      <c r="M1535" s="495">
        <v>2</v>
      </c>
      <c r="N1535" s="495">
        <v>1</v>
      </c>
      <c r="O1535" s="495">
        <v>1</v>
      </c>
      <c r="P1535" s="495">
        <v>1</v>
      </c>
      <c r="Q1535" s="495">
        <v>1</v>
      </c>
    </row>
    <row r="1536" spans="2:17" ht="30" x14ac:dyDescent="0.25">
      <c r="B1536" s="1093"/>
      <c r="C1536" s="633">
        <v>27</v>
      </c>
      <c r="D1536" s="1094"/>
      <c r="E1536" s="1192" t="s">
        <v>2379</v>
      </c>
      <c r="F1536" s="1021">
        <v>713</v>
      </c>
      <c r="G1536" s="539">
        <f>690.1+110</f>
        <v>800.1</v>
      </c>
      <c r="H1536" s="538">
        <v>800.1</v>
      </c>
      <c r="I1536" s="539">
        <f t="shared" ref="I1536:J1537" si="161">H1536*0.6%+H1536</f>
        <v>804.90060000000005</v>
      </c>
      <c r="J1536" s="539">
        <f t="shared" si="161"/>
        <v>809.73000360000003</v>
      </c>
      <c r="K1536" s="1194" t="s">
        <v>2380</v>
      </c>
      <c r="L1536" s="511" t="s">
        <v>979</v>
      </c>
      <c r="M1536" s="495">
        <v>10</v>
      </c>
      <c r="N1536" s="495">
        <v>10</v>
      </c>
      <c r="O1536" s="495">
        <v>10</v>
      </c>
      <c r="P1536" s="495">
        <v>10</v>
      </c>
      <c r="Q1536" s="495">
        <v>10</v>
      </c>
    </row>
    <row r="1537" spans="2:17" ht="30" x14ac:dyDescent="0.25">
      <c r="B1537" s="1093"/>
      <c r="C1537" s="365">
        <v>6</v>
      </c>
      <c r="D1537" s="1094"/>
      <c r="E1537" s="1192" t="s">
        <v>2381</v>
      </c>
      <c r="F1537" s="1021">
        <v>2103.4</v>
      </c>
      <c r="G1537" s="539">
        <f>4411.7+1060+50+1945</f>
        <v>7466.7</v>
      </c>
      <c r="H1537" s="538">
        <v>8684.6</v>
      </c>
      <c r="I1537" s="539">
        <f t="shared" si="161"/>
        <v>8736.7075999999997</v>
      </c>
      <c r="J1537" s="539">
        <f t="shared" si="161"/>
        <v>8789.1278456</v>
      </c>
      <c r="K1537" s="1096"/>
      <c r="L1537" s="511"/>
      <c r="M1537" s="495"/>
      <c r="N1537" s="495"/>
      <c r="O1537" s="495"/>
      <c r="P1537" s="495"/>
      <c r="Q1537" s="495"/>
    </row>
    <row r="1538" spans="2:17" ht="73.5" x14ac:dyDescent="0.25">
      <c r="B1538" s="599">
        <v>2</v>
      </c>
      <c r="C1538" s="425"/>
      <c r="D1538" s="1091"/>
      <c r="E1538" s="1195" t="s">
        <v>2553</v>
      </c>
      <c r="F1538" s="1019">
        <f>SUM(F1539:F1543)</f>
        <v>286493.8</v>
      </c>
      <c r="G1538" s="430">
        <f>SUM(G1539:G1543)</f>
        <v>190284.1</v>
      </c>
      <c r="H1538" s="430">
        <f>SUM(H1539:H1543)</f>
        <v>213177.8</v>
      </c>
      <c r="I1538" s="430">
        <f>SUM(I1539:I1543)</f>
        <v>214456.86680000002</v>
      </c>
      <c r="J1538" s="430">
        <f>SUM(J1539:J1543)</f>
        <v>215743.60800080001</v>
      </c>
      <c r="K1538" s="1196" t="s">
        <v>2382</v>
      </c>
      <c r="L1538" s="1097" t="s">
        <v>14</v>
      </c>
      <c r="M1538" s="1008">
        <v>0.16</v>
      </c>
      <c r="N1538" s="1008">
        <v>0.2</v>
      </c>
      <c r="O1538" s="1008">
        <v>0.2</v>
      </c>
      <c r="P1538" s="1008">
        <v>0.22</v>
      </c>
      <c r="Q1538" s="1008">
        <v>0.25</v>
      </c>
    </row>
    <row r="1539" spans="2:17" ht="30" x14ac:dyDescent="0.25">
      <c r="B1539" s="1093"/>
      <c r="C1539" s="1098">
        <v>1</v>
      </c>
      <c r="D1539" s="1094"/>
      <c r="E1539" s="1197" t="s">
        <v>2383</v>
      </c>
      <c r="F1539" s="1099">
        <v>1824.1</v>
      </c>
      <c r="G1539" s="557">
        <f>1497+300</f>
        <v>1797</v>
      </c>
      <c r="H1539" s="443">
        <v>1797</v>
      </c>
      <c r="I1539" s="557">
        <f t="shared" ref="I1539:J1543" si="162">H1539*0.6%+H1539</f>
        <v>1807.7819999999999</v>
      </c>
      <c r="J1539" s="557">
        <f t="shared" si="162"/>
        <v>1818.628692</v>
      </c>
      <c r="K1539" s="1192" t="s">
        <v>2384</v>
      </c>
      <c r="L1539" s="511" t="s">
        <v>14</v>
      </c>
      <c r="M1539" s="1100">
        <v>0.7</v>
      </c>
      <c r="N1539" s="1100">
        <v>0.8</v>
      </c>
      <c r="O1539" s="1100">
        <v>0.9</v>
      </c>
      <c r="P1539" s="1100">
        <v>1</v>
      </c>
      <c r="Q1539" s="1100">
        <v>1</v>
      </c>
    </row>
    <row r="1540" spans="2:17" ht="30" x14ac:dyDescent="0.25">
      <c r="B1540" s="1093"/>
      <c r="C1540" s="1101">
        <v>2</v>
      </c>
      <c r="D1540" s="1094"/>
      <c r="E1540" s="1197" t="s">
        <v>2385</v>
      </c>
      <c r="F1540" s="587">
        <f>69765.2+55304.1+3955-960.4</f>
        <v>128063.9</v>
      </c>
      <c r="G1540" s="729">
        <f>73796+26757+17473.4+2350.8</f>
        <v>120377.2</v>
      </c>
      <c r="H1540" s="443">
        <v>112869.3</v>
      </c>
      <c r="I1540" s="557">
        <f t="shared" si="162"/>
        <v>113546.51580000001</v>
      </c>
      <c r="J1540" s="557">
        <f t="shared" si="162"/>
        <v>114227.79489480001</v>
      </c>
      <c r="K1540" s="1192" t="s">
        <v>2546</v>
      </c>
      <c r="L1540" s="1097" t="s">
        <v>979</v>
      </c>
      <c r="M1540" s="249">
        <v>1400</v>
      </c>
      <c r="N1540" s="249">
        <v>1400</v>
      </c>
      <c r="O1540" s="249">
        <v>1400</v>
      </c>
      <c r="P1540" s="249">
        <v>1400</v>
      </c>
      <c r="Q1540" s="249">
        <v>1400</v>
      </c>
    </row>
    <row r="1541" spans="2:17" ht="30" x14ac:dyDescent="0.25">
      <c r="B1541" s="1093"/>
      <c r="C1541" s="1098">
        <v>3</v>
      </c>
      <c r="D1541" s="1094"/>
      <c r="E1541" s="1189" t="s">
        <v>2386</v>
      </c>
      <c r="F1541" s="587">
        <v>5000</v>
      </c>
      <c r="G1541" s="729">
        <v>24175.200000000001</v>
      </c>
      <c r="H1541" s="69">
        <v>16276.8</v>
      </c>
      <c r="I1541" s="729">
        <f t="shared" si="162"/>
        <v>16374.460799999999</v>
      </c>
      <c r="J1541" s="557">
        <f t="shared" si="162"/>
        <v>16472.707564799999</v>
      </c>
      <c r="K1541" s="1192" t="s">
        <v>2387</v>
      </c>
      <c r="L1541" s="1097" t="s">
        <v>979</v>
      </c>
      <c r="M1541" s="249">
        <v>20</v>
      </c>
      <c r="N1541" s="249">
        <v>24</v>
      </c>
      <c r="O1541" s="249">
        <v>25</v>
      </c>
      <c r="P1541" s="249">
        <v>25</v>
      </c>
      <c r="Q1541" s="249">
        <v>25</v>
      </c>
    </row>
    <row r="1542" spans="2:17" x14ac:dyDescent="0.25">
      <c r="B1542" s="1093"/>
      <c r="C1542" s="1098">
        <v>4</v>
      </c>
      <c r="D1542" s="1094"/>
      <c r="E1542" s="1197" t="s">
        <v>2388</v>
      </c>
      <c r="F1542" s="587">
        <v>132000</v>
      </c>
      <c r="G1542" s="729">
        <v>0</v>
      </c>
      <c r="H1542" s="443"/>
      <c r="I1542" s="557">
        <v>0</v>
      </c>
      <c r="J1542" s="557">
        <f t="shared" si="162"/>
        <v>0</v>
      </c>
      <c r="K1542" s="1096"/>
      <c r="L1542" s="1097"/>
      <c r="M1542" s="1032"/>
      <c r="N1542" s="1032"/>
      <c r="O1542" s="1032"/>
      <c r="P1542" s="436"/>
      <c r="Q1542" s="436"/>
    </row>
    <row r="1543" spans="2:17" ht="30" x14ac:dyDescent="0.25">
      <c r="B1543" s="1093"/>
      <c r="C1543" s="1102">
        <v>5</v>
      </c>
      <c r="D1543" s="1094"/>
      <c r="E1543" s="1197" t="s">
        <v>2389</v>
      </c>
      <c r="F1543" s="1099">
        <v>19605.8</v>
      </c>
      <c r="G1543" s="557">
        <f>42308.3+1626.4</f>
        <v>43934.700000000004</v>
      </c>
      <c r="H1543" s="443">
        <v>82234.7</v>
      </c>
      <c r="I1543" s="557">
        <f>H1543*0.6%+H1543</f>
        <v>82728.108200000002</v>
      </c>
      <c r="J1543" s="557">
        <f t="shared" si="162"/>
        <v>83224.4768492</v>
      </c>
      <c r="K1543" s="1192" t="s">
        <v>2390</v>
      </c>
      <c r="L1543" s="1097" t="s">
        <v>979</v>
      </c>
      <c r="M1543" s="1030">
        <v>47000</v>
      </c>
      <c r="N1543" s="1030">
        <v>50000</v>
      </c>
      <c r="O1543" s="1030">
        <v>53000</v>
      </c>
      <c r="P1543" s="1030">
        <v>56000</v>
      </c>
      <c r="Q1543" s="1030">
        <v>59000</v>
      </c>
    </row>
    <row r="1544" spans="2:17" ht="73.5" x14ac:dyDescent="0.25">
      <c r="B1544" s="733">
        <v>3</v>
      </c>
      <c r="C1544" s="1103"/>
      <c r="D1544" s="1104"/>
      <c r="E1544" s="1195" t="s">
        <v>2554</v>
      </c>
      <c r="F1544" s="669">
        <f>SUM(F1545:F1550)</f>
        <v>540137.69999999995</v>
      </c>
      <c r="G1544" s="420">
        <f>SUM(G1545:G1550)</f>
        <v>696402.10000000009</v>
      </c>
      <c r="H1544" s="420">
        <f>SUM(H1545:H1550)</f>
        <v>775687.60000000009</v>
      </c>
      <c r="I1544" s="420">
        <f t="shared" ref="I1544:J1544" si="163">SUM(I1545:I1550)</f>
        <v>817884.82559999998</v>
      </c>
      <c r="J1544" s="420">
        <f t="shared" si="163"/>
        <v>840600.13455359999</v>
      </c>
      <c r="K1544" s="1196" t="s">
        <v>2391</v>
      </c>
      <c r="L1544" s="1105" t="s">
        <v>14</v>
      </c>
      <c r="M1544" s="792">
        <v>30</v>
      </c>
      <c r="N1544" s="792">
        <v>40</v>
      </c>
      <c r="O1544" s="792">
        <v>50</v>
      </c>
      <c r="P1544" s="792">
        <v>60</v>
      </c>
      <c r="Q1544" s="792">
        <v>60</v>
      </c>
    </row>
    <row r="1545" spans="2:17" ht="45" x14ac:dyDescent="0.25">
      <c r="B1545" s="1093"/>
      <c r="C1545" s="1098">
        <v>1</v>
      </c>
      <c r="D1545" s="1094"/>
      <c r="E1545" s="1189" t="s">
        <v>2392</v>
      </c>
      <c r="F1545" s="1099">
        <v>1053.0999999999999</v>
      </c>
      <c r="G1545" s="557">
        <f>1112.1+180.4</f>
        <v>1292.5</v>
      </c>
      <c r="H1545" s="443">
        <v>1292.5</v>
      </c>
      <c r="I1545" s="557">
        <f t="shared" ref="I1545:J1549" si="164">H1545*0.6%+H1545</f>
        <v>1300.2550000000001</v>
      </c>
      <c r="J1545" s="557">
        <f t="shared" si="164"/>
        <v>1308.0565300000001</v>
      </c>
      <c r="K1545" s="1192" t="s">
        <v>2393</v>
      </c>
      <c r="L1545" s="511" t="s">
        <v>979</v>
      </c>
      <c r="M1545" s="651">
        <v>5</v>
      </c>
      <c r="N1545" s="651">
        <v>6</v>
      </c>
      <c r="O1545" s="651">
        <v>6</v>
      </c>
      <c r="P1545" s="651">
        <v>6</v>
      </c>
      <c r="Q1545" s="651">
        <v>6</v>
      </c>
    </row>
    <row r="1546" spans="2:17" ht="30" x14ac:dyDescent="0.25">
      <c r="B1546" s="1013"/>
      <c r="C1546" s="1106">
        <v>2</v>
      </c>
      <c r="D1546" s="436"/>
      <c r="E1546" s="1197" t="s">
        <v>2394</v>
      </c>
      <c r="F1546" s="1099">
        <f>72000-7809.3+1944.2</f>
        <v>66134.899999999994</v>
      </c>
      <c r="G1546" s="557">
        <v>123550.5</v>
      </c>
      <c r="H1546" s="443">
        <f>73747.8+3000</f>
        <v>76747.8</v>
      </c>
      <c r="I1546" s="557">
        <f>H1546*0.6%+H1546</f>
        <v>77208.286800000002</v>
      </c>
      <c r="J1546" s="557">
        <f t="shared" si="164"/>
        <v>77671.5365208</v>
      </c>
      <c r="K1546" s="1198" t="s">
        <v>2395</v>
      </c>
      <c r="L1546" s="511" t="s">
        <v>979</v>
      </c>
      <c r="M1546" s="651">
        <v>395</v>
      </c>
      <c r="N1546" s="651">
        <v>395</v>
      </c>
      <c r="O1546" s="651">
        <v>395</v>
      </c>
      <c r="P1546" s="651">
        <v>395</v>
      </c>
      <c r="Q1546" s="651">
        <v>395</v>
      </c>
    </row>
    <row r="1547" spans="2:17" ht="30" x14ac:dyDescent="0.25">
      <c r="B1547" s="1013"/>
      <c r="C1547" s="1106">
        <v>3</v>
      </c>
      <c r="D1547" s="436"/>
      <c r="E1547" s="1197" t="s">
        <v>2396</v>
      </c>
      <c r="F1547" s="1099">
        <f>320688.2-1944.2</f>
        <v>318744</v>
      </c>
      <c r="G1547" s="557">
        <f>394918-34.1</f>
        <v>394883.9</v>
      </c>
      <c r="H1547" s="443">
        <v>454822.1</v>
      </c>
      <c r="I1547" s="557">
        <f>H1547*0.6%+H1547+5543.1</f>
        <v>463094.13259999995</v>
      </c>
      <c r="J1547" s="557">
        <f>I1547*0.6%+I1547</f>
        <v>465872.69739559997</v>
      </c>
      <c r="K1547" s="1192" t="s">
        <v>2397</v>
      </c>
      <c r="L1547" s="511" t="s">
        <v>979</v>
      </c>
      <c r="M1547" s="1032">
        <v>45000</v>
      </c>
      <c r="N1547" s="1032">
        <v>45500</v>
      </c>
      <c r="O1547" s="1032">
        <v>46000</v>
      </c>
      <c r="P1547" s="1032">
        <v>46500</v>
      </c>
      <c r="Q1547" s="1032">
        <v>47000</v>
      </c>
    </row>
    <row r="1548" spans="2:17" ht="30" x14ac:dyDescent="0.25">
      <c r="B1548" s="1013"/>
      <c r="C1548" s="1106">
        <v>4</v>
      </c>
      <c r="D1548" s="436"/>
      <c r="E1548" s="1197" t="s">
        <v>2398</v>
      </c>
      <c r="F1548" s="1099">
        <v>120000</v>
      </c>
      <c r="G1548" s="557">
        <f>108886.1+35089.1</f>
        <v>143975.20000000001</v>
      </c>
      <c r="H1548" s="443">
        <v>242175.2</v>
      </c>
      <c r="I1548" s="557">
        <f t="shared" ref="I1548:I1549" si="165">H1548*0.6%+H1548</f>
        <v>243628.2512</v>
      </c>
      <c r="J1548" s="557">
        <f t="shared" si="164"/>
        <v>245090.02070719999</v>
      </c>
      <c r="K1548" s="1192" t="s">
        <v>2399</v>
      </c>
      <c r="L1548" s="511" t="s">
        <v>979</v>
      </c>
      <c r="M1548" s="249">
        <v>270</v>
      </c>
      <c r="N1548" s="249">
        <v>290</v>
      </c>
      <c r="O1548" s="249">
        <v>520</v>
      </c>
      <c r="P1548" s="249">
        <v>530</v>
      </c>
      <c r="Q1548" s="249">
        <v>540</v>
      </c>
    </row>
    <row r="1549" spans="2:17" ht="30" x14ac:dyDescent="0.25">
      <c r="B1549" s="1013"/>
      <c r="C1549" s="1106">
        <v>5</v>
      </c>
      <c r="D1549" s="436"/>
      <c r="E1549" s="1197" t="s">
        <v>2400</v>
      </c>
      <c r="F1549" s="522">
        <v>2205.6999999999998</v>
      </c>
      <c r="G1549" s="557">
        <v>700</v>
      </c>
      <c r="H1549" s="443">
        <v>650</v>
      </c>
      <c r="I1549" s="557">
        <f t="shared" si="165"/>
        <v>653.9</v>
      </c>
      <c r="J1549" s="557">
        <f t="shared" si="164"/>
        <v>657.82339999999999</v>
      </c>
      <c r="K1549" s="1192" t="s">
        <v>2401</v>
      </c>
      <c r="L1549" s="511" t="s">
        <v>979</v>
      </c>
      <c r="M1549" s="249">
        <v>2</v>
      </c>
      <c r="N1549" s="249">
        <v>2</v>
      </c>
      <c r="O1549" s="249">
        <v>1</v>
      </c>
      <c r="P1549" s="249">
        <v>1</v>
      </c>
      <c r="Q1549" s="249">
        <v>1</v>
      </c>
    </row>
    <row r="1550" spans="2:17" ht="45" x14ac:dyDescent="0.25">
      <c r="B1550" s="1013"/>
      <c r="C1550" s="1106">
        <v>6</v>
      </c>
      <c r="D1550" s="436"/>
      <c r="E1550" s="1199" t="s">
        <v>2402</v>
      </c>
      <c r="F1550" s="1099">
        <v>32000</v>
      </c>
      <c r="G1550" s="557">
        <v>32000</v>
      </c>
      <c r="H1550" s="443"/>
      <c r="I1550" s="557">
        <v>32000</v>
      </c>
      <c r="J1550" s="557">
        <v>50000</v>
      </c>
      <c r="K1550" s="1192" t="s">
        <v>2403</v>
      </c>
      <c r="L1550" s="511" t="s">
        <v>979</v>
      </c>
      <c r="M1550" s="249">
        <v>240</v>
      </c>
      <c r="N1550" s="249">
        <v>200</v>
      </c>
      <c r="O1550" s="249">
        <v>200</v>
      </c>
      <c r="P1550" s="249">
        <v>200</v>
      </c>
      <c r="Q1550" s="249">
        <v>200</v>
      </c>
    </row>
    <row r="1551" spans="2:17" ht="59.25" x14ac:dyDescent="0.25">
      <c r="B1551" s="328">
        <v>4</v>
      </c>
      <c r="C1551" s="305"/>
      <c r="D1551" s="333"/>
      <c r="E1551" s="1200" t="s">
        <v>2555</v>
      </c>
      <c r="F1551" s="430">
        <f>SUM(F1552:F1557)</f>
        <v>16717.399999999998</v>
      </c>
      <c r="G1551" s="430">
        <f>SUM(G1552:G1557)</f>
        <v>13876.7</v>
      </c>
      <c r="H1551" s="430">
        <f>SUM(H1552:H1557)</f>
        <v>13876.7</v>
      </c>
      <c r="I1551" s="430">
        <f>SUM(I1552:I1557)</f>
        <v>13959.9602</v>
      </c>
      <c r="J1551" s="430">
        <f>SUM(J1552:J1557)</f>
        <v>14043.7199612</v>
      </c>
      <c r="K1551" s="1168" t="s">
        <v>2404</v>
      </c>
      <c r="L1551" s="1107" t="s">
        <v>1073</v>
      </c>
      <c r="M1551" s="1108">
        <v>3</v>
      </c>
      <c r="N1551" s="1108">
        <v>4</v>
      </c>
      <c r="O1551" s="1108">
        <v>5</v>
      </c>
      <c r="P1551" s="1108">
        <v>6</v>
      </c>
      <c r="Q1551" s="1108">
        <v>6</v>
      </c>
    </row>
    <row r="1552" spans="2:17" ht="45" x14ac:dyDescent="0.25">
      <c r="B1552" s="1013"/>
      <c r="C1552" s="1106">
        <v>1</v>
      </c>
      <c r="D1552" s="436"/>
      <c r="E1552" s="1201" t="s">
        <v>2405</v>
      </c>
      <c r="F1552" s="1099">
        <v>3500</v>
      </c>
      <c r="G1552" s="557">
        <v>1000</v>
      </c>
      <c r="H1552" s="443">
        <v>1000</v>
      </c>
      <c r="I1552" s="557">
        <f t="shared" ref="I1552:J1557" si="166">H1552*0.6%+H1552</f>
        <v>1006</v>
      </c>
      <c r="J1552" s="557">
        <f t="shared" si="166"/>
        <v>1012.0359999999999</v>
      </c>
      <c r="K1552" s="1202" t="s">
        <v>2406</v>
      </c>
      <c r="L1552" s="1097" t="s">
        <v>979</v>
      </c>
      <c r="M1552" s="1109">
        <v>10</v>
      </c>
      <c r="N1552" s="1109">
        <v>13</v>
      </c>
      <c r="O1552" s="1109">
        <v>10</v>
      </c>
      <c r="P1552" s="1109">
        <v>10</v>
      </c>
      <c r="Q1552" s="1109">
        <v>10</v>
      </c>
    </row>
    <row r="1553" spans="2:17" ht="90" x14ac:dyDescent="0.25">
      <c r="B1553" s="1013"/>
      <c r="C1553" s="1106">
        <v>2</v>
      </c>
      <c r="D1553" s="436"/>
      <c r="E1553" s="1201" t="s">
        <v>2407</v>
      </c>
      <c r="F1553" s="1099">
        <f>7290+2065.4</f>
        <v>9355.4</v>
      </c>
      <c r="G1553" s="557">
        <v>7000</v>
      </c>
      <c r="H1553" s="443">
        <v>7000</v>
      </c>
      <c r="I1553" s="557">
        <f t="shared" si="166"/>
        <v>7042</v>
      </c>
      <c r="J1553" s="557">
        <f t="shared" si="166"/>
        <v>7084.2520000000004</v>
      </c>
      <c r="K1553" s="1203" t="s">
        <v>2408</v>
      </c>
      <c r="L1553" s="1097" t="s">
        <v>979</v>
      </c>
      <c r="M1553" s="1109">
        <v>10</v>
      </c>
      <c r="N1553" s="1109">
        <v>10</v>
      </c>
      <c r="O1553" s="1109">
        <v>10</v>
      </c>
      <c r="P1553" s="1109">
        <v>10</v>
      </c>
      <c r="Q1553" s="1109">
        <v>10</v>
      </c>
    </row>
    <row r="1554" spans="2:17" ht="30" x14ac:dyDescent="0.25">
      <c r="B1554" s="1013"/>
      <c r="C1554" s="1106">
        <v>3</v>
      </c>
      <c r="D1554" s="436"/>
      <c r="E1554" s="1201" t="s">
        <v>2409</v>
      </c>
      <c r="F1554" s="1099">
        <v>1400</v>
      </c>
      <c r="G1554" s="557">
        <v>3000</v>
      </c>
      <c r="H1554" s="443">
        <v>3000</v>
      </c>
      <c r="I1554" s="557">
        <f t="shared" si="166"/>
        <v>3018</v>
      </c>
      <c r="J1554" s="557">
        <f t="shared" si="166"/>
        <v>3036.1080000000002</v>
      </c>
      <c r="K1554" s="1192" t="s">
        <v>2410</v>
      </c>
      <c r="L1554" s="1097" t="s">
        <v>979</v>
      </c>
      <c r="M1554" s="1109">
        <v>14</v>
      </c>
      <c r="N1554" s="1109">
        <v>14</v>
      </c>
      <c r="O1554" s="1109">
        <v>14</v>
      </c>
      <c r="P1554" s="1109">
        <v>14</v>
      </c>
      <c r="Q1554" s="1109">
        <v>14</v>
      </c>
    </row>
    <row r="1555" spans="2:17" ht="30" x14ac:dyDescent="0.25">
      <c r="B1555" s="1866"/>
      <c r="C1555" s="1868">
        <v>4</v>
      </c>
      <c r="D1555" s="1870"/>
      <c r="E1555" s="1872" t="s">
        <v>2411</v>
      </c>
      <c r="F1555" s="1874">
        <v>1239.8</v>
      </c>
      <c r="G1555" s="1599">
        <f>200+1247.2</f>
        <v>1447.2</v>
      </c>
      <c r="H1555" s="1788">
        <v>1447.2</v>
      </c>
      <c r="I1555" s="1599">
        <f t="shared" si="166"/>
        <v>1455.8832</v>
      </c>
      <c r="J1555" s="1599">
        <f t="shared" si="166"/>
        <v>1464.6184992000001</v>
      </c>
      <c r="K1555" s="1204" t="s">
        <v>2412</v>
      </c>
      <c r="L1555" s="1097" t="s">
        <v>1073</v>
      </c>
      <c r="M1555" s="1109">
        <v>12</v>
      </c>
      <c r="N1555" s="1109">
        <v>18</v>
      </c>
      <c r="O1555" s="1109">
        <v>13</v>
      </c>
      <c r="P1555" s="1109">
        <v>14</v>
      </c>
      <c r="Q1555" s="1109">
        <v>15</v>
      </c>
    </row>
    <row r="1556" spans="2:17" ht="30" x14ac:dyDescent="0.25">
      <c r="B1556" s="1867"/>
      <c r="C1556" s="1869"/>
      <c r="D1556" s="1871"/>
      <c r="E1556" s="1873"/>
      <c r="F1556" s="1875"/>
      <c r="G1556" s="1600"/>
      <c r="H1556" s="1789"/>
      <c r="I1556" s="1600"/>
      <c r="J1556" s="1600"/>
      <c r="K1556" s="1205" t="s">
        <v>2413</v>
      </c>
      <c r="L1556" s="1097" t="s">
        <v>2188</v>
      </c>
      <c r="M1556" s="1109">
        <v>1000</v>
      </c>
      <c r="N1556" s="1109">
        <v>1000</v>
      </c>
      <c r="O1556" s="1109">
        <v>1000</v>
      </c>
      <c r="P1556" s="1109">
        <v>1000</v>
      </c>
      <c r="Q1556" s="1109">
        <v>1000</v>
      </c>
    </row>
    <row r="1557" spans="2:17" ht="30" x14ac:dyDescent="0.25">
      <c r="B1557" s="1093"/>
      <c r="C1557" s="1098">
        <v>5</v>
      </c>
      <c r="D1557" s="1110"/>
      <c r="E1557" s="1198" t="s">
        <v>2414</v>
      </c>
      <c r="F1557" s="1099">
        <v>1222.2</v>
      </c>
      <c r="G1557" s="559">
        <f>1229.5+200</f>
        <v>1429.5</v>
      </c>
      <c r="H1557" s="606">
        <v>1429.5</v>
      </c>
      <c r="I1557" s="559">
        <f t="shared" ref="I1557" si="167">H1557*0.6%+H1557</f>
        <v>1438.077</v>
      </c>
      <c r="J1557" s="559">
        <f t="shared" si="166"/>
        <v>1446.7054619999999</v>
      </c>
      <c r="K1557" s="710" t="s">
        <v>2415</v>
      </c>
      <c r="L1557" s="715" t="s">
        <v>979</v>
      </c>
      <c r="M1557" s="1111">
        <v>4</v>
      </c>
      <c r="N1557" s="1111">
        <v>5</v>
      </c>
      <c r="O1557" s="1111">
        <v>4</v>
      </c>
      <c r="P1557" s="1111">
        <v>4</v>
      </c>
      <c r="Q1557" s="1111">
        <v>4</v>
      </c>
    </row>
    <row r="1558" spans="2:17" x14ac:dyDescent="0.25">
      <c r="B1558" s="1112" t="s">
        <v>291</v>
      </c>
      <c r="C1558" s="1113"/>
      <c r="D1558" s="1113"/>
      <c r="E1558" s="1114"/>
      <c r="F1558" s="8">
        <f>F1526+F1538+F1544+F1551</f>
        <v>860324.2</v>
      </c>
      <c r="G1558" s="1166">
        <f>G1551+G1544+G1538+G1526</f>
        <v>921823.5</v>
      </c>
      <c r="H1558" s="8">
        <f>H1551+H1544+H1538+H1526</f>
        <v>1031610.1000000001</v>
      </c>
      <c r="I1558" s="8">
        <f>I1551+I1544+I1538+I1526</f>
        <v>1075342.8606</v>
      </c>
      <c r="J1558" s="8">
        <f>J1551+J1544+J1538+J1526</f>
        <v>1099602.9177636001</v>
      </c>
      <c r="K1558" s="831"/>
      <c r="L1558" s="1673"/>
      <c r="M1558" s="1673"/>
      <c r="N1558" s="1673"/>
      <c r="O1558" s="1673"/>
      <c r="P1558" s="1673"/>
      <c r="Q1558" s="696"/>
    </row>
    <row r="1559" spans="2:17" x14ac:dyDescent="0.25">
      <c r="B1559" s="1573" t="s">
        <v>2416</v>
      </c>
      <c r="C1559" s="1573"/>
      <c r="D1559" s="1573"/>
      <c r="E1559" s="1672"/>
      <c r="F1559" s="1573"/>
      <c r="G1559" s="1573"/>
      <c r="H1559" s="1573"/>
      <c r="I1559" s="1573"/>
      <c r="J1559" s="1573"/>
      <c r="K1559" s="1573"/>
      <c r="L1559" s="1573"/>
      <c r="M1559" s="1573"/>
      <c r="N1559" s="1573"/>
      <c r="O1559" s="1573"/>
      <c r="P1559" s="1573"/>
      <c r="Q1559" s="1573"/>
    </row>
    <row r="1560" spans="2:17" x14ac:dyDescent="0.25">
      <c r="B1560" s="1858">
        <v>1</v>
      </c>
      <c r="C1560" s="1853"/>
      <c r="D1560" s="1859"/>
      <c r="E1560" s="1115" t="s">
        <v>2417</v>
      </c>
      <c r="F1560" s="1855">
        <f>F1562+F1563+F1564+F1565</f>
        <v>7065.7</v>
      </c>
      <c r="G1560" s="1855">
        <f t="shared" ref="G1560:J1560" si="168">G1562+G1563+G1564+G1565</f>
        <v>7065.7000000000007</v>
      </c>
      <c r="H1560" s="1855">
        <f t="shared" si="168"/>
        <v>6652.4</v>
      </c>
      <c r="I1560" s="1855">
        <f t="shared" si="168"/>
        <v>7074.2</v>
      </c>
      <c r="J1560" s="1855">
        <f t="shared" si="168"/>
        <v>7134.2</v>
      </c>
      <c r="K1560" s="1862"/>
      <c r="L1560" s="1864"/>
      <c r="M1560" s="1864"/>
      <c r="N1560" s="1864"/>
      <c r="O1560" s="1864"/>
      <c r="P1560" s="1864"/>
      <c r="Q1560" s="1845"/>
    </row>
    <row r="1561" spans="2:17" ht="60" x14ac:dyDescent="0.25">
      <c r="B1561" s="1846"/>
      <c r="C1561" s="1853"/>
      <c r="D1561" s="1860"/>
      <c r="E1561" s="1116" t="s">
        <v>2418</v>
      </c>
      <c r="F1561" s="1861"/>
      <c r="G1561" s="1861"/>
      <c r="H1561" s="1861"/>
      <c r="I1561" s="1861"/>
      <c r="J1561" s="1861"/>
      <c r="K1561" s="1863"/>
      <c r="L1561" s="1865"/>
      <c r="M1561" s="1865"/>
      <c r="N1561" s="1865"/>
      <c r="O1561" s="1865"/>
      <c r="P1561" s="1865"/>
      <c r="Q1561" s="1846"/>
    </row>
    <row r="1562" spans="2:17" x14ac:dyDescent="0.25">
      <c r="B1562" s="438"/>
      <c r="C1562" s="655" t="s">
        <v>2</v>
      </c>
      <c r="D1562" s="41"/>
      <c r="E1562" s="719" t="s">
        <v>140</v>
      </c>
      <c r="F1562" s="345">
        <v>1414.8</v>
      </c>
      <c r="G1562" s="345">
        <v>1414.8</v>
      </c>
      <c r="H1562" s="345">
        <v>1414.8</v>
      </c>
      <c r="I1562" s="345">
        <v>1414.8</v>
      </c>
      <c r="J1562" s="345">
        <v>1474.8</v>
      </c>
      <c r="K1562" s="1117" t="s">
        <v>501</v>
      </c>
      <c r="L1562" s="540" t="s">
        <v>14</v>
      </c>
      <c r="M1562" s="540">
        <v>35</v>
      </c>
      <c r="N1562" s="540">
        <v>45</v>
      </c>
      <c r="O1562" s="540">
        <v>50</v>
      </c>
      <c r="P1562" s="540">
        <v>60</v>
      </c>
      <c r="Q1562" s="540">
        <v>80</v>
      </c>
    </row>
    <row r="1563" spans="2:17" ht="30" x14ac:dyDescent="0.25">
      <c r="B1563" s="728"/>
      <c r="C1563" s="655" t="s">
        <v>3</v>
      </c>
      <c r="D1563" s="728"/>
      <c r="E1563" s="1190" t="s">
        <v>2419</v>
      </c>
      <c r="F1563" s="345">
        <v>699.1</v>
      </c>
      <c r="G1563" s="345">
        <v>885.5</v>
      </c>
      <c r="H1563" s="345">
        <v>699.1</v>
      </c>
      <c r="I1563" s="345">
        <v>885.5</v>
      </c>
      <c r="J1563" s="345">
        <v>885.5</v>
      </c>
      <c r="K1563" s="31" t="s">
        <v>834</v>
      </c>
      <c r="L1563" s="540" t="s">
        <v>14</v>
      </c>
      <c r="M1563" s="540">
        <v>100</v>
      </c>
      <c r="N1563" s="540">
        <v>100</v>
      </c>
      <c r="O1563" s="540">
        <v>100</v>
      </c>
      <c r="P1563" s="540">
        <v>100</v>
      </c>
      <c r="Q1563" s="540">
        <v>100</v>
      </c>
    </row>
    <row r="1564" spans="2:17" ht="30" x14ac:dyDescent="0.25">
      <c r="B1564" s="728"/>
      <c r="C1564" s="655" t="s">
        <v>5</v>
      </c>
      <c r="D1564" s="728"/>
      <c r="E1564" s="562" t="s">
        <v>241</v>
      </c>
      <c r="F1564" s="345">
        <v>707.4</v>
      </c>
      <c r="G1564" s="345">
        <v>545.29999999999995</v>
      </c>
      <c r="H1564" s="345">
        <v>707.4</v>
      </c>
      <c r="I1564" s="345">
        <v>581</v>
      </c>
      <c r="J1564" s="345">
        <v>581</v>
      </c>
      <c r="K1564" s="31" t="s">
        <v>2420</v>
      </c>
      <c r="L1564" s="540" t="s">
        <v>14</v>
      </c>
      <c r="M1564" s="540">
        <v>100</v>
      </c>
      <c r="N1564" s="540">
        <v>100</v>
      </c>
      <c r="O1564" s="540">
        <v>100</v>
      </c>
      <c r="P1564" s="41">
        <v>100</v>
      </c>
      <c r="Q1564" s="41">
        <v>100</v>
      </c>
    </row>
    <row r="1565" spans="2:17" ht="45" x14ac:dyDescent="0.25">
      <c r="B1565" s="728"/>
      <c r="C1565" s="655" t="s">
        <v>50</v>
      </c>
      <c r="D1565" s="728"/>
      <c r="E1565" s="1192" t="s">
        <v>2381</v>
      </c>
      <c r="F1565" s="1118">
        <v>4244.3999999999996</v>
      </c>
      <c r="G1565" s="1118">
        <v>4220.1000000000004</v>
      </c>
      <c r="H1565" s="1118">
        <v>3831.1</v>
      </c>
      <c r="I1565" s="1118">
        <v>4192.8999999999996</v>
      </c>
      <c r="J1565" s="1118">
        <v>4192.8999999999996</v>
      </c>
      <c r="K1565" s="32" t="s">
        <v>2421</v>
      </c>
      <c r="L1565" s="540" t="s">
        <v>14</v>
      </c>
      <c r="M1565" s="540">
        <v>100</v>
      </c>
      <c r="N1565" s="540">
        <v>100</v>
      </c>
      <c r="O1565" s="540">
        <v>100</v>
      </c>
      <c r="P1565" s="41">
        <v>100</v>
      </c>
      <c r="Q1565" s="41">
        <v>100</v>
      </c>
    </row>
    <row r="1566" spans="2:17" ht="28.5" x14ac:dyDescent="0.25">
      <c r="B1566" s="1852" t="s">
        <v>91</v>
      </c>
      <c r="C1566" s="1853"/>
      <c r="D1566" s="1854"/>
      <c r="E1566" s="1119" t="s">
        <v>2422</v>
      </c>
      <c r="F1566" s="1855">
        <f>F1568+F1569+F1571</f>
        <v>15562.800000000001</v>
      </c>
      <c r="G1566" s="1855">
        <f t="shared" ref="G1566:J1566" si="169">G1568+G1569+G1571</f>
        <v>15562.800000000001</v>
      </c>
      <c r="H1566" s="1855">
        <f t="shared" si="169"/>
        <v>13494.2</v>
      </c>
      <c r="I1566" s="1855">
        <f t="shared" si="169"/>
        <v>15574</v>
      </c>
      <c r="J1566" s="1855">
        <f t="shared" si="169"/>
        <v>15558.2</v>
      </c>
      <c r="K1566" s="1856"/>
      <c r="L1566" s="1834"/>
      <c r="M1566" s="1649"/>
      <c r="N1566" s="1649"/>
      <c r="O1566" s="1649"/>
      <c r="P1566" s="1649"/>
      <c r="Q1566" s="1845"/>
    </row>
    <row r="1567" spans="2:17" ht="30" x14ac:dyDescent="0.25">
      <c r="B1567" s="1852"/>
      <c r="C1567" s="1853"/>
      <c r="D1567" s="1854"/>
      <c r="E1567" s="1116" t="s">
        <v>2423</v>
      </c>
      <c r="F1567" s="1855"/>
      <c r="G1567" s="1855"/>
      <c r="H1567" s="1855"/>
      <c r="I1567" s="1855"/>
      <c r="J1567" s="1855"/>
      <c r="K1567" s="1857"/>
      <c r="L1567" s="1835"/>
      <c r="M1567" s="1650"/>
      <c r="N1567" s="1650"/>
      <c r="O1567" s="1650"/>
      <c r="P1567" s="1650"/>
      <c r="Q1567" s="1846"/>
    </row>
    <row r="1568" spans="2:17" ht="45" x14ac:dyDescent="0.25">
      <c r="B1568" s="53"/>
      <c r="C1568" s="655" t="s">
        <v>2</v>
      </c>
      <c r="D1568" s="655"/>
      <c r="E1568" s="719" t="s">
        <v>2424</v>
      </c>
      <c r="F1568" s="1120">
        <v>9196.2000000000007</v>
      </c>
      <c r="G1568" s="1120">
        <v>9196.2000000000007</v>
      </c>
      <c r="H1568" s="1120">
        <v>9290</v>
      </c>
      <c r="I1568" s="1120">
        <f>9418.6-582.2</f>
        <v>8836.4</v>
      </c>
      <c r="J1568" s="1120">
        <f>9918.6-1489</f>
        <v>8429.6</v>
      </c>
      <c r="K1568" s="32" t="s">
        <v>2425</v>
      </c>
      <c r="L1568" s="540" t="s">
        <v>14</v>
      </c>
      <c r="M1568" s="540">
        <v>80</v>
      </c>
      <c r="N1568" s="540">
        <v>90</v>
      </c>
      <c r="O1568" s="540">
        <v>100</v>
      </c>
      <c r="P1568" s="716">
        <v>100</v>
      </c>
      <c r="Q1568" s="540">
        <v>100</v>
      </c>
    </row>
    <row r="1569" spans="2:17" ht="30" x14ac:dyDescent="0.25">
      <c r="B1569" s="1840"/>
      <c r="C1569" s="1848" t="s">
        <v>3</v>
      </c>
      <c r="D1569" s="1848"/>
      <c r="E1569" s="1850" t="s">
        <v>2426</v>
      </c>
      <c r="F1569" s="1844">
        <v>2829.6</v>
      </c>
      <c r="G1569" s="1844">
        <v>2829.6</v>
      </c>
      <c r="H1569" s="1844">
        <v>667.2</v>
      </c>
      <c r="I1569" s="1844">
        <v>2914.6</v>
      </c>
      <c r="J1569" s="1844">
        <v>3105.6</v>
      </c>
      <c r="K1569" s="440" t="s">
        <v>2427</v>
      </c>
      <c r="L1569" s="540" t="s">
        <v>14</v>
      </c>
      <c r="M1569" s="415">
        <v>50</v>
      </c>
      <c r="N1569" s="415">
        <v>70</v>
      </c>
      <c r="O1569" s="415">
        <v>90</v>
      </c>
      <c r="P1569" s="540">
        <v>100</v>
      </c>
      <c r="Q1569" s="415">
        <v>100</v>
      </c>
    </row>
    <row r="1570" spans="2:17" ht="45" x14ac:dyDescent="0.25">
      <c r="B1570" s="1847"/>
      <c r="C1570" s="1849"/>
      <c r="D1570" s="1849"/>
      <c r="E1570" s="1851"/>
      <c r="F1570" s="1844"/>
      <c r="G1570" s="1844"/>
      <c r="H1570" s="1844"/>
      <c r="I1570" s="1844"/>
      <c r="J1570" s="1844"/>
      <c r="K1570" s="440" t="s">
        <v>2428</v>
      </c>
      <c r="L1570" s="415" t="s">
        <v>1073</v>
      </c>
      <c r="M1570" s="415" t="s">
        <v>59</v>
      </c>
      <c r="N1570" s="415" t="s">
        <v>59</v>
      </c>
      <c r="O1570" s="415" t="s">
        <v>59</v>
      </c>
      <c r="P1570" s="415" t="s">
        <v>59</v>
      </c>
      <c r="Q1570" s="415" t="s">
        <v>59</v>
      </c>
    </row>
    <row r="1571" spans="2:17" x14ac:dyDescent="0.25">
      <c r="B1571" s="1840"/>
      <c r="C1571" s="1842" t="s">
        <v>4</v>
      </c>
      <c r="D1571" s="1842"/>
      <c r="E1571" s="1843" t="s">
        <v>2429</v>
      </c>
      <c r="F1571" s="1844">
        <v>3537</v>
      </c>
      <c r="G1571" s="1844">
        <v>3537</v>
      </c>
      <c r="H1571" s="1844">
        <v>3537</v>
      </c>
      <c r="I1571" s="1844">
        <v>3823</v>
      </c>
      <c r="J1571" s="1844">
        <v>4023</v>
      </c>
      <c r="K1571" s="1832" t="s">
        <v>2430</v>
      </c>
      <c r="L1571" s="1834" t="s">
        <v>14</v>
      </c>
      <c r="M1571" s="1836">
        <v>70</v>
      </c>
      <c r="N1571" s="1836">
        <v>80</v>
      </c>
      <c r="O1571" s="1836">
        <v>90</v>
      </c>
      <c r="P1571" s="1836">
        <v>100</v>
      </c>
      <c r="Q1571" s="1838">
        <v>100</v>
      </c>
    </row>
    <row r="1572" spans="2:17" x14ac:dyDescent="0.25">
      <c r="B1572" s="1841"/>
      <c r="C1572" s="1842"/>
      <c r="D1572" s="1842"/>
      <c r="E1572" s="1843"/>
      <c r="F1572" s="1844"/>
      <c r="G1572" s="1844"/>
      <c r="H1572" s="1844"/>
      <c r="I1572" s="1844"/>
      <c r="J1572" s="1844"/>
      <c r="K1572" s="1833"/>
      <c r="L1572" s="1835"/>
      <c r="M1572" s="1837"/>
      <c r="N1572" s="1837"/>
      <c r="O1572" s="1837"/>
      <c r="P1572" s="1837"/>
      <c r="Q1572" s="1839"/>
    </row>
    <row r="1573" spans="2:17" x14ac:dyDescent="0.25">
      <c r="B1573" s="1815" t="s">
        <v>291</v>
      </c>
      <c r="C1573" s="1816"/>
      <c r="D1573" s="1816"/>
      <c r="E1573" s="1817"/>
      <c r="F1573" s="320">
        <f>F1562+F1563+F1564+F1565+F1568+F1569+F1571</f>
        <v>22628.5</v>
      </c>
      <c r="G1573" s="320">
        <f t="shared" ref="G1573:J1573" si="170">G1562+G1563+G1564+G1565+G1568+G1569+G1571</f>
        <v>22628.5</v>
      </c>
      <c r="H1573" s="320">
        <f>H1562+H1563+H1564+H1565+H1568+H1569+H1571</f>
        <v>20146.599999999999</v>
      </c>
      <c r="I1573" s="320">
        <f t="shared" si="170"/>
        <v>22648.199999999997</v>
      </c>
      <c r="J1573" s="320">
        <f t="shared" si="170"/>
        <v>22692.399999999998</v>
      </c>
      <c r="K1573" s="56"/>
      <c r="L1573" s="57"/>
      <c r="M1573" s="58"/>
      <c r="N1573" s="58"/>
      <c r="O1573" s="58"/>
      <c r="P1573" s="58"/>
      <c r="Q1573" s="58"/>
    </row>
    <row r="1574" spans="2:17" x14ac:dyDescent="0.25">
      <c r="B1574" s="1573" t="s">
        <v>2431</v>
      </c>
      <c r="C1574" s="1573"/>
      <c r="D1574" s="1573"/>
      <c r="E1574" s="1573"/>
      <c r="F1574" s="1573"/>
      <c r="G1574" s="1573"/>
      <c r="H1574" s="1573"/>
      <c r="I1574" s="1573"/>
      <c r="J1574" s="1573"/>
      <c r="K1574" s="1573"/>
      <c r="L1574" s="1573"/>
      <c r="M1574" s="1573"/>
      <c r="N1574" s="1573"/>
      <c r="O1574" s="1573"/>
      <c r="P1574" s="1573"/>
      <c r="Q1574" s="1573"/>
    </row>
    <row r="1575" spans="2:17" ht="74.25" x14ac:dyDescent="0.25">
      <c r="B1575" s="1025">
        <v>1</v>
      </c>
      <c r="C1575" s="416"/>
      <c r="D1575" s="116"/>
      <c r="E1575" s="477" t="s">
        <v>2432</v>
      </c>
      <c r="F1575" s="430">
        <f>F1576+F1577+F1578+F1579+F1581</f>
        <v>9541.4</v>
      </c>
      <c r="G1575" s="430">
        <f>G1576+G1577+G1578+G1579+G1581</f>
        <v>10024.5</v>
      </c>
      <c r="H1575" s="430">
        <f>H1576+H1577+H1578+H1579+H1581</f>
        <v>10024.5</v>
      </c>
      <c r="I1575" s="430">
        <f>I1576+I1577+I1578+I1579+I1581</f>
        <v>10136.799999999999</v>
      </c>
      <c r="J1575" s="430">
        <f>J1576+J1577+J1578+J1579+J1581</f>
        <v>10214.300000000001</v>
      </c>
      <c r="K1575" s="1187" t="s">
        <v>2363</v>
      </c>
      <c r="L1575" s="583" t="s">
        <v>14</v>
      </c>
      <c r="M1575" s="583"/>
      <c r="N1575" s="583"/>
      <c r="O1575" s="583"/>
      <c r="P1575" s="583"/>
      <c r="Q1575" s="583"/>
    </row>
    <row r="1576" spans="2:17" x14ac:dyDescent="0.25">
      <c r="B1576" s="1025"/>
      <c r="C1576" s="424">
        <v>1</v>
      </c>
      <c r="D1576" s="416"/>
      <c r="E1576" s="719" t="s">
        <v>140</v>
      </c>
      <c r="F1576" s="557">
        <v>3098.1</v>
      </c>
      <c r="G1576" s="557">
        <v>3359.7</v>
      </c>
      <c r="H1576" s="557">
        <v>3359.7</v>
      </c>
      <c r="I1576" s="557">
        <v>3367.6</v>
      </c>
      <c r="J1576" s="557">
        <v>3439.8</v>
      </c>
      <c r="K1576" s="589" t="s">
        <v>501</v>
      </c>
      <c r="L1576" s="511" t="s">
        <v>15</v>
      </c>
      <c r="M1576" s="583">
        <v>0.49</v>
      </c>
      <c r="N1576" s="583">
        <v>0.5</v>
      </c>
      <c r="O1576" s="583">
        <v>0.5</v>
      </c>
      <c r="P1576" s="583">
        <v>0.5</v>
      </c>
      <c r="Q1576" s="583">
        <v>0.5</v>
      </c>
    </row>
    <row r="1577" spans="2:17" ht="45" x14ac:dyDescent="0.25">
      <c r="B1577" s="1025"/>
      <c r="C1577" s="424">
        <v>6</v>
      </c>
      <c r="D1577" s="416"/>
      <c r="E1577" s="1192" t="s">
        <v>2381</v>
      </c>
      <c r="F1577" s="557">
        <v>1390.6</v>
      </c>
      <c r="G1577" s="557">
        <v>1494.7</v>
      </c>
      <c r="H1577" s="557">
        <v>1494.7</v>
      </c>
      <c r="I1577" s="557">
        <v>1528.3</v>
      </c>
      <c r="J1577" s="557">
        <v>1515</v>
      </c>
      <c r="K1577" s="628" t="s">
        <v>1786</v>
      </c>
      <c r="L1577" s="511" t="s">
        <v>14</v>
      </c>
      <c r="M1577" s="583">
        <v>16</v>
      </c>
      <c r="N1577" s="583">
        <v>18</v>
      </c>
      <c r="O1577" s="583">
        <v>18</v>
      </c>
      <c r="P1577" s="583">
        <v>18</v>
      </c>
      <c r="Q1577" s="583">
        <v>19</v>
      </c>
    </row>
    <row r="1578" spans="2:17" ht="30" x14ac:dyDescent="0.25">
      <c r="B1578" s="1025"/>
      <c r="C1578" s="424">
        <v>2</v>
      </c>
      <c r="D1578" s="416"/>
      <c r="E1578" s="1190" t="s">
        <v>2419</v>
      </c>
      <c r="F1578" s="557">
        <v>937.2</v>
      </c>
      <c r="G1578" s="557">
        <v>983.6</v>
      </c>
      <c r="H1578" s="557">
        <v>983.6</v>
      </c>
      <c r="I1578" s="557">
        <v>1007.2</v>
      </c>
      <c r="J1578" s="557">
        <v>980.8</v>
      </c>
      <c r="K1578" s="628" t="s">
        <v>834</v>
      </c>
      <c r="L1578" s="511" t="s">
        <v>14</v>
      </c>
      <c r="M1578" s="583">
        <v>100</v>
      </c>
      <c r="N1578" s="583">
        <v>100</v>
      </c>
      <c r="O1578" s="583">
        <v>100</v>
      </c>
      <c r="P1578" s="583">
        <v>100</v>
      </c>
      <c r="Q1578" s="583">
        <v>100</v>
      </c>
    </row>
    <row r="1579" spans="2:17" ht="30" x14ac:dyDescent="0.25">
      <c r="B1579" s="1826"/>
      <c r="C1579" s="1827">
        <v>3</v>
      </c>
      <c r="D1579" s="1828"/>
      <c r="E1579" s="1829" t="s">
        <v>1212</v>
      </c>
      <c r="F1579" s="1830">
        <v>2846.4</v>
      </c>
      <c r="G1579" s="1830">
        <v>2861.7</v>
      </c>
      <c r="H1579" s="1830">
        <v>2861.7</v>
      </c>
      <c r="I1579" s="1830">
        <v>2885.3</v>
      </c>
      <c r="J1579" s="1599">
        <v>2941.6</v>
      </c>
      <c r="K1579" s="628" t="s">
        <v>2433</v>
      </c>
      <c r="L1579" s="511" t="s">
        <v>14</v>
      </c>
      <c r="M1579" s="583">
        <v>0</v>
      </c>
      <c r="N1579" s="583">
        <v>0</v>
      </c>
      <c r="O1579" s="583">
        <v>0</v>
      </c>
      <c r="P1579" s="583">
        <v>0</v>
      </c>
      <c r="Q1579" s="583">
        <v>0</v>
      </c>
    </row>
    <row r="1580" spans="2:17" x14ac:dyDescent="0.25">
      <c r="B1580" s="1826"/>
      <c r="C1580" s="1827"/>
      <c r="D1580" s="1828"/>
      <c r="E1580" s="1829"/>
      <c r="F1580" s="1831"/>
      <c r="G1580" s="1831"/>
      <c r="H1580" s="1831"/>
      <c r="I1580" s="1831"/>
      <c r="J1580" s="1600"/>
      <c r="K1580" s="628" t="s">
        <v>2434</v>
      </c>
      <c r="L1580" s="511" t="s">
        <v>1073</v>
      </c>
      <c r="M1580" s="583">
        <v>35</v>
      </c>
      <c r="N1580" s="583">
        <v>40</v>
      </c>
      <c r="O1580" s="583">
        <v>41</v>
      </c>
      <c r="P1580" s="583">
        <v>42</v>
      </c>
      <c r="Q1580" s="583">
        <v>43</v>
      </c>
    </row>
    <row r="1581" spans="2:17" ht="30" x14ac:dyDescent="0.25">
      <c r="B1581" s="328"/>
      <c r="C1581" s="652">
        <v>4</v>
      </c>
      <c r="D1581" s="416"/>
      <c r="E1581" s="562" t="s">
        <v>241</v>
      </c>
      <c r="F1581" s="557">
        <v>1269.0999999999999</v>
      </c>
      <c r="G1581" s="557">
        <v>1324.8</v>
      </c>
      <c r="H1581" s="557">
        <v>1324.8</v>
      </c>
      <c r="I1581" s="557">
        <v>1348.4</v>
      </c>
      <c r="J1581" s="557">
        <v>1337.1</v>
      </c>
      <c r="K1581" s="628" t="s">
        <v>2435</v>
      </c>
      <c r="L1581" s="511" t="s">
        <v>2153</v>
      </c>
      <c r="M1581" s="1121" t="s">
        <v>2436</v>
      </c>
      <c r="N1581" s="1121">
        <v>43468</v>
      </c>
      <c r="O1581" s="331" t="s">
        <v>2437</v>
      </c>
      <c r="P1581" s="331" t="s">
        <v>2438</v>
      </c>
      <c r="Q1581" s="331" t="s">
        <v>2439</v>
      </c>
    </row>
    <row r="1582" spans="2:17" x14ac:dyDescent="0.25">
      <c r="B1582" s="328">
        <v>2</v>
      </c>
      <c r="C1582" s="511"/>
      <c r="D1582" s="511"/>
      <c r="E1582" s="582" t="s">
        <v>2440</v>
      </c>
      <c r="F1582" s="430">
        <f>F1583+F1584+F1585</f>
        <v>6001</v>
      </c>
      <c r="G1582" s="430">
        <f>G1583+G1584+G1585</f>
        <v>5892.7</v>
      </c>
      <c r="H1582" s="430">
        <f>H1583+H1584+H1585</f>
        <v>5892.7</v>
      </c>
      <c r="I1582" s="430">
        <f>I1583+I1584+I1585</f>
        <v>5843.5</v>
      </c>
      <c r="J1582" s="430">
        <f>J1583+J1584+J1585</f>
        <v>5857.3</v>
      </c>
      <c r="K1582" s="1122"/>
      <c r="L1582" s="116"/>
      <c r="M1582" s="116"/>
      <c r="N1582" s="1123"/>
      <c r="O1582" s="1123"/>
      <c r="P1582" s="1123"/>
      <c r="Q1582" s="1123"/>
    </row>
    <row r="1583" spans="2:17" ht="30" x14ac:dyDescent="0.25">
      <c r="B1583" s="413"/>
      <c r="C1583" s="413" t="s">
        <v>2</v>
      </c>
      <c r="D1583" s="413"/>
      <c r="E1583" s="589" t="s">
        <v>2441</v>
      </c>
      <c r="F1583" s="431">
        <v>2183.1999999999998</v>
      </c>
      <c r="G1583" s="431">
        <v>2160.1</v>
      </c>
      <c r="H1583" s="431">
        <v>2160.1</v>
      </c>
      <c r="I1583" s="431">
        <v>2138.6999999999998</v>
      </c>
      <c r="J1583" s="557">
        <v>2151.6999999999998</v>
      </c>
      <c r="K1583" s="1124" t="s">
        <v>2442</v>
      </c>
      <c r="L1583" s="511" t="s">
        <v>2443</v>
      </c>
      <c r="M1583" s="416">
        <v>3.1</v>
      </c>
      <c r="N1583" s="431">
        <v>3.2</v>
      </c>
      <c r="O1583" s="431">
        <v>3.3</v>
      </c>
      <c r="P1583" s="431">
        <v>3.5</v>
      </c>
      <c r="Q1583" s="431">
        <v>3.6</v>
      </c>
    </row>
    <row r="1584" spans="2:17" ht="30" x14ac:dyDescent="0.25">
      <c r="B1584" s="413"/>
      <c r="C1584" s="413" t="s">
        <v>3</v>
      </c>
      <c r="D1584" s="413"/>
      <c r="E1584" s="856" t="s">
        <v>2444</v>
      </c>
      <c r="F1584" s="557">
        <v>2183.5</v>
      </c>
      <c r="G1584" s="557">
        <v>2131.1</v>
      </c>
      <c r="H1584" s="557">
        <v>2131.1</v>
      </c>
      <c r="I1584" s="557">
        <v>2109.6999999999998</v>
      </c>
      <c r="J1584" s="557">
        <v>2121.4</v>
      </c>
      <c r="K1584" s="562" t="s">
        <v>2445</v>
      </c>
      <c r="L1584" s="511" t="s">
        <v>1073</v>
      </c>
      <c r="M1584" s="557">
        <v>6000</v>
      </c>
      <c r="N1584" s="557">
        <v>6500</v>
      </c>
      <c r="O1584" s="557">
        <v>6500</v>
      </c>
      <c r="P1584" s="557">
        <v>6600</v>
      </c>
      <c r="Q1584" s="557">
        <v>6600</v>
      </c>
    </row>
    <row r="1585" spans="2:17" ht="30" x14ac:dyDescent="0.25">
      <c r="B1585" s="413"/>
      <c r="C1585" s="413" t="s">
        <v>4</v>
      </c>
      <c r="D1585" s="413"/>
      <c r="E1585" s="589" t="s">
        <v>2446</v>
      </c>
      <c r="F1585" s="557">
        <v>1634.3</v>
      </c>
      <c r="G1585" s="557">
        <v>1601.5</v>
      </c>
      <c r="H1585" s="557">
        <v>1601.5</v>
      </c>
      <c r="I1585" s="557">
        <v>1595.1</v>
      </c>
      <c r="J1585" s="557">
        <v>1584.2</v>
      </c>
      <c r="K1585" s="562" t="s">
        <v>2447</v>
      </c>
      <c r="L1585" s="511" t="s">
        <v>2443</v>
      </c>
      <c r="M1585" s="557">
        <v>75</v>
      </c>
      <c r="N1585" s="557">
        <v>76</v>
      </c>
      <c r="O1585" s="557">
        <v>77</v>
      </c>
      <c r="P1585" s="557">
        <v>78</v>
      </c>
      <c r="Q1585" s="557">
        <v>79</v>
      </c>
    </row>
    <row r="1586" spans="2:17" ht="28.5" x14ac:dyDescent="0.25">
      <c r="B1586" s="428" t="s">
        <v>98</v>
      </c>
      <c r="C1586" s="511"/>
      <c r="D1586" s="511"/>
      <c r="E1586" s="582" t="s">
        <v>2448</v>
      </c>
      <c r="F1586" s="430">
        <f>F1587+F1588+F1589</f>
        <v>4778.8999999999996</v>
      </c>
      <c r="G1586" s="430">
        <f>G1587+G1588+G1589</f>
        <v>4649.5</v>
      </c>
      <c r="H1586" s="430">
        <f>H1587+H1588+H1589</f>
        <v>4649.5</v>
      </c>
      <c r="I1586" s="430">
        <f>I1587+I1588+I1589</f>
        <v>4630.3</v>
      </c>
      <c r="J1586" s="430">
        <f>J1587+J1588+J1589</f>
        <v>4591</v>
      </c>
      <c r="K1586" s="658"/>
      <c r="L1586" s="583"/>
      <c r="M1586" s="583"/>
      <c r="N1586" s="430"/>
      <c r="O1586" s="430"/>
      <c r="P1586" s="430"/>
      <c r="Q1586" s="430"/>
    </row>
    <row r="1587" spans="2:17" ht="45" x14ac:dyDescent="0.25">
      <c r="B1587" s="413"/>
      <c r="C1587" s="413" t="s">
        <v>2</v>
      </c>
      <c r="D1587" s="413"/>
      <c r="E1587" s="916" t="s">
        <v>2449</v>
      </c>
      <c r="F1587" s="557">
        <v>1579.6</v>
      </c>
      <c r="G1587" s="557">
        <v>1556.9</v>
      </c>
      <c r="H1587" s="557">
        <v>1556.9</v>
      </c>
      <c r="I1587" s="557">
        <v>1550.5</v>
      </c>
      <c r="J1587" s="557">
        <v>1537.6</v>
      </c>
      <c r="K1587" s="719" t="s">
        <v>2450</v>
      </c>
      <c r="L1587" s="511" t="s">
        <v>2451</v>
      </c>
      <c r="M1587" s="511">
        <v>115</v>
      </c>
      <c r="N1587" s="557">
        <v>120</v>
      </c>
      <c r="O1587" s="557">
        <v>125</v>
      </c>
      <c r="P1587" s="557">
        <v>128</v>
      </c>
      <c r="Q1587" s="557">
        <v>130</v>
      </c>
    </row>
    <row r="1588" spans="2:17" ht="30" x14ac:dyDescent="0.25">
      <c r="B1588" s="413"/>
      <c r="C1588" s="413" t="s">
        <v>3</v>
      </c>
      <c r="D1588" s="413"/>
      <c r="E1588" s="916" t="s">
        <v>2452</v>
      </c>
      <c r="F1588" s="557">
        <v>1596</v>
      </c>
      <c r="G1588" s="557">
        <v>1561.9</v>
      </c>
      <c r="H1588" s="557">
        <v>1561.9</v>
      </c>
      <c r="I1588" s="557">
        <v>1550.5</v>
      </c>
      <c r="J1588" s="557">
        <v>1538</v>
      </c>
      <c r="K1588" s="719" t="s">
        <v>2453</v>
      </c>
      <c r="L1588" s="511" t="s">
        <v>14</v>
      </c>
      <c r="M1588" s="443">
        <v>4.5</v>
      </c>
      <c r="N1588" s="443">
        <v>4.8</v>
      </c>
      <c r="O1588" s="443">
        <v>4.9000000000000004</v>
      </c>
      <c r="P1588" s="443">
        <v>5</v>
      </c>
      <c r="Q1588" s="557">
        <v>5.0999999999999996</v>
      </c>
    </row>
    <row r="1589" spans="2:17" ht="30" x14ac:dyDescent="0.25">
      <c r="B1589" s="413"/>
      <c r="C1589" s="413" t="s">
        <v>4</v>
      </c>
      <c r="D1589" s="413"/>
      <c r="E1589" s="916" t="s">
        <v>2454</v>
      </c>
      <c r="F1589" s="557">
        <v>1603.3</v>
      </c>
      <c r="G1589" s="557">
        <v>1530.7</v>
      </c>
      <c r="H1589" s="557">
        <v>1530.7</v>
      </c>
      <c r="I1589" s="557">
        <v>1529.3</v>
      </c>
      <c r="J1589" s="557">
        <v>1515.4</v>
      </c>
      <c r="K1589" s="719" t="s">
        <v>2455</v>
      </c>
      <c r="L1589" s="511" t="s">
        <v>2451</v>
      </c>
      <c r="M1589" s="511">
        <v>60</v>
      </c>
      <c r="N1589" s="511">
        <v>70</v>
      </c>
      <c r="O1589" s="511">
        <v>80</v>
      </c>
      <c r="P1589" s="511">
        <v>80</v>
      </c>
      <c r="Q1589" s="511">
        <v>80</v>
      </c>
    </row>
    <row r="1590" spans="2:17" ht="28.5" x14ac:dyDescent="0.25">
      <c r="B1590" s="428" t="s">
        <v>101</v>
      </c>
      <c r="C1590" s="511"/>
      <c r="D1590" s="511"/>
      <c r="E1590" s="582" t="s">
        <v>2456</v>
      </c>
      <c r="F1590" s="430">
        <f>F1591+F1592</f>
        <v>3653.8</v>
      </c>
      <c r="G1590" s="430">
        <f>G1591+G1592</f>
        <v>3597.6000000000004</v>
      </c>
      <c r="H1590" s="430">
        <f>H1591+H1592</f>
        <v>3597.6000000000004</v>
      </c>
      <c r="I1590" s="430">
        <f>I1591+I1592</f>
        <v>3574.8</v>
      </c>
      <c r="J1590" s="430">
        <f>J1591+J1592</f>
        <v>3569.8999999999996</v>
      </c>
      <c r="K1590" s="628"/>
      <c r="L1590" s="511"/>
      <c r="M1590" s="511"/>
      <c r="N1590" s="557"/>
      <c r="O1590" s="557"/>
      <c r="P1590" s="557"/>
      <c r="Q1590" s="557"/>
    </row>
    <row r="1591" spans="2:17" ht="30" x14ac:dyDescent="0.25">
      <c r="B1591" s="413"/>
      <c r="C1591" s="413" t="s">
        <v>2</v>
      </c>
      <c r="D1591" s="412"/>
      <c r="E1591" s="628" t="s">
        <v>2457</v>
      </c>
      <c r="F1591" s="557">
        <v>1825.2</v>
      </c>
      <c r="G1591" s="557">
        <v>1782.7</v>
      </c>
      <c r="H1591" s="557">
        <v>1781.9</v>
      </c>
      <c r="I1591" s="557">
        <v>1770.5</v>
      </c>
      <c r="J1591" s="557">
        <v>1767.3</v>
      </c>
      <c r="K1591" s="719" t="s">
        <v>2458</v>
      </c>
      <c r="L1591" s="511" t="s">
        <v>1073</v>
      </c>
      <c r="M1591" s="511">
        <v>30</v>
      </c>
      <c r="N1591" s="557">
        <v>32</v>
      </c>
      <c r="O1591" s="557">
        <v>35</v>
      </c>
      <c r="P1591" s="557">
        <v>40</v>
      </c>
      <c r="Q1591" s="557">
        <v>41</v>
      </c>
    </row>
    <row r="1592" spans="2:17" ht="30" x14ac:dyDescent="0.25">
      <c r="B1592" s="413"/>
      <c r="C1592" s="413" t="s">
        <v>3</v>
      </c>
      <c r="D1592" s="413"/>
      <c r="E1592" s="1125" t="s">
        <v>2459</v>
      </c>
      <c r="F1592" s="557">
        <v>1828.6</v>
      </c>
      <c r="G1592" s="557">
        <v>1814.9</v>
      </c>
      <c r="H1592" s="557">
        <v>1815.7</v>
      </c>
      <c r="I1592" s="557">
        <v>1804.3</v>
      </c>
      <c r="J1592" s="557">
        <v>1802.6</v>
      </c>
      <c r="K1592" s="719" t="s">
        <v>2460</v>
      </c>
      <c r="L1592" s="511" t="s">
        <v>14</v>
      </c>
      <c r="M1592" s="511">
        <v>87.1</v>
      </c>
      <c r="N1592" s="557">
        <v>87.5</v>
      </c>
      <c r="O1592" s="557">
        <v>90</v>
      </c>
      <c r="P1592" s="557">
        <v>92</v>
      </c>
      <c r="Q1592" s="557">
        <v>93</v>
      </c>
    </row>
    <row r="1593" spans="2:17" x14ac:dyDescent="0.25">
      <c r="B1593" s="1815" t="s">
        <v>291</v>
      </c>
      <c r="C1593" s="1816"/>
      <c r="D1593" s="1816"/>
      <c r="E1593" s="1817"/>
      <c r="F1593" s="207">
        <f>F1575+F1582+F1586+F1590</f>
        <v>23975.1</v>
      </c>
      <c r="G1593" s="207">
        <f>G1575+G1582+G1586+G1590</f>
        <v>24164.300000000003</v>
      </c>
      <c r="H1593" s="207">
        <f>H1575+H1582+H1586+H1590</f>
        <v>24164.300000000003</v>
      </c>
      <c r="I1593" s="207">
        <f>I1575+I1582+I1586+I1590</f>
        <v>24185.399999999998</v>
      </c>
      <c r="J1593" s="207">
        <f>J1575+J1582+J1586+J1590</f>
        <v>24232.5</v>
      </c>
      <c r="K1593" s="920"/>
      <c r="L1593" s="1818"/>
      <c r="M1593" s="1818"/>
      <c r="N1593" s="1818"/>
      <c r="O1593" s="1818"/>
      <c r="P1593" s="1818"/>
      <c r="Q1593" s="1818"/>
    </row>
    <row r="1594" spans="2:17" ht="15.75" thickBot="1" x14ac:dyDescent="0.3">
      <c r="B1594" s="1573" t="s">
        <v>2461</v>
      </c>
      <c r="C1594" s="1573"/>
      <c r="D1594" s="1573"/>
      <c r="E1594" s="1573"/>
      <c r="F1594" s="1573"/>
      <c r="G1594" s="1573"/>
      <c r="H1594" s="1573"/>
      <c r="I1594" s="1573"/>
      <c r="J1594" s="1573"/>
      <c r="K1594" s="1573"/>
      <c r="L1594" s="1573"/>
      <c r="M1594" s="1573"/>
      <c r="N1594" s="1573"/>
      <c r="O1594" s="1573"/>
      <c r="P1594" s="1573"/>
      <c r="Q1594" s="1573"/>
    </row>
    <row r="1595" spans="2:17" ht="74.25" x14ac:dyDescent="0.25">
      <c r="B1595" s="1126">
        <v>1</v>
      </c>
      <c r="C1595" s="563"/>
      <c r="D1595" s="1127"/>
      <c r="E1595" s="477" t="s">
        <v>2432</v>
      </c>
      <c r="F1595" s="430">
        <f>F1596+F1597+F1598+F1601</f>
        <v>29505.899999999998</v>
      </c>
      <c r="G1595" s="430">
        <f>G1596+G1597+G1598+G1601</f>
        <v>12272.8</v>
      </c>
      <c r="H1595" s="448">
        <f>H1596+H1597+H1598+H1601</f>
        <v>15676.099999999999</v>
      </c>
      <c r="I1595" s="448">
        <f>I1596+I1597+I1598+I1601</f>
        <v>15425.2824</v>
      </c>
      <c r="J1595" s="448">
        <f>J1596+J1597+J1598+J1601</f>
        <v>16103.994825600003</v>
      </c>
      <c r="K1595" s="1187" t="s">
        <v>2363</v>
      </c>
      <c r="L1595" s="583" t="s">
        <v>14</v>
      </c>
      <c r="M1595" s="119">
        <v>38.299999999999997</v>
      </c>
      <c r="N1595" s="583">
        <v>38.299999999999997</v>
      </c>
      <c r="O1595" s="270">
        <v>39</v>
      </c>
      <c r="P1595" s="583">
        <v>39.4</v>
      </c>
      <c r="Q1595" s="583">
        <v>39.4</v>
      </c>
    </row>
    <row r="1596" spans="2:17" x14ac:dyDescent="0.25">
      <c r="B1596" s="1128"/>
      <c r="C1596" s="1129">
        <v>1</v>
      </c>
      <c r="D1596" s="1130"/>
      <c r="E1596" s="719" t="s">
        <v>140</v>
      </c>
      <c r="F1596" s="557">
        <v>23220.1</v>
      </c>
      <c r="G1596" s="903">
        <v>5771.9</v>
      </c>
      <c r="H1596" s="443">
        <v>6701.5</v>
      </c>
      <c r="I1596" s="443">
        <f>H1596*98.4/100</f>
        <v>6594.2760000000007</v>
      </c>
      <c r="J1596" s="443">
        <f>I1596*104.4/100</f>
        <v>6884.4241440000014</v>
      </c>
      <c r="K1596" s="628" t="s">
        <v>2462</v>
      </c>
      <c r="L1596" s="511" t="s">
        <v>14</v>
      </c>
      <c r="M1596" s="512">
        <v>100</v>
      </c>
      <c r="N1596" s="511">
        <v>100</v>
      </c>
      <c r="O1596" s="511">
        <v>100</v>
      </c>
      <c r="P1596" s="511">
        <v>100</v>
      </c>
      <c r="Q1596" s="511">
        <v>100</v>
      </c>
    </row>
    <row r="1597" spans="2:17" ht="30" x14ac:dyDescent="0.25">
      <c r="B1597" s="1128"/>
      <c r="C1597" s="423">
        <v>2</v>
      </c>
      <c r="D1597" s="1130"/>
      <c r="E1597" s="1190" t="s">
        <v>2419</v>
      </c>
      <c r="F1597" s="443">
        <v>2437.1</v>
      </c>
      <c r="G1597" s="903">
        <v>2446.6</v>
      </c>
      <c r="H1597" s="443">
        <v>3094</v>
      </c>
      <c r="I1597" s="443">
        <f>H1597*98.4/100</f>
        <v>3044.4960000000005</v>
      </c>
      <c r="J1597" s="443">
        <f>I1597*104.4/100</f>
        <v>3178.4538240000006</v>
      </c>
      <c r="K1597" s="628" t="s">
        <v>834</v>
      </c>
      <c r="L1597" s="512" t="s">
        <v>14</v>
      </c>
      <c r="M1597" s="512">
        <v>100</v>
      </c>
      <c r="N1597" s="512">
        <v>100</v>
      </c>
      <c r="O1597" s="512">
        <v>100</v>
      </c>
      <c r="P1597" s="512">
        <v>100</v>
      </c>
      <c r="Q1597" s="512">
        <v>100</v>
      </c>
    </row>
    <row r="1598" spans="2:17" ht="45" x14ac:dyDescent="0.25">
      <c r="B1598" s="1731"/>
      <c r="C1598" s="1733">
        <v>3</v>
      </c>
      <c r="D1598" s="1739"/>
      <c r="E1598" s="1737" t="s">
        <v>1212</v>
      </c>
      <c r="F1598" s="1599">
        <v>2282.4</v>
      </c>
      <c r="G1598" s="1823">
        <v>2357.8000000000002</v>
      </c>
      <c r="H1598" s="1788">
        <v>3101.4</v>
      </c>
      <c r="I1598" s="1788">
        <f>H1598*98.4/100</f>
        <v>3051.7775999999999</v>
      </c>
      <c r="J1598" s="1788">
        <f>I1598*104.4/100</f>
        <v>3186.0558143999997</v>
      </c>
      <c r="K1598" s="576" t="s">
        <v>2463</v>
      </c>
      <c r="L1598" s="512" t="s">
        <v>14</v>
      </c>
      <c r="M1598" s="512">
        <v>30</v>
      </c>
      <c r="N1598" s="512">
        <v>30</v>
      </c>
      <c r="O1598" s="512">
        <v>30</v>
      </c>
      <c r="P1598" s="512">
        <v>30</v>
      </c>
      <c r="Q1598" s="512">
        <v>30</v>
      </c>
    </row>
    <row r="1599" spans="2:17" ht="60" x14ac:dyDescent="0.25">
      <c r="B1599" s="1819"/>
      <c r="C1599" s="1820"/>
      <c r="D1599" s="1821"/>
      <c r="E1599" s="1822"/>
      <c r="F1599" s="1610"/>
      <c r="G1599" s="1824"/>
      <c r="H1599" s="1791"/>
      <c r="I1599" s="1791"/>
      <c r="J1599" s="1791"/>
      <c r="K1599" s="628" t="s">
        <v>2464</v>
      </c>
      <c r="L1599" s="512" t="s">
        <v>14</v>
      </c>
      <c r="M1599" s="512">
        <v>10</v>
      </c>
      <c r="N1599" s="512">
        <v>10</v>
      </c>
      <c r="O1599" s="512">
        <v>10</v>
      </c>
      <c r="P1599" s="512">
        <v>10</v>
      </c>
      <c r="Q1599" s="512">
        <v>10</v>
      </c>
    </row>
    <row r="1600" spans="2:17" ht="45" x14ac:dyDescent="0.25">
      <c r="B1600" s="1732"/>
      <c r="C1600" s="1734"/>
      <c r="D1600" s="1740"/>
      <c r="E1600" s="1738"/>
      <c r="F1600" s="1600"/>
      <c r="G1600" s="1825"/>
      <c r="H1600" s="1789"/>
      <c r="I1600" s="1789"/>
      <c r="J1600" s="1789"/>
      <c r="K1600" s="576" t="s">
        <v>2465</v>
      </c>
      <c r="L1600" s="512" t="s">
        <v>14</v>
      </c>
      <c r="M1600" s="512">
        <v>70</v>
      </c>
      <c r="N1600" s="512">
        <v>70</v>
      </c>
      <c r="O1600" s="512">
        <v>70</v>
      </c>
      <c r="P1600" s="512">
        <v>70</v>
      </c>
      <c r="Q1600" s="512">
        <v>70</v>
      </c>
    </row>
    <row r="1601" spans="2:17" ht="45" x14ac:dyDescent="0.25">
      <c r="B1601" s="1128"/>
      <c r="C1601" s="424">
        <v>6</v>
      </c>
      <c r="D1601" s="1130"/>
      <c r="E1601" s="1192" t="s">
        <v>2466</v>
      </c>
      <c r="F1601" s="443">
        <v>1566.3</v>
      </c>
      <c r="G1601" s="557">
        <v>1696.5</v>
      </c>
      <c r="H1601" s="443">
        <v>2779.2</v>
      </c>
      <c r="I1601" s="443">
        <f>H1601*98.4/100</f>
        <v>2734.7327999999998</v>
      </c>
      <c r="J1601" s="443">
        <f>I1601*104.4/100</f>
        <v>2855.0610431999999</v>
      </c>
      <c r="K1601" s="628" t="s">
        <v>2467</v>
      </c>
      <c r="L1601" s="512" t="s">
        <v>14</v>
      </c>
      <c r="M1601" s="512">
        <v>20</v>
      </c>
      <c r="N1601" s="512">
        <v>20</v>
      </c>
      <c r="O1601" s="512">
        <v>20</v>
      </c>
      <c r="P1601" s="512">
        <v>20</v>
      </c>
      <c r="Q1601" s="512">
        <v>20</v>
      </c>
    </row>
    <row r="1602" spans="2:17" ht="119.25" x14ac:dyDescent="0.25">
      <c r="B1602" s="898" t="s">
        <v>91</v>
      </c>
      <c r="C1602" s="618"/>
      <c r="D1602" s="1131"/>
      <c r="E1602" s="658" t="s">
        <v>2468</v>
      </c>
      <c r="F1602" s="430">
        <f>F1603+F1607+F1609+F1613+F1616+F1620+F1623+F1626+F1629+F1631+F1632</f>
        <v>44208.7</v>
      </c>
      <c r="G1602" s="448">
        <f>SUM(G1603:G1634)</f>
        <v>48626.8</v>
      </c>
      <c r="H1602" s="448">
        <f>H1603+H1609+H1616+H1620+H1623+H1626+H1629+H1631+H1632+H1607+H1613</f>
        <v>53197.5</v>
      </c>
      <c r="I1602" s="448">
        <f>I1603+I1609+I1616+I1620+I1623+I1626+I1629+I1631+I1632+I1607+I1613</f>
        <v>53508.44000000001</v>
      </c>
      <c r="J1602" s="448">
        <f>J1603+J1609+J1616+J1620+J1623+J1626+J1629+J1631+J1632+J1607+J1613</f>
        <v>52964.011360000019</v>
      </c>
      <c r="K1602" s="658" t="s">
        <v>2469</v>
      </c>
      <c r="L1602" s="583" t="s">
        <v>15</v>
      </c>
      <c r="M1602" s="135">
        <v>1</v>
      </c>
      <c r="N1602" s="116">
        <v>1</v>
      </c>
      <c r="O1602" s="116">
        <v>1</v>
      </c>
      <c r="P1602" s="116">
        <v>1</v>
      </c>
      <c r="Q1602" s="116">
        <v>2</v>
      </c>
    </row>
    <row r="1603" spans="2:17" ht="60" x14ac:dyDescent="0.25">
      <c r="B1603" s="1617"/>
      <c r="C1603" s="1619" t="s">
        <v>2</v>
      </c>
      <c r="D1603" s="1619"/>
      <c r="E1603" s="1611" t="s">
        <v>2470</v>
      </c>
      <c r="F1603" s="1599">
        <v>2161.5</v>
      </c>
      <c r="G1603" s="1599">
        <v>2200.5</v>
      </c>
      <c r="H1603" s="1788">
        <v>3023.5</v>
      </c>
      <c r="I1603" s="1788">
        <f>H1603*98.4/100</f>
        <v>2975.1240000000003</v>
      </c>
      <c r="J1603" s="1788">
        <f>I1603*104.4/100</f>
        <v>3106.0294560000002</v>
      </c>
      <c r="K1603" s="769" t="s">
        <v>2471</v>
      </c>
      <c r="L1603" s="511" t="s">
        <v>14</v>
      </c>
      <c r="M1603" s="416">
        <v>100</v>
      </c>
      <c r="N1603" s="416">
        <v>100</v>
      </c>
      <c r="O1603" s="416">
        <v>100</v>
      </c>
      <c r="P1603" s="416">
        <v>100</v>
      </c>
      <c r="Q1603" s="416">
        <v>100</v>
      </c>
    </row>
    <row r="1604" spans="2:17" ht="90" x14ac:dyDescent="0.25">
      <c r="B1604" s="1810"/>
      <c r="C1604" s="1745"/>
      <c r="D1604" s="1745"/>
      <c r="E1604" s="1613"/>
      <c r="F1604" s="1600"/>
      <c r="G1604" s="1600"/>
      <c r="H1604" s="1789"/>
      <c r="I1604" s="1789"/>
      <c r="J1604" s="1789"/>
      <c r="K1604" s="769" t="s">
        <v>2472</v>
      </c>
      <c r="L1604" s="511" t="s">
        <v>14</v>
      </c>
      <c r="M1604" s="416">
        <v>100</v>
      </c>
      <c r="N1604" s="416">
        <v>100</v>
      </c>
      <c r="O1604" s="416">
        <v>100</v>
      </c>
      <c r="P1604" s="416">
        <v>100</v>
      </c>
      <c r="Q1604" s="416">
        <v>100</v>
      </c>
    </row>
    <row r="1605" spans="2:17" ht="45" x14ac:dyDescent="0.25">
      <c r="B1605" s="1617"/>
      <c r="C1605" s="1619" t="s">
        <v>3</v>
      </c>
      <c r="D1605" s="1619"/>
      <c r="E1605" s="1611" t="s">
        <v>2473</v>
      </c>
      <c r="F1605" s="1811"/>
      <c r="G1605" s="1811"/>
      <c r="H1605" s="1811"/>
      <c r="I1605" s="1811"/>
      <c r="J1605" s="1811"/>
      <c r="K1605" s="628" t="s">
        <v>2474</v>
      </c>
      <c r="L1605" s="511" t="s">
        <v>14</v>
      </c>
      <c r="M1605" s="416">
        <v>100</v>
      </c>
      <c r="N1605" s="416">
        <v>100</v>
      </c>
      <c r="O1605" s="416">
        <v>100</v>
      </c>
      <c r="P1605" s="416">
        <v>100</v>
      </c>
      <c r="Q1605" s="416">
        <v>100</v>
      </c>
    </row>
    <row r="1606" spans="2:17" ht="45" x14ac:dyDescent="0.25">
      <c r="B1606" s="1618"/>
      <c r="C1606" s="1620"/>
      <c r="D1606" s="1620"/>
      <c r="E1606" s="1613"/>
      <c r="F1606" s="1813"/>
      <c r="G1606" s="1813"/>
      <c r="H1606" s="1813"/>
      <c r="I1606" s="1813"/>
      <c r="J1606" s="1813"/>
      <c r="K1606" s="628" t="s">
        <v>2475</v>
      </c>
      <c r="L1606" s="511" t="s">
        <v>14</v>
      </c>
      <c r="M1606" s="416">
        <v>100</v>
      </c>
      <c r="N1606" s="416">
        <v>100</v>
      </c>
      <c r="O1606" s="416">
        <v>100</v>
      </c>
      <c r="P1606" s="416">
        <v>100</v>
      </c>
      <c r="Q1606" s="416">
        <v>100</v>
      </c>
    </row>
    <row r="1607" spans="2:17" ht="30" x14ac:dyDescent="0.25">
      <c r="B1607" s="1617"/>
      <c r="C1607" s="1619" t="s">
        <v>4</v>
      </c>
      <c r="D1607" s="1619"/>
      <c r="E1607" s="1611" t="s">
        <v>2476</v>
      </c>
      <c r="F1607" s="1599">
        <v>2198.4</v>
      </c>
      <c r="G1607" s="1599">
        <v>2317.1999999999998</v>
      </c>
      <c r="H1607" s="1599">
        <v>2943.8</v>
      </c>
      <c r="I1607" s="1599">
        <f>H1607*98.4/100</f>
        <v>2896.6992000000005</v>
      </c>
      <c r="J1607" s="1599">
        <f>I1607*104.4/100</f>
        <v>3024.1539648000007</v>
      </c>
      <c r="K1607" s="628" t="s">
        <v>2477</v>
      </c>
      <c r="L1607" s="511" t="s">
        <v>14</v>
      </c>
      <c r="M1607" s="914">
        <v>100</v>
      </c>
      <c r="N1607" s="914">
        <v>100</v>
      </c>
      <c r="O1607" s="914">
        <v>100</v>
      </c>
      <c r="P1607" s="914">
        <v>100</v>
      </c>
      <c r="Q1607" s="914">
        <v>100</v>
      </c>
    </row>
    <row r="1608" spans="2:17" ht="30" x14ac:dyDescent="0.25">
      <c r="B1608" s="1618"/>
      <c r="C1608" s="1620"/>
      <c r="D1608" s="1620"/>
      <c r="E1608" s="1613"/>
      <c r="F1608" s="1600"/>
      <c r="G1608" s="1600"/>
      <c r="H1608" s="1600"/>
      <c r="I1608" s="1600"/>
      <c r="J1608" s="1600"/>
      <c r="K1608" s="769" t="s">
        <v>2478</v>
      </c>
      <c r="L1608" s="511" t="s">
        <v>14</v>
      </c>
      <c r="M1608" s="914">
        <v>100</v>
      </c>
      <c r="N1608" s="914">
        <v>100</v>
      </c>
      <c r="O1608" s="914">
        <v>100</v>
      </c>
      <c r="P1608" s="914">
        <v>100</v>
      </c>
      <c r="Q1608" s="914">
        <v>100</v>
      </c>
    </row>
    <row r="1609" spans="2:17" ht="45" x14ac:dyDescent="0.25">
      <c r="B1609" s="1617"/>
      <c r="C1609" s="1619" t="s">
        <v>5</v>
      </c>
      <c r="D1609" s="618"/>
      <c r="E1609" s="1611" t="s">
        <v>2479</v>
      </c>
      <c r="F1609" s="1599">
        <v>2364.6</v>
      </c>
      <c r="G1609" s="1599">
        <v>2102.5</v>
      </c>
      <c r="H1609" s="1599">
        <v>2519.6999999999998</v>
      </c>
      <c r="I1609" s="1599">
        <f>H1609*98.4/100</f>
        <v>2479.3848000000003</v>
      </c>
      <c r="J1609" s="1599">
        <f>I1609*104.4/100</f>
        <v>2588.4777312000006</v>
      </c>
      <c r="K1609" s="628" t="s">
        <v>2480</v>
      </c>
      <c r="L1609" s="511" t="s">
        <v>14</v>
      </c>
      <c r="M1609" s="416">
        <v>90</v>
      </c>
      <c r="N1609" s="416">
        <v>95</v>
      </c>
      <c r="O1609" s="416">
        <v>100</v>
      </c>
      <c r="P1609" s="416">
        <v>100</v>
      </c>
      <c r="Q1609" s="416">
        <v>100</v>
      </c>
    </row>
    <row r="1610" spans="2:17" ht="30" x14ac:dyDescent="0.25">
      <c r="B1610" s="1810"/>
      <c r="C1610" s="1745"/>
      <c r="D1610" s="1132"/>
      <c r="E1610" s="1612"/>
      <c r="F1610" s="1610"/>
      <c r="G1610" s="1610"/>
      <c r="H1610" s="1610"/>
      <c r="I1610" s="1610"/>
      <c r="J1610" s="1610"/>
      <c r="K1610" s="628" t="s">
        <v>2481</v>
      </c>
      <c r="L1610" s="511" t="s">
        <v>14</v>
      </c>
      <c r="M1610" s="416">
        <v>98</v>
      </c>
      <c r="N1610" s="416">
        <v>100</v>
      </c>
      <c r="O1610" s="416">
        <v>100</v>
      </c>
      <c r="P1610" s="416">
        <v>100</v>
      </c>
      <c r="Q1610" s="416">
        <v>100</v>
      </c>
    </row>
    <row r="1611" spans="2:17" ht="30" x14ac:dyDescent="0.25">
      <c r="B1611" s="1810"/>
      <c r="C1611" s="1745"/>
      <c r="D1611" s="1132"/>
      <c r="E1611" s="1612"/>
      <c r="F1611" s="1610"/>
      <c r="G1611" s="1610"/>
      <c r="H1611" s="1610"/>
      <c r="I1611" s="1610"/>
      <c r="J1611" s="1610"/>
      <c r="K1611" s="628" t="s">
        <v>2482</v>
      </c>
      <c r="L1611" s="511" t="s">
        <v>14</v>
      </c>
      <c r="M1611" s="914">
        <v>100</v>
      </c>
      <c r="N1611" s="914">
        <v>100</v>
      </c>
      <c r="O1611" s="914">
        <v>100</v>
      </c>
      <c r="P1611" s="914">
        <v>100</v>
      </c>
      <c r="Q1611" s="914">
        <v>100</v>
      </c>
    </row>
    <row r="1612" spans="2:17" ht="30" x14ac:dyDescent="0.25">
      <c r="B1612" s="1618"/>
      <c r="C1612" s="1620"/>
      <c r="D1612" s="619"/>
      <c r="E1612" s="1613"/>
      <c r="F1612" s="1600"/>
      <c r="G1612" s="1600"/>
      <c r="H1612" s="1600"/>
      <c r="I1612" s="1600"/>
      <c r="J1612" s="1600"/>
      <c r="K1612" s="628" t="s">
        <v>2483</v>
      </c>
      <c r="L1612" s="511" t="s">
        <v>14</v>
      </c>
      <c r="M1612" s="914">
        <v>100</v>
      </c>
      <c r="N1612" s="914">
        <v>100</v>
      </c>
      <c r="O1612" s="914">
        <v>100</v>
      </c>
      <c r="P1612" s="914">
        <v>100</v>
      </c>
      <c r="Q1612" s="914">
        <v>100</v>
      </c>
    </row>
    <row r="1613" spans="2:17" ht="60" x14ac:dyDescent="0.25">
      <c r="B1613" s="1133"/>
      <c r="C1613" s="1619" t="s">
        <v>49</v>
      </c>
      <c r="D1613" s="1132"/>
      <c r="E1613" s="1612" t="s">
        <v>2484</v>
      </c>
      <c r="F1613" s="1599">
        <v>3735.1</v>
      </c>
      <c r="G1613" s="1599">
        <v>4320.8</v>
      </c>
      <c r="H1613" s="1599">
        <v>4094.2</v>
      </c>
      <c r="I1613" s="1599">
        <f>H1613*98.4/100</f>
        <v>4028.6928000000003</v>
      </c>
      <c r="J1613" s="1599">
        <f>I1613*104.4/100</f>
        <v>4205.9552832000008</v>
      </c>
      <c r="K1613" s="628" t="s">
        <v>2485</v>
      </c>
      <c r="L1613" s="511" t="s">
        <v>14</v>
      </c>
      <c r="M1613" s="511">
        <v>100</v>
      </c>
      <c r="N1613" s="511">
        <v>100</v>
      </c>
      <c r="O1613" s="511">
        <v>100</v>
      </c>
      <c r="P1613" s="511">
        <v>100</v>
      </c>
      <c r="Q1613" s="511">
        <v>100</v>
      </c>
    </row>
    <row r="1614" spans="2:17" ht="45" x14ac:dyDescent="0.25">
      <c r="B1614" s="1133"/>
      <c r="C1614" s="1745"/>
      <c r="D1614" s="1132"/>
      <c r="E1614" s="1612"/>
      <c r="F1614" s="1610"/>
      <c r="G1614" s="1610"/>
      <c r="H1614" s="1610"/>
      <c r="I1614" s="1610"/>
      <c r="J1614" s="1610"/>
      <c r="K1614" s="628" t="s">
        <v>2486</v>
      </c>
      <c r="L1614" s="511" t="s">
        <v>14</v>
      </c>
      <c r="M1614" s="511">
        <v>100</v>
      </c>
      <c r="N1614" s="511">
        <v>100</v>
      </c>
      <c r="O1614" s="511">
        <v>100</v>
      </c>
      <c r="P1614" s="511">
        <v>100</v>
      </c>
      <c r="Q1614" s="511">
        <v>100</v>
      </c>
    </row>
    <row r="1615" spans="2:17" ht="45" x14ac:dyDescent="0.25">
      <c r="B1615" s="1022"/>
      <c r="C1615" s="1620"/>
      <c r="D1615" s="619"/>
      <c r="E1615" s="1613"/>
      <c r="F1615" s="1600"/>
      <c r="G1615" s="1600"/>
      <c r="H1615" s="1600"/>
      <c r="I1615" s="1600"/>
      <c r="J1615" s="1600"/>
      <c r="K1615" s="628" t="s">
        <v>2487</v>
      </c>
      <c r="L1615" s="511" t="s">
        <v>14</v>
      </c>
      <c r="M1615" s="511">
        <v>100</v>
      </c>
      <c r="N1615" s="511">
        <v>100</v>
      </c>
      <c r="O1615" s="511">
        <v>100</v>
      </c>
      <c r="P1615" s="511">
        <v>100</v>
      </c>
      <c r="Q1615" s="511">
        <v>100</v>
      </c>
    </row>
    <row r="1616" spans="2:17" x14ac:dyDescent="0.25">
      <c r="B1616" s="1617"/>
      <c r="C1616" s="1619" t="s">
        <v>50</v>
      </c>
      <c r="D1616" s="1619"/>
      <c r="E1616" s="1611" t="s">
        <v>2488</v>
      </c>
      <c r="F1616" s="1788">
        <v>1969.5</v>
      </c>
      <c r="G1616" s="1599">
        <v>2070.5</v>
      </c>
      <c r="H1616" s="1788">
        <v>2453.4</v>
      </c>
      <c r="I1616" s="1788">
        <f>H1616*98.4/100</f>
        <v>2414.1456000000003</v>
      </c>
      <c r="J1616" s="1788">
        <f>I1616*104.4/100</f>
        <v>2520.3680064000005</v>
      </c>
      <c r="K1616" s="1777" t="s">
        <v>2489</v>
      </c>
      <c r="L1616" s="1778" t="s">
        <v>2490</v>
      </c>
      <c r="M1616" s="1814" t="s">
        <v>2491</v>
      </c>
      <c r="N1616" s="1814" t="s">
        <v>2492</v>
      </c>
      <c r="O1616" s="1779">
        <v>1</v>
      </c>
      <c r="P1616" s="1779">
        <v>1</v>
      </c>
      <c r="Q1616" s="1779">
        <v>1</v>
      </c>
    </row>
    <row r="1617" spans="2:17" x14ac:dyDescent="0.25">
      <c r="B1617" s="1810"/>
      <c r="C1617" s="1745"/>
      <c r="D1617" s="1745"/>
      <c r="E1617" s="1612"/>
      <c r="F1617" s="1791"/>
      <c r="G1617" s="1610"/>
      <c r="H1617" s="1791"/>
      <c r="I1617" s="1791"/>
      <c r="J1617" s="1791"/>
      <c r="K1617" s="1777"/>
      <c r="L1617" s="1778"/>
      <c r="M1617" s="1814"/>
      <c r="N1617" s="1814"/>
      <c r="O1617" s="1779"/>
      <c r="P1617" s="1779"/>
      <c r="Q1617" s="1779"/>
    </row>
    <row r="1618" spans="2:17" ht="30" x14ac:dyDescent="0.25">
      <c r="B1618" s="1810"/>
      <c r="C1618" s="1745"/>
      <c r="D1618" s="1745"/>
      <c r="E1618" s="1612"/>
      <c r="F1618" s="1791"/>
      <c r="G1618" s="1610"/>
      <c r="H1618" s="1791"/>
      <c r="I1618" s="1791"/>
      <c r="J1618" s="1791"/>
      <c r="K1618" s="576" t="s">
        <v>2493</v>
      </c>
      <c r="L1618" s="512" t="s">
        <v>1073</v>
      </c>
      <c r="M1618" s="1134">
        <v>1</v>
      </c>
      <c r="N1618" s="1134">
        <v>2</v>
      </c>
      <c r="O1618" s="1134">
        <v>2</v>
      </c>
      <c r="P1618" s="1134">
        <v>2</v>
      </c>
      <c r="Q1618" s="1134">
        <v>1</v>
      </c>
    </row>
    <row r="1619" spans="2:17" ht="30" x14ac:dyDescent="0.25">
      <c r="B1619" s="1618"/>
      <c r="C1619" s="1620"/>
      <c r="D1619" s="1620"/>
      <c r="E1619" s="1613"/>
      <c r="F1619" s="1789"/>
      <c r="G1619" s="1600"/>
      <c r="H1619" s="1789"/>
      <c r="I1619" s="1789"/>
      <c r="J1619" s="1789"/>
      <c r="K1619" s="488" t="s">
        <v>2494</v>
      </c>
      <c r="L1619" s="512" t="s">
        <v>1073</v>
      </c>
      <c r="M1619" s="286" t="s">
        <v>2495</v>
      </c>
      <c r="N1619" s="286">
        <v>1</v>
      </c>
      <c r="O1619" s="286">
        <v>2</v>
      </c>
      <c r="P1619" s="286">
        <v>2</v>
      </c>
      <c r="Q1619" s="286">
        <v>1</v>
      </c>
    </row>
    <row r="1620" spans="2:17" x14ac:dyDescent="0.25">
      <c r="B1620" s="1133"/>
      <c r="C1620" s="1619" t="s">
        <v>51</v>
      </c>
      <c r="D1620" s="1135"/>
      <c r="E1620" s="1611" t="s">
        <v>2496</v>
      </c>
      <c r="F1620" s="1599">
        <v>1988</v>
      </c>
      <c r="G1620" s="1811">
        <v>2267.4</v>
      </c>
      <c r="H1620" s="1788">
        <v>3001</v>
      </c>
      <c r="I1620" s="1788">
        <f>H1620*98.4/100</f>
        <v>2952.9840000000004</v>
      </c>
      <c r="J1620" s="1788">
        <f>I1620*104.4/100</f>
        <v>3082.9152960000006</v>
      </c>
      <c r="K1620" s="546" t="s">
        <v>2497</v>
      </c>
      <c r="L1620" s="511" t="s">
        <v>2188</v>
      </c>
      <c r="M1620" s="914">
        <v>36</v>
      </c>
      <c r="N1620" s="914">
        <v>57</v>
      </c>
      <c r="O1620" s="914" t="s">
        <v>1050</v>
      </c>
      <c r="P1620" s="914" t="s">
        <v>1050</v>
      </c>
      <c r="Q1620" s="914" t="s">
        <v>1050</v>
      </c>
    </row>
    <row r="1621" spans="2:17" ht="30" x14ac:dyDescent="0.25">
      <c r="B1621" s="1133"/>
      <c r="C1621" s="1745"/>
      <c r="D1621" s="1135"/>
      <c r="E1621" s="1612"/>
      <c r="F1621" s="1610"/>
      <c r="G1621" s="1812"/>
      <c r="H1621" s="1791"/>
      <c r="I1621" s="1791"/>
      <c r="J1621" s="1791"/>
      <c r="K1621" s="546" t="s">
        <v>2498</v>
      </c>
      <c r="L1621" s="511" t="s">
        <v>14</v>
      </c>
      <c r="M1621" s="914">
        <v>78</v>
      </c>
      <c r="N1621" s="914">
        <v>50</v>
      </c>
      <c r="O1621" s="914">
        <v>60</v>
      </c>
      <c r="P1621" s="914">
        <v>65</v>
      </c>
      <c r="Q1621" s="914">
        <v>50</v>
      </c>
    </row>
    <row r="1622" spans="2:17" ht="45" x14ac:dyDescent="0.25">
      <c r="B1622" s="1133"/>
      <c r="C1622" s="1620"/>
      <c r="D1622" s="1135"/>
      <c r="E1622" s="1612"/>
      <c r="F1622" s="1600"/>
      <c r="G1622" s="1813"/>
      <c r="H1622" s="1789"/>
      <c r="I1622" s="1789"/>
      <c r="J1622" s="1789"/>
      <c r="K1622" s="628" t="s">
        <v>2499</v>
      </c>
      <c r="L1622" s="512" t="s">
        <v>14</v>
      </c>
      <c r="M1622" s="511">
        <v>100</v>
      </c>
      <c r="N1622" s="511">
        <v>100</v>
      </c>
      <c r="O1622" s="511">
        <v>100</v>
      </c>
      <c r="P1622" s="511">
        <v>100</v>
      </c>
      <c r="Q1622" s="511">
        <v>100</v>
      </c>
    </row>
    <row r="1623" spans="2:17" ht="45" x14ac:dyDescent="0.25">
      <c r="B1623" s="898"/>
      <c r="C1623" s="1619" t="s">
        <v>53</v>
      </c>
      <c r="D1623" s="618"/>
      <c r="E1623" s="1611" t="s">
        <v>2500</v>
      </c>
      <c r="F1623" s="1599">
        <v>8443.6</v>
      </c>
      <c r="G1623" s="1599">
        <v>11179.1</v>
      </c>
      <c r="H1623" s="1788">
        <v>2937.4</v>
      </c>
      <c r="I1623" s="1788">
        <f>H1623*98.4/100</f>
        <v>2890.4016000000001</v>
      </c>
      <c r="J1623" s="1788">
        <f>I1623*104.4/100</f>
        <v>3017.5792704000005</v>
      </c>
      <c r="K1623" s="628" t="s">
        <v>2501</v>
      </c>
      <c r="L1623" s="511" t="s">
        <v>2502</v>
      </c>
      <c r="M1623" s="914">
        <v>89</v>
      </c>
      <c r="N1623" s="914">
        <v>70</v>
      </c>
      <c r="O1623" s="914">
        <v>80</v>
      </c>
      <c r="P1623" s="914">
        <v>85</v>
      </c>
      <c r="Q1623" s="914">
        <v>90</v>
      </c>
    </row>
    <row r="1624" spans="2:17" ht="30" x14ac:dyDescent="0.25">
      <c r="B1624" s="1133"/>
      <c r="C1624" s="1745"/>
      <c r="D1624" s="1132"/>
      <c r="E1624" s="1612"/>
      <c r="F1624" s="1610"/>
      <c r="G1624" s="1610"/>
      <c r="H1624" s="1791"/>
      <c r="I1624" s="1791"/>
      <c r="J1624" s="1791"/>
      <c r="K1624" s="628" t="s">
        <v>2503</v>
      </c>
      <c r="L1624" s="511" t="s">
        <v>1073</v>
      </c>
      <c r="M1624" s="914">
        <v>1</v>
      </c>
      <c r="N1624" s="914">
        <v>2</v>
      </c>
      <c r="O1624" s="914">
        <v>3</v>
      </c>
      <c r="P1624" s="914">
        <v>4</v>
      </c>
      <c r="Q1624" s="914">
        <v>5</v>
      </c>
    </row>
    <row r="1625" spans="2:17" ht="30" x14ac:dyDescent="0.25">
      <c r="B1625" s="1133"/>
      <c r="C1625" s="1620"/>
      <c r="D1625" s="619"/>
      <c r="E1625" s="1613"/>
      <c r="F1625" s="1600"/>
      <c r="G1625" s="1600"/>
      <c r="H1625" s="1789"/>
      <c r="I1625" s="1789"/>
      <c r="J1625" s="1789"/>
      <c r="K1625" s="628" t="s">
        <v>2504</v>
      </c>
      <c r="L1625" s="511" t="s">
        <v>2188</v>
      </c>
      <c r="M1625" s="914">
        <v>0</v>
      </c>
      <c r="N1625" s="914">
        <v>0</v>
      </c>
      <c r="O1625" s="914">
        <v>500</v>
      </c>
      <c r="P1625" s="914">
        <v>1000</v>
      </c>
      <c r="Q1625" s="914">
        <v>1500</v>
      </c>
    </row>
    <row r="1626" spans="2:17" x14ac:dyDescent="0.25">
      <c r="B1626" s="1617"/>
      <c r="C1626" s="1619" t="s">
        <v>54</v>
      </c>
      <c r="D1626" s="1619"/>
      <c r="E1626" s="1808" t="s">
        <v>2505</v>
      </c>
      <c r="F1626" s="1599">
        <v>2406.9</v>
      </c>
      <c r="G1626" s="1811">
        <v>3104.2</v>
      </c>
      <c r="H1626" s="1599">
        <v>4144.3999999999996</v>
      </c>
      <c r="I1626" s="1599">
        <f>H1626*98.4/100</f>
        <v>4078.0895999999998</v>
      </c>
      <c r="J1626" s="1599">
        <f>I1626*104.4/100</f>
        <v>4257.5255424000006</v>
      </c>
      <c r="K1626" s="1808" t="s">
        <v>2506</v>
      </c>
      <c r="L1626" s="1593" t="s">
        <v>1073</v>
      </c>
      <c r="M1626" s="1809" t="s">
        <v>2507</v>
      </c>
      <c r="N1626" s="1809">
        <v>25</v>
      </c>
      <c r="O1626" s="1809">
        <v>25</v>
      </c>
      <c r="P1626" s="1809">
        <v>25</v>
      </c>
      <c r="Q1626" s="1809">
        <v>25</v>
      </c>
    </row>
    <row r="1627" spans="2:17" x14ac:dyDescent="0.25">
      <c r="B1627" s="1810"/>
      <c r="C1627" s="1745"/>
      <c r="D1627" s="1745"/>
      <c r="E1627" s="1808"/>
      <c r="F1627" s="1610"/>
      <c r="G1627" s="1812"/>
      <c r="H1627" s="1610"/>
      <c r="I1627" s="1610"/>
      <c r="J1627" s="1610"/>
      <c r="K1627" s="1808"/>
      <c r="L1627" s="1593"/>
      <c r="M1627" s="1809"/>
      <c r="N1627" s="1809"/>
      <c r="O1627" s="1809"/>
      <c r="P1627" s="1809"/>
      <c r="Q1627" s="1809"/>
    </row>
    <row r="1628" spans="2:17" ht="30" x14ac:dyDescent="0.25">
      <c r="B1628" s="1618"/>
      <c r="C1628" s="1620"/>
      <c r="D1628" s="1620"/>
      <c r="E1628" s="1808"/>
      <c r="F1628" s="1600"/>
      <c r="G1628" s="1813"/>
      <c r="H1628" s="1600"/>
      <c r="I1628" s="1600"/>
      <c r="J1628" s="1600"/>
      <c r="K1628" s="628" t="s">
        <v>2508</v>
      </c>
      <c r="L1628" s="511" t="s">
        <v>14</v>
      </c>
      <c r="M1628" s="557">
        <v>100</v>
      </c>
      <c r="N1628" s="557">
        <v>100</v>
      </c>
      <c r="O1628" s="557">
        <v>100</v>
      </c>
      <c r="P1628" s="557">
        <v>100</v>
      </c>
      <c r="Q1628" s="557">
        <v>100</v>
      </c>
    </row>
    <row r="1629" spans="2:17" ht="60" x14ac:dyDescent="0.25">
      <c r="B1629" s="254"/>
      <c r="C1629" s="413" t="s">
        <v>86</v>
      </c>
      <c r="D1629" s="429"/>
      <c r="E1629" s="628" t="s">
        <v>2509</v>
      </c>
      <c r="F1629" s="557">
        <v>1792.5</v>
      </c>
      <c r="G1629" s="557">
        <v>1942</v>
      </c>
      <c r="H1629" s="557">
        <v>2594.4</v>
      </c>
      <c r="I1629" s="557">
        <f>H1629*98.4/100</f>
        <v>2552.8896000000004</v>
      </c>
      <c r="J1629" s="557">
        <f>I1629*104.4/100</f>
        <v>2665.2167424000008</v>
      </c>
      <c r="K1629" s="769" t="s">
        <v>2510</v>
      </c>
      <c r="L1629" s="511" t="s">
        <v>14</v>
      </c>
      <c r="M1629" s="512">
        <v>100</v>
      </c>
      <c r="N1629" s="511">
        <v>100</v>
      </c>
      <c r="O1629" s="511">
        <v>100</v>
      </c>
      <c r="P1629" s="511">
        <v>100</v>
      </c>
      <c r="Q1629" s="511">
        <v>100</v>
      </c>
    </row>
    <row r="1630" spans="2:17" ht="60" x14ac:dyDescent="0.25">
      <c r="B1630" s="254"/>
      <c r="C1630" s="429"/>
      <c r="D1630" s="429"/>
      <c r="E1630" s="628" t="s">
        <v>2511</v>
      </c>
      <c r="F1630" s="539"/>
      <c r="G1630" s="539"/>
      <c r="H1630" s="539"/>
      <c r="I1630" s="539"/>
      <c r="J1630" s="539"/>
      <c r="K1630" s="769" t="s">
        <v>2512</v>
      </c>
      <c r="L1630" s="511" t="s">
        <v>14</v>
      </c>
      <c r="M1630" s="512">
        <v>100</v>
      </c>
      <c r="N1630" s="512">
        <v>100</v>
      </c>
      <c r="O1630" s="512">
        <v>100</v>
      </c>
      <c r="P1630" s="512">
        <v>100</v>
      </c>
      <c r="Q1630" s="512">
        <v>100</v>
      </c>
    </row>
    <row r="1631" spans="2:17" ht="45" x14ac:dyDescent="0.25">
      <c r="B1631" s="898"/>
      <c r="C1631" s="618" t="s">
        <v>87</v>
      </c>
      <c r="D1631" s="618"/>
      <c r="E1631" s="545" t="s">
        <v>2513</v>
      </c>
      <c r="F1631" s="559">
        <v>747.8</v>
      </c>
      <c r="G1631" s="559">
        <v>339.3</v>
      </c>
      <c r="H1631" s="606">
        <v>679.7</v>
      </c>
      <c r="I1631" s="606">
        <f>H1631*98.4/100</f>
        <v>668.8248000000001</v>
      </c>
      <c r="J1631" s="606">
        <f>I1631*104.4/100</f>
        <v>698.2530912000002</v>
      </c>
      <c r="K1631" s="576" t="s">
        <v>2514</v>
      </c>
      <c r="L1631" s="512" t="s">
        <v>14</v>
      </c>
      <c r="M1631" s="1136">
        <v>100</v>
      </c>
      <c r="N1631" s="1136">
        <v>100</v>
      </c>
      <c r="O1631" s="1136">
        <v>100</v>
      </c>
      <c r="P1631" s="1136">
        <v>100</v>
      </c>
      <c r="Q1631" s="1136">
        <v>100</v>
      </c>
    </row>
    <row r="1632" spans="2:17" ht="45" x14ac:dyDescent="0.25">
      <c r="B1632" s="1617"/>
      <c r="C1632" s="1619" t="s">
        <v>89</v>
      </c>
      <c r="D1632" s="1619"/>
      <c r="E1632" s="1808" t="s">
        <v>2515</v>
      </c>
      <c r="F1632" s="1599">
        <v>16400.8</v>
      </c>
      <c r="G1632" s="1599">
        <v>16783.3</v>
      </c>
      <c r="H1632" s="1790">
        <v>24806</v>
      </c>
      <c r="I1632" s="1790">
        <f>H1632*98.4/100+2.9+1159.2</f>
        <v>25571.204000000005</v>
      </c>
      <c r="J1632" s="1790">
        <f>I1632*104.4/100+16.2-2915</f>
        <v>23797.536976000007</v>
      </c>
      <c r="K1632" s="769" t="s">
        <v>2516</v>
      </c>
      <c r="L1632" s="511" t="s">
        <v>14</v>
      </c>
      <c r="M1632" s="511">
        <v>90</v>
      </c>
      <c r="N1632" s="557">
        <v>100</v>
      </c>
      <c r="O1632" s="557">
        <v>100</v>
      </c>
      <c r="P1632" s="557">
        <v>100</v>
      </c>
      <c r="Q1632" s="557">
        <v>100</v>
      </c>
    </row>
    <row r="1633" spans="2:17" ht="30" x14ac:dyDescent="0.25">
      <c r="B1633" s="1810"/>
      <c r="C1633" s="1745"/>
      <c r="D1633" s="1745"/>
      <c r="E1633" s="1808"/>
      <c r="F1633" s="1610"/>
      <c r="G1633" s="1610"/>
      <c r="H1633" s="1790"/>
      <c r="I1633" s="1790"/>
      <c r="J1633" s="1790"/>
      <c r="K1633" s="628" t="s">
        <v>2517</v>
      </c>
      <c r="L1633" s="511" t="s">
        <v>2502</v>
      </c>
      <c r="M1633" s="511">
        <v>100</v>
      </c>
      <c r="N1633" s="511">
        <v>100</v>
      </c>
      <c r="O1633" s="511">
        <v>100</v>
      </c>
      <c r="P1633" s="511">
        <v>100</v>
      </c>
      <c r="Q1633" s="511">
        <v>100</v>
      </c>
    </row>
    <row r="1634" spans="2:17" ht="30" x14ac:dyDescent="0.25">
      <c r="B1634" s="1618"/>
      <c r="C1634" s="1620"/>
      <c r="D1634" s="1620"/>
      <c r="E1634" s="1808"/>
      <c r="F1634" s="1600"/>
      <c r="G1634" s="1600"/>
      <c r="H1634" s="1790"/>
      <c r="I1634" s="1790"/>
      <c r="J1634" s="1790"/>
      <c r="K1634" s="844" t="s">
        <v>2518</v>
      </c>
      <c r="L1634" s="511" t="s">
        <v>2502</v>
      </c>
      <c r="M1634" s="416">
        <v>100</v>
      </c>
      <c r="N1634" s="416">
        <v>100</v>
      </c>
      <c r="O1634" s="416">
        <v>100</v>
      </c>
      <c r="P1634" s="416">
        <v>100</v>
      </c>
      <c r="Q1634" s="416">
        <v>100</v>
      </c>
    </row>
    <row r="1635" spans="2:17" x14ac:dyDescent="0.25">
      <c r="B1635" s="1566" t="s">
        <v>291</v>
      </c>
      <c r="C1635" s="1567"/>
      <c r="D1635" s="1567"/>
      <c r="E1635" s="1568"/>
      <c r="F1635" s="991">
        <f>F1602+F1595</f>
        <v>73714.599999999991</v>
      </c>
      <c r="G1635" s="1137">
        <f>G1595+G1602</f>
        <v>60899.600000000006</v>
      </c>
      <c r="H1635" s="1167">
        <f>H1595+H1602</f>
        <v>68873.600000000006</v>
      </c>
      <c r="I1635" s="1167">
        <f>I1595+I1602</f>
        <v>68933.722400000013</v>
      </c>
      <c r="J1635" s="1167">
        <f>J1595+J1602</f>
        <v>69068.006185600025</v>
      </c>
      <c r="K1635" s="1139"/>
      <c r="L1635" s="1801"/>
      <c r="M1635" s="1801"/>
      <c r="N1635" s="1801"/>
      <c r="O1635" s="1801"/>
      <c r="P1635" s="1801"/>
      <c r="Q1635" s="1139"/>
    </row>
    <row r="1636" spans="2:17" x14ac:dyDescent="0.25">
      <c r="B1636" s="1573" t="s">
        <v>2519</v>
      </c>
      <c r="C1636" s="1573"/>
      <c r="D1636" s="1573"/>
      <c r="E1636" s="1573"/>
      <c r="F1636" s="1573"/>
      <c r="G1636" s="1573"/>
      <c r="H1636" s="1573"/>
      <c r="I1636" s="1573"/>
      <c r="J1636" s="1573"/>
      <c r="K1636" s="1573"/>
      <c r="L1636" s="1573"/>
      <c r="M1636" s="1573"/>
      <c r="N1636" s="1573"/>
      <c r="O1636" s="1573"/>
      <c r="P1636" s="1573"/>
      <c r="Q1636" s="1573"/>
    </row>
    <row r="1637" spans="2:17" x14ac:dyDescent="0.25">
      <c r="B1637" s="1802" t="s">
        <v>102</v>
      </c>
      <c r="C1637" s="1803"/>
      <c r="D1637" s="1804"/>
      <c r="E1637" s="1140" t="s">
        <v>2520</v>
      </c>
      <c r="F1637" s="1805">
        <f>F1639+F1640+F1641+F1642+F1643+F1644+F1645+F1646</f>
        <v>37482.5</v>
      </c>
      <c r="G1637" s="1805">
        <f t="shared" ref="G1637:J1637" si="171">G1639+G1640+G1641+G1642+G1643+G1644+G1645+G1646</f>
        <v>37866</v>
      </c>
      <c r="H1637" s="1805">
        <f t="shared" si="171"/>
        <v>28908.6</v>
      </c>
      <c r="I1637" s="1805">
        <f t="shared" si="171"/>
        <v>24741.599999999999</v>
      </c>
      <c r="J1637" s="1805">
        <f t="shared" si="171"/>
        <v>24816.400000000001</v>
      </c>
      <c r="K1637" s="1807" t="s">
        <v>2363</v>
      </c>
      <c r="L1637" s="1803" t="s">
        <v>14</v>
      </c>
      <c r="M1637" s="1141"/>
      <c r="N1637" s="1141"/>
      <c r="O1637" s="1141"/>
      <c r="P1637" s="823"/>
      <c r="Q1637" s="823"/>
    </row>
    <row r="1638" spans="2:17" ht="60" x14ac:dyDescent="0.25">
      <c r="B1638" s="1802"/>
      <c r="C1638" s="1803"/>
      <c r="D1638" s="1804"/>
      <c r="E1638" s="1142" t="s">
        <v>2521</v>
      </c>
      <c r="F1638" s="1806"/>
      <c r="G1638" s="1806"/>
      <c r="H1638" s="1806"/>
      <c r="I1638" s="1806"/>
      <c r="J1638" s="1806"/>
      <c r="K1638" s="1807"/>
      <c r="L1638" s="1803"/>
      <c r="M1638" s="823"/>
      <c r="N1638" s="1141"/>
      <c r="O1638" s="1141"/>
      <c r="P1638" s="823"/>
      <c r="Q1638" s="823"/>
    </row>
    <row r="1639" spans="2:17" x14ac:dyDescent="0.25">
      <c r="B1639" s="1143"/>
      <c r="C1639" s="1144" t="s">
        <v>2</v>
      </c>
      <c r="D1639" s="1143"/>
      <c r="E1639" s="719" t="s">
        <v>140</v>
      </c>
      <c r="F1639" s="303">
        <v>9746.7000000000007</v>
      </c>
      <c r="G1639" s="303">
        <v>9798</v>
      </c>
      <c r="H1639" s="303">
        <v>7536.2</v>
      </c>
      <c r="I1639" s="303">
        <v>7670</v>
      </c>
      <c r="J1639" s="303">
        <v>7693.1</v>
      </c>
      <c r="K1639" s="823" t="s">
        <v>784</v>
      </c>
      <c r="L1639" s="1143" t="s">
        <v>15</v>
      </c>
      <c r="M1639" s="823"/>
      <c r="N1639" s="823"/>
      <c r="O1639" s="823"/>
      <c r="P1639" s="823"/>
      <c r="Q1639" s="823"/>
    </row>
    <row r="1640" spans="2:17" ht="30" x14ac:dyDescent="0.25">
      <c r="B1640" s="1143"/>
      <c r="C1640" s="1144" t="s">
        <v>3</v>
      </c>
      <c r="D1640" s="1143"/>
      <c r="E1640" s="1190" t="s">
        <v>2419</v>
      </c>
      <c r="F1640" s="303">
        <v>836.3</v>
      </c>
      <c r="G1640" s="303">
        <v>876.6</v>
      </c>
      <c r="H1640" s="303">
        <v>0</v>
      </c>
      <c r="I1640" s="303">
        <v>0</v>
      </c>
      <c r="J1640" s="303">
        <v>0</v>
      </c>
      <c r="K1640" s="823"/>
      <c r="L1640" s="1143"/>
      <c r="M1640" s="823"/>
      <c r="N1640" s="823"/>
      <c r="O1640" s="823"/>
      <c r="P1640" s="823"/>
      <c r="Q1640" s="823"/>
    </row>
    <row r="1641" spans="2:17" ht="30" x14ac:dyDescent="0.25">
      <c r="B1641" s="1143"/>
      <c r="C1641" s="1144" t="s">
        <v>4</v>
      </c>
      <c r="D1641" s="1143"/>
      <c r="E1641" s="527" t="s">
        <v>262</v>
      </c>
      <c r="F1641" s="303">
        <v>2917.8</v>
      </c>
      <c r="G1641" s="303">
        <v>2916.7</v>
      </c>
      <c r="H1641" s="303">
        <v>2668.4</v>
      </c>
      <c r="I1641" s="303">
        <v>1979.3</v>
      </c>
      <c r="J1641" s="303">
        <v>1985.3</v>
      </c>
      <c r="K1641" s="628" t="s">
        <v>2522</v>
      </c>
      <c r="L1641" s="1143" t="s">
        <v>14</v>
      </c>
      <c r="M1641" s="823"/>
      <c r="N1641" s="823"/>
      <c r="O1641" s="823"/>
      <c r="P1641" s="823"/>
      <c r="Q1641" s="823"/>
    </row>
    <row r="1642" spans="2:17" ht="30" x14ac:dyDescent="0.25">
      <c r="B1642" s="1143"/>
      <c r="C1642" s="1144" t="s">
        <v>5</v>
      </c>
      <c r="D1642" s="1143"/>
      <c r="E1642" s="527" t="s">
        <v>241</v>
      </c>
      <c r="F1642" s="303">
        <v>2481.1</v>
      </c>
      <c r="G1642" s="303">
        <v>2446.1</v>
      </c>
      <c r="H1642" s="303">
        <v>2446.1</v>
      </c>
      <c r="I1642" s="303">
        <v>1731.9</v>
      </c>
      <c r="J1642" s="303">
        <v>1737.2</v>
      </c>
      <c r="K1642" s="628" t="s">
        <v>2435</v>
      </c>
      <c r="L1642" s="1143" t="s">
        <v>2153</v>
      </c>
      <c r="M1642" s="823"/>
      <c r="N1642" s="823"/>
      <c r="O1642" s="823"/>
      <c r="P1642" s="823"/>
      <c r="Q1642" s="823"/>
    </row>
    <row r="1643" spans="2:17" ht="45" x14ac:dyDescent="0.25">
      <c r="B1643" s="1143"/>
      <c r="C1643" s="1144" t="s">
        <v>49</v>
      </c>
      <c r="D1643" s="1143"/>
      <c r="E1643" s="1145" t="s">
        <v>1964</v>
      </c>
      <c r="F1643" s="303">
        <v>496.2</v>
      </c>
      <c r="G1643" s="303">
        <v>444.8</v>
      </c>
      <c r="H1643" s="303">
        <v>444.8</v>
      </c>
      <c r="I1643" s="303">
        <v>494.8</v>
      </c>
      <c r="J1643" s="303">
        <v>496.3</v>
      </c>
      <c r="K1643" s="628" t="s">
        <v>2523</v>
      </c>
      <c r="L1643" s="1143" t="s">
        <v>1073</v>
      </c>
      <c r="M1643" s="823"/>
      <c r="N1643" s="823"/>
      <c r="O1643" s="823"/>
      <c r="P1643" s="823"/>
      <c r="Q1643" s="823"/>
    </row>
    <row r="1644" spans="2:17" ht="45" x14ac:dyDescent="0.25">
      <c r="B1644" s="1143"/>
      <c r="C1644" s="1144" t="s">
        <v>50</v>
      </c>
      <c r="D1644" s="1143"/>
      <c r="E1644" s="1192" t="s">
        <v>2524</v>
      </c>
      <c r="F1644" s="303">
        <v>6397.5</v>
      </c>
      <c r="G1644" s="303">
        <v>6493.6</v>
      </c>
      <c r="H1644" s="303">
        <v>7807.5</v>
      </c>
      <c r="I1644" s="303">
        <v>3463.8</v>
      </c>
      <c r="J1644" s="303">
        <v>3474.3</v>
      </c>
      <c r="K1644" s="628" t="s">
        <v>2467</v>
      </c>
      <c r="L1644" s="1143">
        <v>10</v>
      </c>
      <c r="M1644" s="1143"/>
      <c r="N1644" s="1143"/>
      <c r="O1644" s="1143"/>
      <c r="P1644" s="1143"/>
      <c r="Q1644" s="1143"/>
    </row>
    <row r="1645" spans="2:17" ht="30" x14ac:dyDescent="0.25">
      <c r="B1645" s="1143"/>
      <c r="C1645" s="1144" t="s">
        <v>51</v>
      </c>
      <c r="D1645" s="1143"/>
      <c r="E1645" s="823" t="s">
        <v>2525</v>
      </c>
      <c r="F1645" s="303">
        <v>9094.7999999999993</v>
      </c>
      <c r="G1645" s="303">
        <v>9157.5</v>
      </c>
      <c r="H1645" s="303">
        <v>8005.6</v>
      </c>
      <c r="I1645" s="303">
        <v>9401.7999999999993</v>
      </c>
      <c r="J1645" s="303">
        <v>9430.2000000000007</v>
      </c>
      <c r="K1645" s="823"/>
      <c r="L1645" s="1143">
        <v>40</v>
      </c>
      <c r="M1645" s="1146"/>
      <c r="N1645" s="1146"/>
      <c r="O1645" s="1146"/>
      <c r="P1645" s="1143"/>
      <c r="Q1645" s="1143"/>
    </row>
    <row r="1646" spans="2:17" x14ac:dyDescent="0.25">
      <c r="B1646" s="1143"/>
      <c r="C1646" s="1144" t="s">
        <v>53</v>
      </c>
      <c r="D1646" s="1143"/>
      <c r="E1646" s="22" t="s">
        <v>2526</v>
      </c>
      <c r="F1646" s="303">
        <v>5512.1</v>
      </c>
      <c r="G1646" s="303">
        <v>5732.7</v>
      </c>
      <c r="H1646" s="303">
        <v>0</v>
      </c>
      <c r="I1646" s="303">
        <v>0</v>
      </c>
      <c r="J1646" s="303">
        <v>0</v>
      </c>
      <c r="K1646" s="823"/>
      <c r="L1646" s="1143"/>
      <c r="M1646" s="1146"/>
      <c r="N1646" s="1146"/>
      <c r="O1646" s="1146"/>
      <c r="P1646" s="1143"/>
      <c r="Q1646" s="1143"/>
    </row>
    <row r="1647" spans="2:17" ht="28.5" x14ac:dyDescent="0.25">
      <c r="B1647" s="1147" t="s">
        <v>2527</v>
      </c>
      <c r="C1647" s="1144"/>
      <c r="D1647" s="1143"/>
      <c r="E1647" s="157" t="s">
        <v>2528</v>
      </c>
      <c r="F1647" s="1148">
        <f>F1648+F1649</f>
        <v>1789216.9</v>
      </c>
      <c r="G1647" s="1148">
        <f t="shared" ref="G1647:J1647" si="172">G1648+G1649</f>
        <v>4399319.7</v>
      </c>
      <c r="H1647" s="1148">
        <f t="shared" si="172"/>
        <v>920399.8</v>
      </c>
      <c r="I1647" s="1148">
        <f t="shared" si="172"/>
        <v>7000</v>
      </c>
      <c r="J1647" s="1148">
        <f t="shared" si="172"/>
        <v>5296</v>
      </c>
      <c r="K1647" s="823"/>
      <c r="L1647" s="1143"/>
      <c r="M1647" s="1146"/>
      <c r="N1647" s="1146"/>
      <c r="O1647" s="1146"/>
      <c r="P1647" s="1143"/>
      <c r="Q1647" s="1143"/>
    </row>
    <row r="1648" spans="2:17" ht="30" x14ac:dyDescent="0.25">
      <c r="B1648" s="1144"/>
      <c r="C1648" s="1144" t="s">
        <v>2</v>
      </c>
      <c r="D1648" s="1143"/>
      <c r="E1648" s="527" t="s">
        <v>2529</v>
      </c>
      <c r="F1648" s="303">
        <v>2216.9</v>
      </c>
      <c r="G1648" s="303">
        <v>0</v>
      </c>
      <c r="H1648" s="303"/>
      <c r="I1648" s="303">
        <v>7000</v>
      </c>
      <c r="J1648" s="303">
        <v>5296</v>
      </c>
      <c r="K1648" s="823"/>
      <c r="L1648" s="1143"/>
      <c r="M1648" s="1146"/>
      <c r="N1648" s="1146"/>
      <c r="O1648" s="823"/>
      <c r="P1648" s="823"/>
      <c r="Q1648" s="823"/>
    </row>
    <row r="1649" spans="2:17" ht="30" x14ac:dyDescent="0.25">
      <c r="B1649" s="1143"/>
      <c r="C1649" s="1144" t="s">
        <v>3</v>
      </c>
      <c r="D1649" s="1143"/>
      <c r="E1649" s="1149" t="s">
        <v>2530</v>
      </c>
      <c r="F1649" s="303">
        <v>1787000</v>
      </c>
      <c r="G1649" s="303">
        <f>4399319.5+0.2</f>
        <v>4399319.7</v>
      </c>
      <c r="H1649" s="303">
        <v>920399.8</v>
      </c>
      <c r="I1649" s="557"/>
      <c r="J1649" s="557"/>
      <c r="K1649" s="823"/>
      <c r="L1649" s="1143"/>
      <c r="M1649" s="1146"/>
      <c r="N1649" s="1146"/>
      <c r="O1649" s="823"/>
      <c r="P1649" s="823"/>
      <c r="Q1649" s="823"/>
    </row>
    <row r="1650" spans="2:17" x14ac:dyDescent="0.25">
      <c r="B1650" s="1566" t="s">
        <v>291</v>
      </c>
      <c r="C1650" s="1567"/>
      <c r="D1650" s="1567"/>
      <c r="E1650" s="1568"/>
      <c r="F1650" s="163">
        <f>F1637+F1647</f>
        <v>1826699.4</v>
      </c>
      <c r="G1650" s="163">
        <f t="shared" ref="G1650:J1650" si="173">G1637+G1647</f>
        <v>4437185.7</v>
      </c>
      <c r="H1650" s="163">
        <f t="shared" si="173"/>
        <v>949308.4</v>
      </c>
      <c r="I1650" s="163">
        <f t="shared" si="173"/>
        <v>31741.599999999999</v>
      </c>
      <c r="J1650" s="163">
        <f t="shared" si="173"/>
        <v>30112.400000000001</v>
      </c>
      <c r="K1650" s="444"/>
      <c r="L1650" s="1554"/>
      <c r="M1650" s="444"/>
      <c r="N1650" s="444"/>
      <c r="O1650" s="444"/>
      <c r="P1650" s="444"/>
      <c r="Q1650" s="444"/>
    </row>
    <row r="1651" spans="2:17" ht="15.75" thickBot="1" x14ac:dyDescent="0.3">
      <c r="B1651" s="1573" t="s">
        <v>2531</v>
      </c>
      <c r="C1651" s="1573"/>
      <c r="D1651" s="1573"/>
      <c r="E1651" s="1573"/>
      <c r="F1651" s="1573"/>
      <c r="G1651" s="1573"/>
      <c r="H1651" s="1573"/>
      <c r="I1651" s="1573"/>
      <c r="J1651" s="1573"/>
      <c r="K1651" s="1573"/>
      <c r="L1651" s="1573"/>
      <c r="M1651" s="1573"/>
      <c r="N1651" s="1573"/>
      <c r="O1651" s="1573"/>
      <c r="P1651" s="1573"/>
      <c r="Q1651" s="1573"/>
    </row>
    <row r="1652" spans="2:17" ht="64.5" customHeight="1" x14ac:dyDescent="0.25">
      <c r="B1652" s="1150">
        <v>1</v>
      </c>
      <c r="C1652" s="445"/>
      <c r="D1652" s="446"/>
      <c r="E1652" s="477" t="s">
        <v>2432</v>
      </c>
      <c r="F1652" s="117">
        <f>SUM(F1653+F1654+F1655+F1656+F1657+F1658+F1659+F1660)</f>
        <v>197879.7</v>
      </c>
      <c r="G1652" s="117">
        <f>SUM(G1653+G1654+G1655+G1656+G1657+G1658+G1659+G1660)</f>
        <v>150479.70000000001</v>
      </c>
      <c r="H1652" s="117">
        <f t="shared" ref="H1652:J1652" si="174">SUM(H1653+H1654+H1655+H1656+H1657+H1658+H1659+H1660)</f>
        <v>150979.70000000001</v>
      </c>
      <c r="I1652" s="117">
        <f t="shared" si="174"/>
        <v>151112.20000000001</v>
      </c>
      <c r="J1652" s="117">
        <f t="shared" si="174"/>
        <v>151408.70000000001</v>
      </c>
      <c r="K1652" s="499" t="s">
        <v>2363</v>
      </c>
      <c r="L1652" s="604" t="s">
        <v>14</v>
      </c>
      <c r="M1652" s="549">
        <v>100</v>
      </c>
      <c r="N1652" s="549">
        <v>100</v>
      </c>
      <c r="O1652" s="549">
        <v>100</v>
      </c>
      <c r="P1652" s="549">
        <v>100</v>
      </c>
      <c r="Q1652" s="549">
        <v>100</v>
      </c>
    </row>
    <row r="1653" spans="2:17" x14ac:dyDescent="0.25">
      <c r="B1653" s="1151"/>
      <c r="C1653" s="629">
        <v>1</v>
      </c>
      <c r="D1653" s="445"/>
      <c r="E1653" s="719" t="s">
        <v>140</v>
      </c>
      <c r="F1653" s="443">
        <v>600</v>
      </c>
      <c r="G1653" s="443"/>
      <c r="H1653" s="443"/>
      <c r="I1653" s="443"/>
      <c r="J1653" s="443"/>
      <c r="K1653" s="499"/>
      <c r="L1653" s="512" t="s">
        <v>15</v>
      </c>
      <c r="M1653" s="512">
        <v>18</v>
      </c>
      <c r="N1653" s="512">
        <v>19</v>
      </c>
      <c r="O1653" s="512">
        <v>20</v>
      </c>
      <c r="P1653" s="512">
        <v>22</v>
      </c>
      <c r="Q1653" s="512">
        <v>22</v>
      </c>
    </row>
    <row r="1654" spans="2:17" ht="30" x14ac:dyDescent="0.25">
      <c r="B1654" s="1151"/>
      <c r="C1654" s="1152">
        <v>2</v>
      </c>
      <c r="D1654" s="445"/>
      <c r="E1654" s="1190" t="s">
        <v>2419</v>
      </c>
      <c r="F1654" s="443">
        <v>600</v>
      </c>
      <c r="G1654" s="443"/>
      <c r="H1654" s="443">
        <v>128553.60000000001</v>
      </c>
      <c r="I1654" s="443">
        <f>128553.6+132.4</f>
        <v>128686</v>
      </c>
      <c r="J1654" s="443">
        <f>128686+300.3</f>
        <v>128986.3</v>
      </c>
      <c r="K1654" s="628" t="s">
        <v>834</v>
      </c>
      <c r="L1654" s="512" t="s">
        <v>14</v>
      </c>
      <c r="M1654" s="512">
        <v>97</v>
      </c>
      <c r="N1654" s="512">
        <v>98</v>
      </c>
      <c r="O1654" s="512">
        <v>99</v>
      </c>
      <c r="P1654" s="512">
        <v>99</v>
      </c>
      <c r="Q1654" s="512">
        <v>100</v>
      </c>
    </row>
    <row r="1655" spans="2:17" ht="30" x14ac:dyDescent="0.25">
      <c r="B1655" s="1151"/>
      <c r="C1655" s="1152">
        <v>3</v>
      </c>
      <c r="D1655" s="445"/>
      <c r="E1655" s="527" t="s">
        <v>262</v>
      </c>
      <c r="F1655" s="443">
        <v>500</v>
      </c>
      <c r="G1655" s="443"/>
      <c r="H1655" s="443"/>
      <c r="I1655" s="443"/>
      <c r="J1655" s="443"/>
      <c r="K1655" s="628" t="s">
        <v>2522</v>
      </c>
      <c r="L1655" s="512" t="s">
        <v>14</v>
      </c>
      <c r="M1655" s="512">
        <v>90</v>
      </c>
      <c r="N1655" s="512">
        <v>90</v>
      </c>
      <c r="O1655" s="512">
        <v>90</v>
      </c>
      <c r="P1655" s="512">
        <v>92</v>
      </c>
      <c r="Q1655" s="512">
        <v>92</v>
      </c>
    </row>
    <row r="1656" spans="2:17" ht="30" x14ac:dyDescent="0.25">
      <c r="B1656" s="1151"/>
      <c r="C1656" s="1152">
        <v>4</v>
      </c>
      <c r="D1656" s="445"/>
      <c r="E1656" s="527" t="s">
        <v>241</v>
      </c>
      <c r="F1656" s="443">
        <v>350</v>
      </c>
      <c r="G1656" s="443"/>
      <c r="H1656" s="443"/>
      <c r="I1656" s="443"/>
      <c r="J1656" s="443"/>
      <c r="K1656" s="628" t="s">
        <v>2435</v>
      </c>
      <c r="L1656" s="512" t="s">
        <v>2153</v>
      </c>
      <c r="M1656" s="512">
        <v>10</v>
      </c>
      <c r="N1656" s="512">
        <v>10</v>
      </c>
      <c r="O1656" s="512">
        <v>10</v>
      </c>
      <c r="P1656" s="512">
        <v>10</v>
      </c>
      <c r="Q1656" s="512">
        <v>10</v>
      </c>
    </row>
    <row r="1657" spans="2:17" ht="45" x14ac:dyDescent="0.25">
      <c r="B1657" s="1151"/>
      <c r="C1657" s="1152">
        <v>5</v>
      </c>
      <c r="D1657" s="445"/>
      <c r="E1657" s="1145" t="s">
        <v>1964</v>
      </c>
      <c r="F1657" s="443">
        <v>750</v>
      </c>
      <c r="G1657" s="443"/>
      <c r="H1657" s="443"/>
      <c r="I1657" s="443"/>
      <c r="J1657" s="443"/>
      <c r="K1657" s="628" t="s">
        <v>2523</v>
      </c>
      <c r="L1657" s="512" t="s">
        <v>1073</v>
      </c>
      <c r="M1657" s="512">
        <v>2</v>
      </c>
      <c r="N1657" s="512">
        <v>4</v>
      </c>
      <c r="O1657" s="512">
        <v>5</v>
      </c>
      <c r="P1657" s="512">
        <v>6</v>
      </c>
      <c r="Q1657" s="512">
        <v>8</v>
      </c>
    </row>
    <row r="1658" spans="2:17" ht="45" x14ac:dyDescent="0.25">
      <c r="B1658" s="1151"/>
      <c r="C1658" s="637">
        <v>6</v>
      </c>
      <c r="D1658" s="445"/>
      <c r="E1658" s="1192" t="s">
        <v>2524</v>
      </c>
      <c r="F1658" s="443">
        <v>194901.7</v>
      </c>
      <c r="G1658" s="443">
        <v>150479.70000000001</v>
      </c>
      <c r="H1658" s="443">
        <v>22426.1</v>
      </c>
      <c r="I1658" s="443">
        <f>22426.1+0.1</f>
        <v>22426.199999999997</v>
      </c>
      <c r="J1658" s="443">
        <f>22426.1-3.7</f>
        <v>22422.399999999998</v>
      </c>
      <c r="K1658" s="628" t="s">
        <v>1786</v>
      </c>
      <c r="L1658" s="512" t="s">
        <v>14</v>
      </c>
      <c r="M1658" s="512">
        <v>1.3</v>
      </c>
      <c r="N1658" s="512">
        <v>1.3</v>
      </c>
      <c r="O1658" s="512">
        <v>1.3</v>
      </c>
      <c r="P1658" s="512">
        <v>1.3</v>
      </c>
      <c r="Q1658" s="512">
        <v>1.3</v>
      </c>
    </row>
    <row r="1659" spans="2:17" ht="30" x14ac:dyDescent="0.25">
      <c r="B1659" s="1151"/>
      <c r="C1659" s="637">
        <v>7</v>
      </c>
      <c r="D1659" s="445"/>
      <c r="E1659" s="823" t="s">
        <v>2525</v>
      </c>
      <c r="F1659" s="443">
        <v>178</v>
      </c>
      <c r="G1659" s="443"/>
      <c r="H1659" s="443"/>
      <c r="I1659" s="443"/>
      <c r="J1659" s="443"/>
      <c r="K1659" s="576"/>
      <c r="L1659" s="512"/>
      <c r="M1659" s="119"/>
      <c r="N1659" s="119"/>
      <c r="O1659" s="119"/>
      <c r="P1659" s="119"/>
      <c r="Q1659" s="119"/>
    </row>
    <row r="1660" spans="2:17" x14ac:dyDescent="0.25">
      <c r="B1660" s="1151"/>
      <c r="C1660" s="637">
        <v>8</v>
      </c>
      <c r="D1660" s="445"/>
      <c r="E1660" s="22" t="s">
        <v>2526</v>
      </c>
      <c r="F1660" s="448"/>
      <c r="G1660" s="443"/>
      <c r="H1660" s="443"/>
      <c r="I1660" s="443"/>
      <c r="J1660" s="443"/>
      <c r="K1660" s="576"/>
      <c r="L1660" s="512"/>
      <c r="M1660" s="119"/>
      <c r="N1660" s="119"/>
      <c r="O1660" s="119"/>
      <c r="P1660" s="119"/>
      <c r="Q1660" s="119"/>
    </row>
    <row r="1661" spans="2:17" ht="63.75" customHeight="1" x14ac:dyDescent="0.25">
      <c r="B1661" s="1792" t="s">
        <v>91</v>
      </c>
      <c r="C1661" s="1782"/>
      <c r="D1661" s="1784"/>
      <c r="E1661" s="1800" t="s">
        <v>2532</v>
      </c>
      <c r="F1661" s="1798">
        <f>F1663</f>
        <v>4100</v>
      </c>
      <c r="G1661" s="1798">
        <f t="shared" ref="G1661:J1661" si="175">G1663</f>
        <v>800</v>
      </c>
      <c r="H1661" s="1798">
        <f t="shared" si="175"/>
        <v>500</v>
      </c>
      <c r="I1661" s="1798">
        <f t="shared" si="175"/>
        <v>500</v>
      </c>
      <c r="J1661" s="1798">
        <f t="shared" si="175"/>
        <v>500</v>
      </c>
      <c r="K1661" s="589" t="s">
        <v>2533</v>
      </c>
      <c r="L1661" s="512" t="s">
        <v>14</v>
      </c>
      <c r="M1661" s="512">
        <v>85</v>
      </c>
      <c r="N1661" s="125">
        <v>85</v>
      </c>
      <c r="O1661" s="125">
        <v>87</v>
      </c>
      <c r="P1661" s="125">
        <v>88</v>
      </c>
      <c r="Q1661" s="125">
        <v>88</v>
      </c>
    </row>
    <row r="1662" spans="2:17" ht="45" x14ac:dyDescent="0.25">
      <c r="B1662" s="1793"/>
      <c r="C1662" s="1794"/>
      <c r="D1662" s="1795"/>
      <c r="E1662" s="1800"/>
      <c r="F1662" s="1798"/>
      <c r="G1662" s="1798"/>
      <c r="H1662" s="1798"/>
      <c r="I1662" s="1798"/>
      <c r="J1662" s="1798"/>
      <c r="K1662" s="589" t="s">
        <v>2534</v>
      </c>
      <c r="L1662" s="512" t="s">
        <v>14</v>
      </c>
      <c r="M1662" s="512">
        <v>75</v>
      </c>
      <c r="N1662" s="125">
        <v>77</v>
      </c>
      <c r="O1662" s="125">
        <v>78</v>
      </c>
      <c r="P1662" s="125">
        <v>80</v>
      </c>
      <c r="Q1662" s="125">
        <v>80</v>
      </c>
    </row>
    <row r="1663" spans="2:17" ht="45" x14ac:dyDescent="0.25">
      <c r="B1663" s="1780"/>
      <c r="C1663" s="1782" t="s">
        <v>2</v>
      </c>
      <c r="D1663" s="1784"/>
      <c r="E1663" s="1669" t="s">
        <v>2535</v>
      </c>
      <c r="F1663" s="1788">
        <v>4100</v>
      </c>
      <c r="G1663" s="1790">
        <v>800</v>
      </c>
      <c r="H1663" s="1790">
        <v>500</v>
      </c>
      <c r="I1663" s="1790">
        <v>500</v>
      </c>
      <c r="J1663" s="1788">
        <v>500</v>
      </c>
      <c r="K1663" s="589" t="s">
        <v>2536</v>
      </c>
      <c r="L1663" s="512" t="s">
        <v>14</v>
      </c>
      <c r="M1663" s="512">
        <v>20</v>
      </c>
      <c r="N1663" s="1136">
        <v>21</v>
      </c>
      <c r="O1663" s="1136">
        <v>22</v>
      </c>
      <c r="P1663" s="1136">
        <v>23</v>
      </c>
      <c r="Q1663" s="1136">
        <v>23</v>
      </c>
    </row>
    <row r="1664" spans="2:17" ht="30" x14ac:dyDescent="0.25">
      <c r="B1664" s="1799"/>
      <c r="C1664" s="1794"/>
      <c r="D1664" s="1795"/>
      <c r="E1664" s="1669"/>
      <c r="F1664" s="1789"/>
      <c r="G1664" s="1790"/>
      <c r="H1664" s="1790"/>
      <c r="I1664" s="1790"/>
      <c r="J1664" s="1789"/>
      <c r="K1664" s="589" t="s">
        <v>2537</v>
      </c>
      <c r="L1664" s="512" t="s">
        <v>979</v>
      </c>
      <c r="M1664" s="512">
        <v>7</v>
      </c>
      <c r="N1664" s="1136">
        <v>7</v>
      </c>
      <c r="O1664" s="1136">
        <v>8</v>
      </c>
      <c r="P1664" s="1136">
        <v>9</v>
      </c>
      <c r="Q1664" s="1136">
        <v>9</v>
      </c>
    </row>
    <row r="1665" spans="2:17" x14ac:dyDescent="0.25">
      <c r="B1665" s="1792" t="s">
        <v>98</v>
      </c>
      <c r="C1665" s="1782"/>
      <c r="D1665" s="1784"/>
      <c r="E1665" s="1796" t="s">
        <v>2538</v>
      </c>
      <c r="F1665" s="1798">
        <f>F1667</f>
        <v>0</v>
      </c>
      <c r="G1665" s="1798">
        <f t="shared" ref="G1665:J1665" si="176">G1667</f>
        <v>700</v>
      </c>
      <c r="H1665" s="1798">
        <f t="shared" si="176"/>
        <v>500</v>
      </c>
      <c r="I1665" s="1798">
        <f t="shared" si="176"/>
        <v>500</v>
      </c>
      <c r="J1665" s="1798">
        <f t="shared" si="176"/>
        <v>500</v>
      </c>
      <c r="K1665" s="1777" t="s">
        <v>2539</v>
      </c>
      <c r="L1665" s="1778" t="s">
        <v>14</v>
      </c>
      <c r="M1665" s="1778">
        <v>77</v>
      </c>
      <c r="N1665" s="1779">
        <v>78</v>
      </c>
      <c r="O1665" s="1779">
        <v>79</v>
      </c>
      <c r="P1665" s="1779">
        <v>80</v>
      </c>
      <c r="Q1665" s="1779">
        <v>80</v>
      </c>
    </row>
    <row r="1666" spans="2:17" ht="50.25" customHeight="1" x14ac:dyDescent="0.25">
      <c r="B1666" s="1793"/>
      <c r="C1666" s="1794"/>
      <c r="D1666" s="1795"/>
      <c r="E1666" s="1797"/>
      <c r="F1666" s="1798"/>
      <c r="G1666" s="1798"/>
      <c r="H1666" s="1798"/>
      <c r="I1666" s="1798"/>
      <c r="J1666" s="1798"/>
      <c r="K1666" s="1777"/>
      <c r="L1666" s="1778"/>
      <c r="M1666" s="1778"/>
      <c r="N1666" s="1779"/>
      <c r="O1666" s="1779"/>
      <c r="P1666" s="1779"/>
      <c r="Q1666" s="1779"/>
    </row>
    <row r="1667" spans="2:17" x14ac:dyDescent="0.25">
      <c r="B1667" s="1780"/>
      <c r="C1667" s="1782" t="s">
        <v>2</v>
      </c>
      <c r="D1667" s="1784"/>
      <c r="E1667" s="1786" t="s">
        <v>2538</v>
      </c>
      <c r="F1667" s="1788"/>
      <c r="G1667" s="1790">
        <v>700</v>
      </c>
      <c r="H1667" s="1790">
        <v>500</v>
      </c>
      <c r="I1667" s="1790">
        <v>500</v>
      </c>
      <c r="J1667" s="1788">
        <v>500</v>
      </c>
      <c r="K1667" s="1778"/>
      <c r="L1667" s="1778"/>
      <c r="M1667" s="1778"/>
      <c r="N1667" s="1779"/>
      <c r="O1667" s="1779"/>
      <c r="P1667" s="1779"/>
      <c r="Q1667" s="1779"/>
    </row>
    <row r="1668" spans="2:17" x14ac:dyDescent="0.25">
      <c r="B1668" s="1781"/>
      <c r="C1668" s="1783"/>
      <c r="D1668" s="1785"/>
      <c r="E1668" s="1787"/>
      <c r="F1668" s="1789"/>
      <c r="G1668" s="1788"/>
      <c r="H1668" s="1788"/>
      <c r="I1668" s="1788"/>
      <c r="J1668" s="1791"/>
      <c r="K1668" s="1778"/>
      <c r="L1668" s="1778"/>
      <c r="M1668" s="1778"/>
      <c r="N1668" s="1779"/>
      <c r="O1668" s="1779"/>
      <c r="P1668" s="1779"/>
      <c r="Q1668" s="1779"/>
    </row>
    <row r="1669" spans="2:17" x14ac:dyDescent="0.25">
      <c r="B1669" s="1564" t="s">
        <v>291</v>
      </c>
      <c r="C1669" s="1564"/>
      <c r="D1669" s="1564"/>
      <c r="E1669" s="1564"/>
      <c r="F1669" s="207">
        <f>SUM(F1652+F1661+F1665)</f>
        <v>201979.7</v>
      </c>
      <c r="G1669" s="207">
        <f>SUM(G1652+G1661+G1665)</f>
        <v>151979.70000000001</v>
      </c>
      <c r="H1669" s="207">
        <f>SUM(H1652+H1661+H1665)</f>
        <v>151979.70000000001</v>
      </c>
      <c r="I1669" s="207">
        <f>SUM(I1652+I1661+I1665)</f>
        <v>152112.20000000001</v>
      </c>
      <c r="J1669" s="207">
        <f>SUM(J1652+J1661+J1665)</f>
        <v>152408.70000000001</v>
      </c>
      <c r="K1669" s="133"/>
      <c r="L1669" s="1771"/>
      <c r="M1669" s="1771"/>
      <c r="N1669" s="1771"/>
      <c r="O1669" s="1771"/>
      <c r="P1669" s="1771"/>
      <c r="Q1669" s="1771"/>
    </row>
    <row r="1670" spans="2:17" x14ac:dyDescent="0.25">
      <c r="B1670" s="1573" t="s">
        <v>2556</v>
      </c>
      <c r="C1670" s="1573"/>
      <c r="D1670" s="1573"/>
      <c r="E1670" s="1573"/>
      <c r="F1670" s="1573"/>
      <c r="G1670" s="1573"/>
      <c r="H1670" s="1573"/>
      <c r="I1670" s="1573"/>
      <c r="J1670" s="1573"/>
      <c r="K1670" s="1573"/>
      <c r="L1670" s="1573"/>
      <c r="M1670" s="1573"/>
      <c r="N1670" s="1573"/>
      <c r="O1670" s="1573"/>
      <c r="P1670" s="1573"/>
      <c r="Q1670" s="1573"/>
    </row>
    <row r="1671" spans="2:17" ht="74.25" x14ac:dyDescent="0.25">
      <c r="B1671" s="580" t="s">
        <v>102</v>
      </c>
      <c r="C1671" s="875"/>
      <c r="D1671" s="875"/>
      <c r="E1671" s="477" t="s">
        <v>2432</v>
      </c>
      <c r="F1671" s="1206">
        <f>F1672+F1673+F1674+F1675+F1676+F1677</f>
        <v>32245.4</v>
      </c>
      <c r="G1671" s="1206">
        <f>G1672+G1673+G1674+G1675+G1676+G1677</f>
        <v>31542.7</v>
      </c>
      <c r="H1671" s="1206">
        <f>H1672+H1673+H1674+H1675+H1676+H1677</f>
        <v>31542.7</v>
      </c>
      <c r="I1671" s="1206">
        <f>I1672+I1673+I1674+I1675+I1676+I1677</f>
        <v>33463.5</v>
      </c>
      <c r="J1671" s="1206">
        <f>J1672+J1673+J1674+J1675+J1676+J1677</f>
        <v>36467.425999999999</v>
      </c>
      <c r="K1671" s="1642" t="s">
        <v>2363</v>
      </c>
      <c r="L1671" s="1206" t="s">
        <v>14</v>
      </c>
      <c r="M1671" s="1206">
        <v>4.5</v>
      </c>
      <c r="N1671" s="1206">
        <v>4.5</v>
      </c>
      <c r="O1671" s="1206">
        <v>4.5</v>
      </c>
      <c r="P1671" s="1206">
        <v>4.5</v>
      </c>
      <c r="Q1671" s="1180">
        <v>4.5</v>
      </c>
    </row>
    <row r="1672" spans="2:17" x14ac:dyDescent="0.25">
      <c r="B1672" s="1207"/>
      <c r="C1672" s="1207" t="s">
        <v>2</v>
      </c>
      <c r="D1672" s="875"/>
      <c r="E1672" s="719" t="s">
        <v>140</v>
      </c>
      <c r="F1672" s="729">
        <v>9825.1</v>
      </c>
      <c r="G1672" s="1208">
        <v>9087.7000000000007</v>
      </c>
      <c r="H1672" s="1208">
        <f>G1672</f>
        <v>9087.7000000000007</v>
      </c>
      <c r="I1672" s="1208">
        <v>9641.1</v>
      </c>
      <c r="J1672" s="1208">
        <f>I1672*3%+I1672</f>
        <v>9930.3330000000005</v>
      </c>
      <c r="K1672" s="1642"/>
      <c r="L1672" s="875" t="s">
        <v>14</v>
      </c>
      <c r="M1672" s="875">
        <v>56</v>
      </c>
      <c r="N1672" s="875">
        <v>60</v>
      </c>
      <c r="O1672" s="875">
        <v>60</v>
      </c>
      <c r="P1672" s="875">
        <v>63</v>
      </c>
      <c r="Q1672" s="1180">
        <v>64</v>
      </c>
    </row>
    <row r="1673" spans="2:17" ht="30" x14ac:dyDescent="0.25">
      <c r="B1673" s="1207"/>
      <c r="C1673" s="1207" t="s">
        <v>3</v>
      </c>
      <c r="D1673" s="875"/>
      <c r="E1673" s="1190" t="s">
        <v>2419</v>
      </c>
      <c r="F1673" s="729">
        <v>3405.8</v>
      </c>
      <c r="G1673" s="1208">
        <v>3456.9</v>
      </c>
      <c r="H1673" s="1208">
        <f t="shared" ref="H1673:H1677" si="177">G1673</f>
        <v>3456.9</v>
      </c>
      <c r="I1673" s="1208">
        <v>3667.4</v>
      </c>
      <c r="J1673" s="1208">
        <f t="shared" ref="J1673:J1676" si="178">I1673*3%+I1673</f>
        <v>3777.422</v>
      </c>
      <c r="K1673" s="628" t="s">
        <v>834</v>
      </c>
      <c r="L1673" s="875" t="s">
        <v>14</v>
      </c>
      <c r="M1673" s="875">
        <v>100</v>
      </c>
      <c r="N1673" s="875">
        <v>100</v>
      </c>
      <c r="O1673" s="875">
        <v>100</v>
      </c>
      <c r="P1673" s="875">
        <v>100</v>
      </c>
      <c r="Q1673" s="1180">
        <v>100</v>
      </c>
    </row>
    <row r="1674" spans="2:17" ht="30" x14ac:dyDescent="0.25">
      <c r="B1674" s="1207"/>
      <c r="C1674" s="1207" t="s">
        <v>4</v>
      </c>
      <c r="D1674" s="875"/>
      <c r="E1674" s="527" t="s">
        <v>262</v>
      </c>
      <c r="F1674" s="729">
        <v>2772.4</v>
      </c>
      <c r="G1674" s="1208">
        <v>2814</v>
      </c>
      <c r="H1674" s="1208">
        <f t="shared" si="177"/>
        <v>2814</v>
      </c>
      <c r="I1674" s="1208">
        <v>2985.3</v>
      </c>
      <c r="J1674" s="1208">
        <f t="shared" si="178"/>
        <v>3074.8590000000004</v>
      </c>
      <c r="K1674" s="628" t="s">
        <v>2522</v>
      </c>
      <c r="L1674" s="875" t="s">
        <v>14</v>
      </c>
      <c r="M1674" s="875">
        <v>50</v>
      </c>
      <c r="N1674" s="875">
        <v>55</v>
      </c>
      <c r="O1674" s="875">
        <v>55</v>
      </c>
      <c r="P1674" s="875">
        <v>65</v>
      </c>
      <c r="Q1674" s="1180">
        <v>70</v>
      </c>
    </row>
    <row r="1675" spans="2:17" ht="30" x14ac:dyDescent="0.25">
      <c r="B1675" s="1207"/>
      <c r="C1675" s="1207" t="s">
        <v>5</v>
      </c>
      <c r="D1675" s="875"/>
      <c r="E1675" s="527" t="s">
        <v>241</v>
      </c>
      <c r="F1675" s="1209">
        <v>2271.1</v>
      </c>
      <c r="G1675" s="1208">
        <v>2305.1999999999998</v>
      </c>
      <c r="H1675" s="1208">
        <f t="shared" si="177"/>
        <v>2305.1999999999998</v>
      </c>
      <c r="I1675" s="1208">
        <v>2445.5</v>
      </c>
      <c r="J1675" s="1208">
        <f t="shared" si="178"/>
        <v>2518.8649999999998</v>
      </c>
      <c r="K1675" s="628" t="s">
        <v>2435</v>
      </c>
      <c r="L1675" s="875" t="s">
        <v>2153</v>
      </c>
      <c r="M1675" s="875">
        <v>60</v>
      </c>
      <c r="N1675" s="875">
        <v>65</v>
      </c>
      <c r="O1675" s="875">
        <v>65</v>
      </c>
      <c r="P1675" s="875">
        <v>70</v>
      </c>
      <c r="Q1675" s="1180">
        <v>70</v>
      </c>
    </row>
    <row r="1676" spans="2:17" ht="45" x14ac:dyDescent="0.25">
      <c r="B1676" s="1207"/>
      <c r="C1676" s="1207" t="s">
        <v>49</v>
      </c>
      <c r="D1676" s="875"/>
      <c r="E1676" s="527" t="s">
        <v>2557</v>
      </c>
      <c r="F1676" s="1209">
        <v>4202.1000000000004</v>
      </c>
      <c r="G1676" s="1208">
        <v>4265.1000000000004</v>
      </c>
      <c r="H1676" s="1208">
        <f t="shared" si="177"/>
        <v>4265.1000000000004</v>
      </c>
      <c r="I1676" s="1208">
        <v>4524.8999999999996</v>
      </c>
      <c r="J1676" s="1208">
        <f t="shared" si="178"/>
        <v>4660.6469999999999</v>
      </c>
      <c r="K1676" s="628" t="s">
        <v>2523</v>
      </c>
      <c r="L1676" s="875" t="s">
        <v>1073</v>
      </c>
      <c r="M1676" s="875">
        <v>120</v>
      </c>
      <c r="N1676" s="875">
        <v>120</v>
      </c>
      <c r="O1676" s="875">
        <v>120</v>
      </c>
      <c r="P1676" s="875">
        <v>140</v>
      </c>
      <c r="Q1676" s="1180">
        <v>150</v>
      </c>
    </row>
    <row r="1677" spans="2:17" ht="45" x14ac:dyDescent="0.25">
      <c r="B1677" s="1207"/>
      <c r="C1677" s="1207" t="s">
        <v>50</v>
      </c>
      <c r="D1677" s="875"/>
      <c r="E1677" s="1192" t="s">
        <v>2466</v>
      </c>
      <c r="F1677" s="1209">
        <v>9768.9</v>
      </c>
      <c r="G1677" s="1208">
        <v>9613.7999999999993</v>
      </c>
      <c r="H1677" s="1208">
        <f t="shared" si="177"/>
        <v>9613.7999999999993</v>
      </c>
      <c r="I1677" s="1208">
        <v>10199.299999999999</v>
      </c>
      <c r="J1677" s="1208">
        <v>12505.3</v>
      </c>
      <c r="K1677" s="628" t="s">
        <v>1786</v>
      </c>
      <c r="L1677" s="875" t="s">
        <v>14</v>
      </c>
      <c r="M1677" s="875">
        <v>27</v>
      </c>
      <c r="N1677" s="875">
        <v>27</v>
      </c>
      <c r="O1677" s="875">
        <v>27</v>
      </c>
      <c r="P1677" s="875">
        <v>27</v>
      </c>
      <c r="Q1677" s="1180">
        <v>27</v>
      </c>
    </row>
    <row r="1678" spans="2:17" ht="133.5" x14ac:dyDescent="0.25">
      <c r="B1678" s="580" t="s">
        <v>91</v>
      </c>
      <c r="C1678" s="581"/>
      <c r="D1678" s="581"/>
      <c r="E1678" s="1210" t="s">
        <v>2558</v>
      </c>
      <c r="F1678" s="1211">
        <f t="shared" ref="F1678" si="179">SUM(F1679:F1685)</f>
        <v>669153.39999999991</v>
      </c>
      <c r="G1678" s="1211">
        <f>SUM(G1679:G1685)</f>
        <v>541944.1</v>
      </c>
      <c r="H1678" s="420">
        <f>H1679+H1681+H1683+H1684</f>
        <v>541944.1</v>
      </c>
      <c r="I1678" s="420">
        <f>I1679+I1681+I1683+I1684</f>
        <v>543712.69999999995</v>
      </c>
      <c r="J1678" s="420">
        <f>J1679+J1681+J1683+J1684</f>
        <v>515061.09499999997</v>
      </c>
      <c r="K1678" s="1212" t="s">
        <v>2559</v>
      </c>
      <c r="L1678" s="581" t="s">
        <v>14</v>
      </c>
      <c r="M1678" s="581">
        <v>65</v>
      </c>
      <c r="N1678" s="581">
        <v>70</v>
      </c>
      <c r="O1678" s="581">
        <v>70</v>
      </c>
      <c r="P1678" s="581">
        <v>80</v>
      </c>
      <c r="Q1678" s="1213">
        <v>85</v>
      </c>
    </row>
    <row r="1679" spans="2:17" x14ac:dyDescent="0.25">
      <c r="B1679" s="1644"/>
      <c r="C1679" s="1644" t="s">
        <v>2</v>
      </c>
      <c r="D1679" s="1646"/>
      <c r="E1679" s="1772" t="s">
        <v>2560</v>
      </c>
      <c r="F1679" s="1649">
        <v>223454.3</v>
      </c>
      <c r="G1679" s="1773">
        <v>214340</v>
      </c>
      <c r="H1679" s="1770">
        <f>G1679</f>
        <v>214340</v>
      </c>
      <c r="I1679" s="1773">
        <v>227393.3</v>
      </c>
      <c r="J1679" s="1770">
        <f>I1679*3%+I1679</f>
        <v>234215.09899999999</v>
      </c>
      <c r="K1679" s="1768" t="s">
        <v>2561</v>
      </c>
      <c r="L1679" s="875" t="s">
        <v>2562</v>
      </c>
      <c r="M1679" s="875">
        <v>180</v>
      </c>
      <c r="N1679" s="875">
        <v>200</v>
      </c>
      <c r="O1679" s="875">
        <v>200</v>
      </c>
      <c r="P1679" s="875">
        <v>240</v>
      </c>
      <c r="Q1679" s="1180">
        <v>260</v>
      </c>
    </row>
    <row r="1680" spans="2:17" x14ac:dyDescent="0.25">
      <c r="B1680" s="1644"/>
      <c r="C1680" s="1644"/>
      <c r="D1680" s="1646"/>
      <c r="E1680" s="1772"/>
      <c r="F1680" s="1650"/>
      <c r="G1680" s="1774"/>
      <c r="H1680" s="1770"/>
      <c r="I1680" s="1774"/>
      <c r="J1680" s="1770"/>
      <c r="K1680" s="1769"/>
      <c r="L1680" s="875"/>
      <c r="M1680" s="875"/>
      <c r="N1680" s="875"/>
      <c r="O1680" s="875"/>
      <c r="P1680" s="875"/>
      <c r="Q1680" s="1180"/>
    </row>
    <row r="1681" spans="2:17" ht="30" x14ac:dyDescent="0.25">
      <c r="B1681" s="1645"/>
      <c r="C1681" s="1647" t="s">
        <v>3</v>
      </c>
      <c r="D1681" s="1647"/>
      <c r="E1681" s="1768" t="s">
        <v>2563</v>
      </c>
      <c r="F1681" s="1649">
        <v>153400</v>
      </c>
      <c r="G1681" s="1649">
        <v>140550</v>
      </c>
      <c r="H1681" s="1770">
        <f>G1681</f>
        <v>140550</v>
      </c>
      <c r="I1681" s="1649">
        <v>117511.3</v>
      </c>
      <c r="J1681" s="1770">
        <f>189036.6-63328</f>
        <v>125708.6</v>
      </c>
      <c r="K1681" s="1214" t="s">
        <v>2564</v>
      </c>
      <c r="L1681" s="1215" t="s">
        <v>2565</v>
      </c>
      <c r="M1681" s="1215">
        <v>155</v>
      </c>
      <c r="N1681" s="1215">
        <v>150</v>
      </c>
      <c r="O1681" s="1215">
        <v>150</v>
      </c>
      <c r="P1681" s="1215">
        <v>120</v>
      </c>
      <c r="Q1681" s="1180">
        <v>120</v>
      </c>
    </row>
    <row r="1682" spans="2:17" x14ac:dyDescent="0.25">
      <c r="B1682" s="1766"/>
      <c r="C1682" s="1767"/>
      <c r="D1682" s="1767"/>
      <c r="E1682" s="1769"/>
      <c r="F1682" s="1650"/>
      <c r="G1682" s="1650"/>
      <c r="H1682" s="1770"/>
      <c r="I1682" s="1650"/>
      <c r="J1682" s="1770"/>
      <c r="K1682" s="1214" t="s">
        <v>2566</v>
      </c>
      <c r="L1682" s="1215" t="s">
        <v>2567</v>
      </c>
      <c r="M1682" s="1215">
        <v>22.3</v>
      </c>
      <c r="N1682" s="1215">
        <v>22.5</v>
      </c>
      <c r="O1682" s="1215">
        <v>22.5</v>
      </c>
      <c r="P1682" s="1215">
        <v>22.9</v>
      </c>
      <c r="Q1682" s="1180">
        <v>23.1</v>
      </c>
    </row>
    <row r="1683" spans="2:17" ht="45" x14ac:dyDescent="0.25">
      <c r="B1683" s="1216"/>
      <c r="C1683" s="1207" t="s">
        <v>4</v>
      </c>
      <c r="D1683" s="875"/>
      <c r="E1683" s="1217" t="s">
        <v>2568</v>
      </c>
      <c r="F1683" s="1209">
        <v>39111.300000000003</v>
      </c>
      <c r="G1683" s="1218">
        <v>39111.300000000003</v>
      </c>
      <c r="H1683" s="557">
        <f>G1683</f>
        <v>39111.300000000003</v>
      </c>
      <c r="I1683" s="557">
        <v>41493.199999999997</v>
      </c>
      <c r="J1683" s="557">
        <f>I1683*3%+I1683</f>
        <v>42737.995999999999</v>
      </c>
      <c r="K1683" s="108" t="s">
        <v>2569</v>
      </c>
      <c r="L1683" s="875" t="s">
        <v>1530</v>
      </c>
      <c r="M1683" s="875">
        <v>2127.1999999999998</v>
      </c>
      <c r="N1683" s="875">
        <v>2213.4</v>
      </c>
      <c r="O1683" s="875">
        <v>2213.4</v>
      </c>
      <c r="P1683" s="875">
        <v>2412.5</v>
      </c>
      <c r="Q1683" s="1180">
        <v>2509.9</v>
      </c>
    </row>
    <row r="1684" spans="2:17" ht="30" x14ac:dyDescent="0.25">
      <c r="B1684" s="1645"/>
      <c r="C1684" s="1645" t="s">
        <v>5</v>
      </c>
      <c r="D1684" s="1647"/>
      <c r="E1684" s="1768" t="s">
        <v>2570</v>
      </c>
      <c r="F1684" s="1649">
        <v>253187.8</v>
      </c>
      <c r="G1684" s="1775">
        <v>147942.79999999999</v>
      </c>
      <c r="H1684" s="1599">
        <f>G1684</f>
        <v>147942.79999999999</v>
      </c>
      <c r="I1684" s="1599">
        <v>157314.9</v>
      </c>
      <c r="J1684" s="1599">
        <f>212399.4-100000</f>
        <v>112399.4</v>
      </c>
      <c r="K1684" s="108" t="s">
        <v>2571</v>
      </c>
      <c r="L1684" s="875" t="s">
        <v>1073</v>
      </c>
      <c r="M1684" s="875">
        <v>3400</v>
      </c>
      <c r="N1684" s="875">
        <v>3500</v>
      </c>
      <c r="O1684" s="875">
        <v>3500</v>
      </c>
      <c r="P1684" s="875">
        <v>3700</v>
      </c>
      <c r="Q1684" s="875">
        <v>3800</v>
      </c>
    </row>
    <row r="1685" spans="2:17" ht="30" x14ac:dyDescent="0.25">
      <c r="B1685" s="1766"/>
      <c r="C1685" s="1766"/>
      <c r="D1685" s="1767"/>
      <c r="E1685" s="1769"/>
      <c r="F1685" s="1650"/>
      <c r="G1685" s="1776"/>
      <c r="H1685" s="1600"/>
      <c r="I1685" s="1600"/>
      <c r="J1685" s="1600"/>
      <c r="K1685" s="108" t="s">
        <v>2572</v>
      </c>
      <c r="L1685" s="875" t="s">
        <v>2573</v>
      </c>
      <c r="M1685" s="875">
        <v>45.4</v>
      </c>
      <c r="N1685" s="875">
        <v>45.6</v>
      </c>
      <c r="O1685" s="875">
        <v>45.6</v>
      </c>
      <c r="P1685" s="875">
        <v>46</v>
      </c>
      <c r="Q1685" s="875">
        <v>46.2</v>
      </c>
    </row>
    <row r="1686" spans="2:17" ht="103.5" x14ac:dyDescent="0.25">
      <c r="B1686" s="580" t="s">
        <v>98</v>
      </c>
      <c r="C1686" s="875"/>
      <c r="D1686" s="875"/>
      <c r="E1686" s="1210" t="s">
        <v>2574</v>
      </c>
      <c r="F1686" s="420">
        <f>F1687</f>
        <v>40951.1</v>
      </c>
      <c r="G1686" s="420">
        <f>G1687</f>
        <v>29656.6</v>
      </c>
      <c r="H1686" s="420">
        <f t="shared" ref="H1686:J1686" si="180">H1687</f>
        <v>29656.6</v>
      </c>
      <c r="I1686" s="420">
        <f>SUM(I1687)</f>
        <v>27089.800000000003</v>
      </c>
      <c r="J1686" s="420">
        <f t="shared" si="180"/>
        <v>54406.6</v>
      </c>
      <c r="K1686" s="1212" t="s">
        <v>2575</v>
      </c>
      <c r="L1686" s="581" t="s">
        <v>14</v>
      </c>
      <c r="M1686" s="581">
        <v>38</v>
      </c>
      <c r="N1686" s="581">
        <v>37</v>
      </c>
      <c r="O1686" s="581">
        <v>37</v>
      </c>
      <c r="P1686" s="581">
        <v>30</v>
      </c>
      <c r="Q1686" s="1180">
        <v>30</v>
      </c>
    </row>
    <row r="1687" spans="2:17" ht="45" x14ac:dyDescent="0.25">
      <c r="B1687" s="1644"/>
      <c r="C1687" s="1644" t="s">
        <v>2</v>
      </c>
      <c r="D1687" s="1646"/>
      <c r="E1687" s="1648" t="s">
        <v>2576</v>
      </c>
      <c r="F1687" s="1649">
        <v>40951.1</v>
      </c>
      <c r="G1687" s="1651">
        <v>29656.6</v>
      </c>
      <c r="H1687" s="1632">
        <f>G1687</f>
        <v>29656.6</v>
      </c>
      <c r="I1687" s="1649">
        <f>31462.7-4372.9</f>
        <v>27089.800000000003</v>
      </c>
      <c r="J1687" s="1632">
        <v>54406.6</v>
      </c>
      <c r="K1687" s="108" t="s">
        <v>2577</v>
      </c>
      <c r="L1687" s="875" t="s">
        <v>2578</v>
      </c>
      <c r="M1687" s="875">
        <v>19.399999999999999</v>
      </c>
      <c r="N1687" s="875">
        <v>19.600000000000001</v>
      </c>
      <c r="O1687" s="875">
        <v>19.600000000000001</v>
      </c>
      <c r="P1687" s="875">
        <v>19.600000000000001</v>
      </c>
      <c r="Q1687" s="1180">
        <v>19.600000000000001</v>
      </c>
    </row>
    <row r="1688" spans="2:17" ht="30" x14ac:dyDescent="0.25">
      <c r="B1688" s="1645"/>
      <c r="C1688" s="1645"/>
      <c r="D1688" s="1647"/>
      <c r="E1688" s="1648"/>
      <c r="F1688" s="1650"/>
      <c r="G1688" s="1652"/>
      <c r="H1688" s="1632"/>
      <c r="I1688" s="1650"/>
      <c r="J1688" s="1632"/>
      <c r="K1688" s="108" t="s">
        <v>2579</v>
      </c>
      <c r="L1688" s="875" t="s">
        <v>2580</v>
      </c>
      <c r="M1688" s="875">
        <v>177500</v>
      </c>
      <c r="N1688" s="1219">
        <v>177950</v>
      </c>
      <c r="O1688" s="1219">
        <v>177950</v>
      </c>
      <c r="P1688" s="1219">
        <v>178000</v>
      </c>
      <c r="Q1688" s="1180">
        <v>178000</v>
      </c>
    </row>
    <row r="1689" spans="2:17" x14ac:dyDescent="0.25">
      <c r="B1689" s="1566" t="s">
        <v>291</v>
      </c>
      <c r="C1689" s="1567"/>
      <c r="D1689" s="1567"/>
      <c r="E1689" s="1568"/>
      <c r="F1689" s="1220">
        <f>F1671+F1678+F1686</f>
        <v>742349.89999999991</v>
      </c>
      <c r="G1689" s="1220">
        <f>G1671+G1678+G1686</f>
        <v>603143.39999999991</v>
      </c>
      <c r="H1689" s="1220">
        <f t="shared" ref="H1689:J1689" si="181">H1671+H1678+H1686</f>
        <v>603143.39999999991</v>
      </c>
      <c r="I1689" s="1220">
        <f t="shared" si="181"/>
        <v>604266</v>
      </c>
      <c r="J1689" s="1220">
        <f t="shared" si="181"/>
        <v>605935.12099999993</v>
      </c>
      <c r="K1689" s="98"/>
      <c r="L1689" s="1633"/>
      <c r="M1689" s="1634"/>
      <c r="N1689" s="1634"/>
      <c r="O1689" s="1634"/>
      <c r="P1689" s="1634"/>
      <c r="Q1689" s="1635"/>
    </row>
    <row r="1690" spans="2:17" x14ac:dyDescent="0.25">
      <c r="B1690" s="1636" t="s">
        <v>2581</v>
      </c>
      <c r="C1690" s="1637"/>
      <c r="D1690" s="1637"/>
      <c r="E1690" s="1637"/>
      <c r="F1690" s="1637"/>
      <c r="G1690" s="1637"/>
      <c r="H1690" s="1637"/>
      <c r="I1690" s="1637"/>
      <c r="J1690" s="1638"/>
      <c r="K1690" s="1221"/>
      <c r="L1690" s="1222"/>
      <c r="M1690" s="1223"/>
      <c r="N1690" s="1223"/>
      <c r="O1690" s="1223"/>
      <c r="P1690" s="1223"/>
      <c r="Q1690" s="1223"/>
    </row>
    <row r="1691" spans="2:17" ht="57" x14ac:dyDescent="0.25">
      <c r="B1691" s="657" t="s">
        <v>102</v>
      </c>
      <c r="C1691" s="76"/>
      <c r="D1691" s="76"/>
      <c r="E1691" s="582" t="s">
        <v>2417</v>
      </c>
      <c r="F1691" s="59">
        <f>F1692</f>
        <v>37241.199999999997</v>
      </c>
      <c r="G1691" s="59">
        <f t="shared" ref="G1691:J1691" si="182">G1692</f>
        <v>43021</v>
      </c>
      <c r="H1691" s="59">
        <f t="shared" si="182"/>
        <v>53320.3</v>
      </c>
      <c r="I1691" s="59">
        <f t="shared" si="182"/>
        <v>53377.7</v>
      </c>
      <c r="J1691" s="59">
        <f t="shared" si="182"/>
        <v>53539.6</v>
      </c>
      <c r="K1691" s="577" t="s">
        <v>2582</v>
      </c>
      <c r="L1691" s="530"/>
      <c r="M1691" s="1224"/>
      <c r="N1691" s="443"/>
      <c r="O1691" s="443"/>
      <c r="P1691" s="443"/>
      <c r="Q1691" s="443"/>
    </row>
    <row r="1692" spans="2:17" ht="105" x14ac:dyDescent="0.25">
      <c r="B1692" s="125"/>
      <c r="C1692" s="515" t="s">
        <v>2</v>
      </c>
      <c r="D1692" s="76"/>
      <c r="E1692" s="565" t="s">
        <v>2583</v>
      </c>
      <c r="F1692" s="60">
        <v>37241.199999999997</v>
      </c>
      <c r="G1692" s="60">
        <v>43021</v>
      </c>
      <c r="H1692" s="1225">
        <v>53320.3</v>
      </c>
      <c r="I1692" s="1225">
        <v>53377.7</v>
      </c>
      <c r="J1692" s="1225">
        <v>53539.6</v>
      </c>
      <c r="K1692" s="823" t="s">
        <v>784</v>
      </c>
      <c r="L1692" s="26"/>
      <c r="M1692" s="1224"/>
      <c r="N1692" s="443"/>
      <c r="O1692" s="443"/>
      <c r="P1692" s="443"/>
      <c r="Q1692" s="443"/>
    </row>
    <row r="1693" spans="2:17" ht="102.75" x14ac:dyDescent="0.25">
      <c r="B1693" s="657" t="s">
        <v>91</v>
      </c>
      <c r="C1693" s="76"/>
      <c r="D1693" s="76"/>
      <c r="E1693" s="157" t="s">
        <v>2584</v>
      </c>
      <c r="F1693" s="59">
        <f>F1694+F1695+F1696+F1697+F1698+F1699+F1700+F1701+F1702</f>
        <v>595220.4</v>
      </c>
      <c r="G1693" s="59">
        <f t="shared" ref="G1693:J1693" si="183">G1694+G1695+G1696+G1697+G1698+G1699+G1700+G1701+G1702</f>
        <v>615271.20000000007</v>
      </c>
      <c r="H1693" s="59">
        <f t="shared" si="183"/>
        <v>39487</v>
      </c>
      <c r="I1693" s="59">
        <f t="shared" si="183"/>
        <v>39526.486999999994</v>
      </c>
      <c r="J1693" s="59">
        <f t="shared" si="183"/>
        <v>39605.539973999992</v>
      </c>
      <c r="K1693" s="280" t="s">
        <v>2585</v>
      </c>
      <c r="L1693" s="1226"/>
      <c r="M1693" s="126"/>
      <c r="N1693" s="126"/>
      <c r="O1693" s="1227"/>
      <c r="P1693" s="1227"/>
      <c r="Q1693" s="1227"/>
    </row>
    <row r="1694" spans="2:17" ht="75" x14ac:dyDescent="0.25">
      <c r="B1694" s="125"/>
      <c r="C1694" s="515" t="s">
        <v>2</v>
      </c>
      <c r="D1694" s="76"/>
      <c r="E1694" s="628" t="s">
        <v>2586</v>
      </c>
      <c r="F1694" s="443">
        <v>0</v>
      </c>
      <c r="G1694" s="443">
        <v>0</v>
      </c>
      <c r="H1694" s="443">
        <v>39487</v>
      </c>
      <c r="I1694" s="1225">
        <f>H1694*100.1%</f>
        <v>39526.486999999994</v>
      </c>
      <c r="J1694" s="1225">
        <f>I1694*100.2%</f>
        <v>39605.539973999992</v>
      </c>
      <c r="K1694" s="589" t="s">
        <v>2587</v>
      </c>
      <c r="L1694" s="1226" t="s">
        <v>979</v>
      </c>
      <c r="M1694" s="1180"/>
      <c r="N1694" s="1180"/>
      <c r="O1694" s="1180"/>
      <c r="P1694" s="1180"/>
      <c r="Q1694" s="1180"/>
    </row>
    <row r="1695" spans="2:17" ht="45" x14ac:dyDescent="0.25">
      <c r="B1695" s="125"/>
      <c r="C1695" s="515" t="s">
        <v>3</v>
      </c>
      <c r="D1695" s="76"/>
      <c r="E1695" s="628" t="s">
        <v>2588</v>
      </c>
      <c r="F1695" s="443">
        <v>6020.4</v>
      </c>
      <c r="G1695" s="443">
        <v>6020.4</v>
      </c>
      <c r="H1695" s="443">
        <v>0</v>
      </c>
      <c r="I1695" s="1225">
        <v>0</v>
      </c>
      <c r="J1695" s="1225">
        <v>0</v>
      </c>
      <c r="K1695" s="257" t="s">
        <v>2589</v>
      </c>
      <c r="L1695" s="1226" t="s">
        <v>1073</v>
      </c>
      <c r="M1695" s="1180">
        <v>23</v>
      </c>
      <c r="N1695" s="1180">
        <v>23</v>
      </c>
      <c r="O1695" s="1180"/>
      <c r="P1695" s="1180"/>
      <c r="Q1695" s="1180"/>
    </row>
    <row r="1696" spans="2:17" ht="60" x14ac:dyDescent="0.25">
      <c r="B1696" s="125"/>
      <c r="C1696" s="515" t="s">
        <v>4</v>
      </c>
      <c r="D1696" s="76"/>
      <c r="E1696" s="628" t="s">
        <v>2590</v>
      </c>
      <c r="F1696" s="443">
        <v>0</v>
      </c>
      <c r="G1696" s="443">
        <f>43000</f>
        <v>43000</v>
      </c>
      <c r="H1696" s="443">
        <v>0</v>
      </c>
      <c r="I1696" s="1225">
        <v>0</v>
      </c>
      <c r="J1696" s="1225">
        <v>0</v>
      </c>
      <c r="K1696" s="1228" t="s">
        <v>2591</v>
      </c>
      <c r="L1696" s="1226" t="s">
        <v>14</v>
      </c>
      <c r="M1696" s="1180"/>
      <c r="N1696" s="1180">
        <v>5</v>
      </c>
      <c r="O1696" s="1180"/>
      <c r="P1696" s="1180"/>
      <c r="Q1696" s="1180"/>
    </row>
    <row r="1697" spans="2:17" ht="30" x14ac:dyDescent="0.25">
      <c r="B1697" s="125"/>
      <c r="C1697" s="515" t="s">
        <v>5</v>
      </c>
      <c r="D1697" s="76"/>
      <c r="E1697" s="1229" t="s">
        <v>2592</v>
      </c>
      <c r="F1697" s="60">
        <v>22800</v>
      </c>
      <c r="G1697" s="443">
        <v>0</v>
      </c>
      <c r="H1697" s="443">
        <v>0</v>
      </c>
      <c r="I1697" s="1225">
        <f t="shared" ref="I1697:I1702" si="184">H1697*101.3%</f>
        <v>0</v>
      </c>
      <c r="J1697" s="1225">
        <f t="shared" ref="J1697:J1702" si="185">I1697*101.1%</f>
        <v>0</v>
      </c>
      <c r="K1697" s="257" t="s">
        <v>2593</v>
      </c>
      <c r="L1697" s="1226" t="s">
        <v>1073</v>
      </c>
      <c r="M1697" s="1230">
        <v>50</v>
      </c>
      <c r="N1697" s="1230"/>
      <c r="O1697" s="1230"/>
      <c r="P1697" s="1230"/>
      <c r="Q1697" s="1230"/>
    </row>
    <row r="1698" spans="2:17" ht="30" x14ac:dyDescent="0.25">
      <c r="B1698" s="125"/>
      <c r="C1698" s="515" t="s">
        <v>49</v>
      </c>
      <c r="D1698" s="76"/>
      <c r="E1698" s="1229" t="s">
        <v>2594</v>
      </c>
      <c r="F1698" s="443">
        <v>13600</v>
      </c>
      <c r="G1698" s="443">
        <v>0</v>
      </c>
      <c r="H1698" s="443">
        <v>0</v>
      </c>
      <c r="I1698" s="1225">
        <f t="shared" si="184"/>
        <v>0</v>
      </c>
      <c r="J1698" s="1225">
        <f t="shared" si="185"/>
        <v>0</v>
      </c>
      <c r="K1698" s="257" t="s">
        <v>2595</v>
      </c>
      <c r="L1698" s="1226" t="s">
        <v>1073</v>
      </c>
      <c r="M1698" s="1143">
        <v>8</v>
      </c>
      <c r="N1698" s="1143"/>
      <c r="O1698" s="1143"/>
      <c r="P1698" s="1143"/>
      <c r="Q1698" s="1143"/>
    </row>
    <row r="1699" spans="2:17" ht="60" x14ac:dyDescent="0.25">
      <c r="B1699" s="125"/>
      <c r="C1699" s="515" t="s">
        <v>50</v>
      </c>
      <c r="D1699" s="76"/>
      <c r="E1699" s="1231" t="s">
        <v>2596</v>
      </c>
      <c r="F1699" s="443">
        <v>14100</v>
      </c>
      <c r="G1699" s="443">
        <v>0</v>
      </c>
      <c r="H1699" s="443">
        <v>0</v>
      </c>
      <c r="I1699" s="1225">
        <f t="shared" si="184"/>
        <v>0</v>
      </c>
      <c r="J1699" s="1225">
        <f t="shared" si="185"/>
        <v>0</v>
      </c>
      <c r="K1699" s="257" t="s">
        <v>2597</v>
      </c>
      <c r="L1699" s="1226" t="s">
        <v>1073</v>
      </c>
      <c r="M1699" s="1180">
        <v>17</v>
      </c>
      <c r="N1699" s="1180"/>
      <c r="O1699" s="1180"/>
      <c r="P1699" s="1180"/>
      <c r="Q1699" s="1180"/>
    </row>
    <row r="1700" spans="2:17" ht="60" x14ac:dyDescent="0.25">
      <c r="B1700" s="125"/>
      <c r="C1700" s="515" t="s">
        <v>51</v>
      </c>
      <c r="D1700" s="76"/>
      <c r="E1700" s="589" t="s">
        <v>2598</v>
      </c>
      <c r="F1700" s="443">
        <v>9700</v>
      </c>
      <c r="G1700" s="443">
        <v>0</v>
      </c>
      <c r="H1700" s="443">
        <v>0</v>
      </c>
      <c r="I1700" s="1225">
        <f t="shared" si="184"/>
        <v>0</v>
      </c>
      <c r="J1700" s="1225">
        <f t="shared" si="185"/>
        <v>0</v>
      </c>
      <c r="K1700" s="257" t="s">
        <v>2599</v>
      </c>
      <c r="L1700" s="1226" t="s">
        <v>14</v>
      </c>
      <c r="M1700" s="1232">
        <v>0.5</v>
      </c>
      <c r="N1700" s="1232"/>
      <c r="O1700" s="1232"/>
      <c r="P1700" s="1232"/>
      <c r="Q1700" s="1232"/>
    </row>
    <row r="1701" spans="2:17" ht="60" x14ac:dyDescent="0.25">
      <c r="B1701" s="125"/>
      <c r="C1701" s="515" t="s">
        <v>53</v>
      </c>
      <c r="D1701" s="76"/>
      <c r="E1701" s="1233" t="s">
        <v>2600</v>
      </c>
      <c r="F1701" s="443">
        <v>29000</v>
      </c>
      <c r="G1701" s="1225">
        <v>0</v>
      </c>
      <c r="H1701" s="1225">
        <v>0</v>
      </c>
      <c r="I1701" s="1225">
        <f t="shared" si="184"/>
        <v>0</v>
      </c>
      <c r="J1701" s="1225">
        <f t="shared" si="185"/>
        <v>0</v>
      </c>
      <c r="K1701" s="257" t="s">
        <v>2601</v>
      </c>
      <c r="L1701" s="1226" t="s">
        <v>1050</v>
      </c>
      <c r="M1701" s="1234"/>
      <c r="N1701" s="1234"/>
      <c r="O1701" s="1234"/>
      <c r="P1701" s="1234"/>
      <c r="Q1701" s="1234"/>
    </row>
    <row r="1702" spans="2:17" ht="30" x14ac:dyDescent="0.25">
      <c r="B1702" s="125"/>
      <c r="C1702" s="515" t="s">
        <v>54</v>
      </c>
      <c r="D1702" s="76"/>
      <c r="E1702" s="576" t="s">
        <v>2602</v>
      </c>
      <c r="F1702" s="443">
        <v>500000</v>
      </c>
      <c r="G1702" s="1225">
        <v>566250.80000000005</v>
      </c>
      <c r="H1702" s="1225">
        <v>0</v>
      </c>
      <c r="I1702" s="1225">
        <f t="shared" si="184"/>
        <v>0</v>
      </c>
      <c r="J1702" s="1225">
        <f t="shared" si="185"/>
        <v>0</v>
      </c>
      <c r="K1702" s="257" t="s">
        <v>2603</v>
      </c>
      <c r="L1702" s="1226" t="s">
        <v>1050</v>
      </c>
      <c r="M1702" s="1234"/>
      <c r="N1702" s="1234"/>
      <c r="O1702" s="1234"/>
      <c r="P1702" s="1234"/>
      <c r="Q1702" s="1234"/>
    </row>
    <row r="1703" spans="2:17" ht="118.5" x14ac:dyDescent="0.25">
      <c r="B1703" s="607" t="s">
        <v>98</v>
      </c>
      <c r="C1703" s="76"/>
      <c r="D1703" s="76"/>
      <c r="E1703" s="493" t="s">
        <v>2604</v>
      </c>
      <c r="F1703" s="448">
        <f>F1704+F1706+F1707+F1708</f>
        <v>82664.100000000006</v>
      </c>
      <c r="G1703" s="448">
        <f t="shared" ref="G1703:J1703" si="186">G1704+G1706+G1707+G1708</f>
        <v>104076.6</v>
      </c>
      <c r="H1703" s="448">
        <f>H1704+H1706+H1707+H1708+H1709</f>
        <v>256297.2</v>
      </c>
      <c r="I1703" s="448">
        <f t="shared" si="186"/>
        <v>107999.89720000001</v>
      </c>
      <c r="J1703" s="448">
        <f t="shared" si="186"/>
        <v>108305.4969944</v>
      </c>
      <c r="K1703" s="658" t="s">
        <v>2605</v>
      </c>
      <c r="L1703" s="119" t="s">
        <v>14</v>
      </c>
      <c r="M1703" s="603">
        <v>98.4</v>
      </c>
      <c r="N1703" s="603">
        <v>98.6</v>
      </c>
      <c r="O1703" s="603">
        <v>98.8</v>
      </c>
      <c r="P1703" s="603">
        <v>98.9</v>
      </c>
      <c r="Q1703" s="603">
        <v>99</v>
      </c>
    </row>
    <row r="1704" spans="2:17" ht="30" x14ac:dyDescent="0.25">
      <c r="B1704" s="125"/>
      <c r="C1704" s="1639" t="s">
        <v>2</v>
      </c>
      <c r="D1704" s="76"/>
      <c r="E1704" s="1763" t="s">
        <v>2606</v>
      </c>
      <c r="F1704" s="1640">
        <v>0</v>
      </c>
      <c r="G1704" s="1640">
        <v>0</v>
      </c>
      <c r="H1704" s="1640">
        <v>71684.100000000006</v>
      </c>
      <c r="I1704" s="1640">
        <f>H1704*100.1%</f>
        <v>71755.784100000004</v>
      </c>
      <c r="J1704" s="1640">
        <f>I1704*100.2%</f>
        <v>71899.295668200008</v>
      </c>
      <c r="K1704" s="257" t="s">
        <v>2607</v>
      </c>
      <c r="L1704" s="1226" t="s">
        <v>979</v>
      </c>
      <c r="M1704" s="1224">
        <v>336</v>
      </c>
      <c r="N1704" s="1235" t="s">
        <v>2608</v>
      </c>
      <c r="O1704" s="1235" t="s">
        <v>2609</v>
      </c>
      <c r="P1704" s="450" t="s">
        <v>2610</v>
      </c>
      <c r="Q1704" s="450" t="s">
        <v>2611</v>
      </c>
    </row>
    <row r="1705" spans="2:17" ht="30" x14ac:dyDescent="0.25">
      <c r="B1705" s="125"/>
      <c r="C1705" s="1639"/>
      <c r="D1705" s="76"/>
      <c r="E1705" s="1764"/>
      <c r="F1705" s="1641"/>
      <c r="G1705" s="1641"/>
      <c r="H1705" s="1641"/>
      <c r="I1705" s="1641"/>
      <c r="J1705" s="1641"/>
      <c r="K1705" s="257" t="s">
        <v>2612</v>
      </c>
      <c r="L1705" s="1226" t="s">
        <v>979</v>
      </c>
      <c r="M1705" s="1224">
        <v>118</v>
      </c>
      <c r="N1705" s="1235" t="s">
        <v>2613</v>
      </c>
      <c r="O1705" s="1235" t="s">
        <v>2614</v>
      </c>
      <c r="P1705" s="450" t="s">
        <v>2615</v>
      </c>
      <c r="Q1705" s="450" t="s">
        <v>1654</v>
      </c>
    </row>
    <row r="1706" spans="2:17" ht="30" x14ac:dyDescent="0.25">
      <c r="B1706" s="125"/>
      <c r="C1706" s="450" t="s">
        <v>3</v>
      </c>
      <c r="D1706" s="76"/>
      <c r="E1706" s="1236" t="s">
        <v>2616</v>
      </c>
      <c r="F1706" s="1237">
        <v>82664.100000000006</v>
      </c>
      <c r="G1706" s="1237">
        <v>104076.6</v>
      </c>
      <c r="H1706" s="421">
        <v>28603.1</v>
      </c>
      <c r="I1706" s="1237">
        <f>H1706*100.1%</f>
        <v>28631.703099999995</v>
      </c>
      <c r="J1706" s="1237">
        <f>I1706*100.2%</f>
        <v>28688.966506199995</v>
      </c>
      <c r="K1706" s="257" t="s">
        <v>2617</v>
      </c>
      <c r="L1706" s="1226" t="s">
        <v>979</v>
      </c>
      <c r="M1706" s="511">
        <v>23896</v>
      </c>
      <c r="N1706" s="511">
        <v>10596</v>
      </c>
      <c r="O1706" s="262">
        <v>11451</v>
      </c>
      <c r="P1706" s="416">
        <v>11977</v>
      </c>
      <c r="Q1706" s="416">
        <v>11341</v>
      </c>
    </row>
    <row r="1707" spans="2:17" x14ac:dyDescent="0.25">
      <c r="B1707" s="125"/>
      <c r="C1707" s="450" t="s">
        <v>4</v>
      </c>
      <c r="D1707" s="76"/>
      <c r="E1707" s="576" t="s">
        <v>2618</v>
      </c>
      <c r="F1707" s="1237">
        <v>0</v>
      </c>
      <c r="G1707" s="1237">
        <v>0</v>
      </c>
      <c r="H1707" s="421">
        <v>2410</v>
      </c>
      <c r="I1707" s="1237">
        <f>H1707*100.1%</f>
        <v>2412.41</v>
      </c>
      <c r="J1707" s="1237">
        <f>I1707*100.2%</f>
        <v>2417.2348199999997</v>
      </c>
      <c r="K1707" s="589" t="s">
        <v>2619</v>
      </c>
      <c r="L1707" s="1226" t="s">
        <v>979</v>
      </c>
      <c r="M1707" s="1224">
        <v>27</v>
      </c>
      <c r="N1707" s="1224">
        <v>25</v>
      </c>
      <c r="O1707" s="1235" t="s">
        <v>85</v>
      </c>
      <c r="P1707" s="442" t="s">
        <v>83</v>
      </c>
      <c r="Q1707" s="442" t="s">
        <v>82</v>
      </c>
    </row>
    <row r="1708" spans="2:17" ht="30" x14ac:dyDescent="0.25">
      <c r="B1708" s="125"/>
      <c r="C1708" s="450" t="s">
        <v>5</v>
      </c>
      <c r="D1708" s="76"/>
      <c r="E1708" s="576" t="s">
        <v>2620</v>
      </c>
      <c r="F1708" s="1237">
        <v>0</v>
      </c>
      <c r="G1708" s="1237">
        <v>0</v>
      </c>
      <c r="H1708" s="1237">
        <v>5100</v>
      </c>
      <c r="I1708" s="1237">
        <v>5200</v>
      </c>
      <c r="J1708" s="1237">
        <v>5300</v>
      </c>
      <c r="K1708" s="589" t="s">
        <v>2621</v>
      </c>
      <c r="L1708" s="1226" t="s">
        <v>979</v>
      </c>
      <c r="M1708" s="644">
        <v>683</v>
      </c>
      <c r="N1708" s="644">
        <v>670</v>
      </c>
      <c r="O1708" s="418">
        <v>680</v>
      </c>
      <c r="P1708" s="1153">
        <v>685</v>
      </c>
      <c r="Q1708" s="1153">
        <v>690</v>
      </c>
    </row>
    <row r="1709" spans="2:17" ht="30" x14ac:dyDescent="0.25">
      <c r="B1709" s="125"/>
      <c r="C1709" s="450" t="s">
        <v>49</v>
      </c>
      <c r="D1709" s="76"/>
      <c r="E1709" s="576" t="s">
        <v>2622</v>
      </c>
      <c r="F1709" s="1237"/>
      <c r="G1709" s="1237"/>
      <c r="H1709" s="1237">
        <v>148500</v>
      </c>
      <c r="I1709" s="1237"/>
      <c r="J1709" s="1237"/>
      <c r="K1709" s="565"/>
      <c r="L1709" s="644"/>
      <c r="M1709" s="644"/>
      <c r="N1709" s="644"/>
      <c r="O1709" s="418"/>
      <c r="P1709" s="1153"/>
      <c r="Q1709" s="1153"/>
    </row>
    <row r="1710" spans="2:17" x14ac:dyDescent="0.25">
      <c r="B1710" s="607" t="s">
        <v>101</v>
      </c>
      <c r="C1710" s="76"/>
      <c r="D1710" s="76"/>
      <c r="E1710" s="157" t="s">
        <v>2623</v>
      </c>
      <c r="F1710" s="448">
        <f t="shared" ref="F1710" si="187">F1711</f>
        <v>32767.7</v>
      </c>
      <c r="G1710" s="448">
        <f>G1711</f>
        <v>32767.7</v>
      </c>
      <c r="H1710" s="448">
        <f>H1711</f>
        <v>33381.199999999997</v>
      </c>
      <c r="I1710" s="448">
        <f>I1711</f>
        <v>33381.199999999997</v>
      </c>
      <c r="J1710" s="448">
        <f>J1711</f>
        <v>33381.299999999996</v>
      </c>
      <c r="K1710" s="576"/>
      <c r="L1710" s="512"/>
      <c r="M1710" s="512"/>
      <c r="N1710" s="125"/>
      <c r="O1710" s="125"/>
      <c r="P1710" s="125"/>
      <c r="Q1710" s="125"/>
    </row>
    <row r="1711" spans="2:17" x14ac:dyDescent="0.25">
      <c r="B1711" s="125"/>
      <c r="C1711" s="450" t="s">
        <v>2</v>
      </c>
      <c r="D1711" s="76"/>
      <c r="E1711" s="576" t="s">
        <v>2624</v>
      </c>
      <c r="F1711" s="443">
        <v>32767.7</v>
      </c>
      <c r="G1711" s="443">
        <v>32767.7</v>
      </c>
      <c r="H1711" s="443">
        <v>33381.199999999997</v>
      </c>
      <c r="I1711" s="443">
        <v>33381.199999999997</v>
      </c>
      <c r="J1711" s="443">
        <f>33381.2+0.1</f>
        <v>33381.299999999996</v>
      </c>
      <c r="K1711" s="628" t="s">
        <v>2625</v>
      </c>
      <c r="L1711" s="512" t="s">
        <v>2626</v>
      </c>
      <c r="M1711" s="512">
        <v>157.6</v>
      </c>
      <c r="N1711" s="512">
        <v>239.4</v>
      </c>
      <c r="O1711" s="512">
        <v>239.4</v>
      </c>
      <c r="P1711" s="512">
        <v>294.10000000000002</v>
      </c>
      <c r="Q1711" s="512">
        <v>294.10000000000002</v>
      </c>
    </row>
    <row r="1712" spans="2:17" x14ac:dyDescent="0.25">
      <c r="B1712" s="607" t="s">
        <v>110</v>
      </c>
      <c r="C1712" s="76"/>
      <c r="D1712" s="76"/>
      <c r="E1712" s="157" t="s">
        <v>2627</v>
      </c>
      <c r="F1712" s="448">
        <f>F1713</f>
        <v>0</v>
      </c>
      <c r="G1712" s="448">
        <f>G1713</f>
        <v>727679</v>
      </c>
      <c r="H1712" s="448">
        <f>H1713</f>
        <v>423000</v>
      </c>
      <c r="I1712" s="448">
        <f>I1713</f>
        <v>855600</v>
      </c>
      <c r="J1712" s="448">
        <f>J1713</f>
        <v>880840</v>
      </c>
      <c r="K1712" s="658"/>
      <c r="L1712" s="119"/>
      <c r="M1712" s="119"/>
      <c r="N1712" s="119"/>
      <c r="O1712" s="119"/>
      <c r="P1712" s="119"/>
      <c r="Q1712" s="119"/>
    </row>
    <row r="1713" spans="2:17" x14ac:dyDescent="0.25">
      <c r="B1713" s="125"/>
      <c r="C1713" s="450" t="s">
        <v>2</v>
      </c>
      <c r="D1713" s="76"/>
      <c r="E1713" s="576" t="s">
        <v>2628</v>
      </c>
      <c r="F1713" s="443">
        <v>0</v>
      </c>
      <c r="G1713" s="443">
        <v>727679</v>
      </c>
      <c r="H1713" s="443">
        <v>423000</v>
      </c>
      <c r="I1713" s="443">
        <v>855600</v>
      </c>
      <c r="J1713" s="443">
        <v>880840</v>
      </c>
      <c r="K1713" s="658"/>
      <c r="L1713" s="512" t="s">
        <v>1050</v>
      </c>
      <c r="M1713" s="119"/>
      <c r="N1713" s="119"/>
      <c r="O1713" s="119"/>
      <c r="P1713" s="119"/>
      <c r="Q1713" s="119"/>
    </row>
    <row r="1714" spans="2:17" x14ac:dyDescent="0.25">
      <c r="B1714" s="1566" t="s">
        <v>291</v>
      </c>
      <c r="C1714" s="1567"/>
      <c r="D1714" s="1567"/>
      <c r="E1714" s="1568"/>
      <c r="F1714" s="1238">
        <f>F1691+F1693+F1703+F1710+F1712</f>
        <v>747893.39999999991</v>
      </c>
      <c r="G1714" s="1238">
        <f>G1691+G1693+G1703+G1710+G1712</f>
        <v>1522815.5</v>
      </c>
      <c r="H1714" s="1238">
        <f>H1691+H1693+H1703+H1710+H1712</f>
        <v>805485.7</v>
      </c>
      <c r="I1714" s="1238">
        <f>I1691+I1693+I1703+I1710+I1712</f>
        <v>1089885.2842000001</v>
      </c>
      <c r="J1714" s="1238">
        <f>J1691+J1693+J1703+J1710+J1712</f>
        <v>1115671.9369683999</v>
      </c>
      <c r="K1714" s="847"/>
      <c r="L1714" s="134"/>
      <c r="M1714" s="134"/>
      <c r="N1714" s="134"/>
      <c r="O1714" s="134"/>
      <c r="P1714" s="134"/>
      <c r="Q1714" s="134"/>
    </row>
    <row r="1715" spans="2:17" x14ac:dyDescent="0.25">
      <c r="B1715" s="1573" t="s">
        <v>2629</v>
      </c>
      <c r="C1715" s="1573"/>
      <c r="D1715" s="1573"/>
      <c r="E1715" s="1573"/>
      <c r="F1715" s="1573"/>
      <c r="G1715" s="1573"/>
      <c r="H1715" s="1573"/>
      <c r="I1715" s="1573"/>
      <c r="J1715" s="1573"/>
      <c r="K1715" s="1573"/>
      <c r="L1715" s="1573"/>
      <c r="M1715" s="1573"/>
      <c r="N1715" s="1573"/>
      <c r="O1715" s="1573"/>
      <c r="P1715" s="1573"/>
      <c r="Q1715" s="1573"/>
    </row>
    <row r="1716" spans="2:17" x14ac:dyDescent="0.25">
      <c r="B1716" s="733">
        <v>1</v>
      </c>
      <c r="C1716" s="1239"/>
      <c r="D1716" s="1239"/>
      <c r="E1716" s="582" t="s">
        <v>2417</v>
      </c>
      <c r="F1716" s="430">
        <f>F1717+F1719</f>
        <v>5553.2000000000007</v>
      </c>
      <c r="G1716" s="430">
        <f>G1717+G1719</f>
        <v>7706.4</v>
      </c>
      <c r="H1716" s="430">
        <f>SUM(H1717:H1719)</f>
        <v>41205.9</v>
      </c>
      <c r="I1716" s="430">
        <f>I1717+I1719</f>
        <v>7809.2000000000007</v>
      </c>
      <c r="J1716" s="430">
        <f>J1717+J1719</f>
        <v>7780.9</v>
      </c>
      <c r="K1716" s="1642" t="s">
        <v>2363</v>
      </c>
      <c r="L1716" s="484"/>
      <c r="M1716" s="484"/>
      <c r="N1716" s="484"/>
      <c r="O1716" s="484"/>
      <c r="P1716" s="484"/>
      <c r="Q1716" s="484"/>
    </row>
    <row r="1717" spans="2:17" ht="45" x14ac:dyDescent="0.25">
      <c r="B1717" s="1240"/>
      <c r="C1717" s="424">
        <v>1</v>
      </c>
      <c r="D1717" s="1239"/>
      <c r="E1717" s="495" t="s">
        <v>2630</v>
      </c>
      <c r="F1717" s="557">
        <v>1880.9</v>
      </c>
      <c r="G1717" s="557">
        <v>1880.9</v>
      </c>
      <c r="H1717" s="557">
        <v>3660.2</v>
      </c>
      <c r="I1717" s="557">
        <v>1880.9</v>
      </c>
      <c r="J1717" s="557">
        <v>1880.9</v>
      </c>
      <c r="K1717" s="1642"/>
      <c r="L1717" s="26" t="s">
        <v>14</v>
      </c>
      <c r="M1717" s="530">
        <v>100</v>
      </c>
      <c r="N1717" s="530">
        <v>100</v>
      </c>
      <c r="O1717" s="530">
        <v>100</v>
      </c>
      <c r="P1717" s="530">
        <v>100</v>
      </c>
      <c r="Q1717" s="530">
        <v>100</v>
      </c>
    </row>
    <row r="1718" spans="2:17" ht="30" x14ac:dyDescent="0.25">
      <c r="B1718" s="1240"/>
      <c r="C1718" s="424">
        <v>2</v>
      </c>
      <c r="D1718" s="1239"/>
      <c r="E1718" s="1190" t="s">
        <v>2419</v>
      </c>
      <c r="F1718" s="557"/>
      <c r="G1718" s="557"/>
      <c r="H1718" s="557">
        <v>94.2</v>
      </c>
      <c r="I1718" s="557"/>
      <c r="J1718" s="557"/>
      <c r="K1718" s="565"/>
      <c r="L1718" s="26"/>
      <c r="M1718" s="530"/>
      <c r="N1718" s="530"/>
      <c r="O1718" s="530"/>
      <c r="P1718" s="530"/>
      <c r="Q1718" s="530"/>
    </row>
    <row r="1719" spans="2:17" ht="30" x14ac:dyDescent="0.25">
      <c r="B1719" s="1240"/>
      <c r="C1719" s="424">
        <v>2</v>
      </c>
      <c r="D1719" s="1239"/>
      <c r="E1719" s="1192" t="s">
        <v>2524</v>
      </c>
      <c r="F1719" s="557">
        <v>3672.3</v>
      </c>
      <c r="G1719" s="557">
        <v>5825.5</v>
      </c>
      <c r="H1719" s="557">
        <v>37451.5</v>
      </c>
      <c r="I1719" s="557">
        <v>5928.3</v>
      </c>
      <c r="J1719" s="557">
        <v>5900</v>
      </c>
      <c r="K1719" s="565"/>
      <c r="L1719" s="26"/>
      <c r="M1719" s="26"/>
      <c r="N1719" s="26"/>
      <c r="O1719" s="26"/>
      <c r="P1719" s="26"/>
      <c r="Q1719" s="26"/>
    </row>
    <row r="1720" spans="2:17" ht="88.5" x14ac:dyDescent="0.25">
      <c r="B1720" s="733">
        <v>2</v>
      </c>
      <c r="C1720" s="1241"/>
      <c r="D1720" s="958"/>
      <c r="E1720" s="486" t="s">
        <v>2631</v>
      </c>
      <c r="F1720" s="430">
        <f>F1721+F1722+F1723+F1724+F1725+F1726</f>
        <v>27397.5</v>
      </c>
      <c r="G1720" s="430">
        <f>G1721+G1722+G1723+G1724+G1725+G1726</f>
        <v>28464.5</v>
      </c>
      <c r="H1720" s="430">
        <v>0</v>
      </c>
      <c r="I1720" s="430">
        <f>I1721+I1722+I1723+I1724+I1725+I1726</f>
        <v>33419.25</v>
      </c>
      <c r="J1720" s="430">
        <f>J1721+J1722+J1723+J1724+J1725+J1726</f>
        <v>33498.1</v>
      </c>
      <c r="K1720" s="582" t="s">
        <v>2632</v>
      </c>
      <c r="L1720" s="530" t="s">
        <v>14</v>
      </c>
      <c r="M1720" s="530">
        <v>100</v>
      </c>
      <c r="N1720" s="530">
        <v>100</v>
      </c>
      <c r="O1720" s="530">
        <v>100</v>
      </c>
      <c r="P1720" s="530">
        <v>100</v>
      </c>
      <c r="Q1720" s="530">
        <v>100</v>
      </c>
    </row>
    <row r="1721" spans="2:17" ht="45" x14ac:dyDescent="0.25">
      <c r="B1721" s="1240"/>
      <c r="C1721" s="424">
        <v>1</v>
      </c>
      <c r="D1721" s="1242"/>
      <c r="E1721" s="197" t="s">
        <v>2633</v>
      </c>
      <c r="F1721" s="557">
        <v>3245</v>
      </c>
      <c r="G1721" s="557">
        <v>3245</v>
      </c>
      <c r="H1721" s="557">
        <v>0</v>
      </c>
      <c r="I1721" s="557">
        <v>3245.3</v>
      </c>
      <c r="J1721" s="557">
        <v>3245</v>
      </c>
      <c r="K1721" s="589" t="s">
        <v>2634</v>
      </c>
      <c r="L1721" s="1226" t="s">
        <v>1073</v>
      </c>
      <c r="M1721" s="223" t="s">
        <v>2635</v>
      </c>
      <c r="N1721" s="223" t="s">
        <v>2636</v>
      </c>
      <c r="O1721" s="223" t="s">
        <v>2637</v>
      </c>
      <c r="P1721" s="223" t="s">
        <v>83</v>
      </c>
      <c r="Q1721" s="223" t="s">
        <v>83</v>
      </c>
    </row>
    <row r="1722" spans="2:17" ht="30" x14ac:dyDescent="0.25">
      <c r="B1722" s="1240"/>
      <c r="C1722" s="424">
        <v>2</v>
      </c>
      <c r="D1722" s="1242"/>
      <c r="E1722" s="527" t="s">
        <v>2638</v>
      </c>
      <c r="F1722" s="557">
        <v>2414.5</v>
      </c>
      <c r="G1722" s="557">
        <v>2414.5</v>
      </c>
      <c r="H1722" s="557">
        <v>0</v>
      </c>
      <c r="I1722" s="557">
        <v>2414.35</v>
      </c>
      <c r="J1722" s="557">
        <v>2414.5</v>
      </c>
      <c r="K1722" s="589" t="s">
        <v>2639</v>
      </c>
      <c r="L1722" s="1226" t="s">
        <v>1073</v>
      </c>
      <c r="M1722" s="26">
        <v>3044</v>
      </c>
      <c r="N1722" s="26">
        <v>3257</v>
      </c>
      <c r="O1722" s="26">
        <v>215</v>
      </c>
      <c r="P1722" s="26">
        <v>150</v>
      </c>
      <c r="Q1722" s="26">
        <v>110</v>
      </c>
    </row>
    <row r="1723" spans="2:17" ht="45" x14ac:dyDescent="0.25">
      <c r="B1723" s="1240"/>
      <c r="C1723" s="424">
        <v>3</v>
      </c>
      <c r="D1723" s="1242"/>
      <c r="E1723" s="527" t="s">
        <v>2640</v>
      </c>
      <c r="F1723" s="557">
        <v>3720</v>
      </c>
      <c r="G1723" s="557">
        <v>3720</v>
      </c>
      <c r="H1723" s="557">
        <v>0</v>
      </c>
      <c r="I1723" s="557">
        <v>3720.1</v>
      </c>
      <c r="J1723" s="557">
        <v>3720</v>
      </c>
      <c r="K1723" s="589" t="s">
        <v>2641</v>
      </c>
      <c r="L1723" s="1226" t="s">
        <v>1073</v>
      </c>
      <c r="M1723" s="26">
        <v>599</v>
      </c>
      <c r="N1723" s="26">
        <v>312</v>
      </c>
      <c r="O1723" s="26">
        <v>610</v>
      </c>
      <c r="P1723" s="26">
        <v>650</v>
      </c>
      <c r="Q1723" s="26">
        <v>680</v>
      </c>
    </row>
    <row r="1724" spans="2:17" ht="45" x14ac:dyDescent="0.25">
      <c r="B1724" s="1240"/>
      <c r="C1724" s="424">
        <v>4</v>
      </c>
      <c r="D1724" s="1242"/>
      <c r="E1724" s="527" t="s">
        <v>2642</v>
      </c>
      <c r="F1724" s="557">
        <v>2362.5</v>
      </c>
      <c r="G1724" s="557">
        <v>2362.5</v>
      </c>
      <c r="H1724" s="557">
        <v>0</v>
      </c>
      <c r="I1724" s="557">
        <v>2362.5</v>
      </c>
      <c r="J1724" s="557">
        <v>2362.5</v>
      </c>
      <c r="K1724" s="589" t="s">
        <v>2643</v>
      </c>
      <c r="L1724" s="1226" t="s">
        <v>2153</v>
      </c>
      <c r="M1724" s="26">
        <v>428</v>
      </c>
      <c r="N1724" s="26">
        <v>63</v>
      </c>
      <c r="O1724" s="26">
        <v>65</v>
      </c>
      <c r="P1724" s="26">
        <v>55</v>
      </c>
      <c r="Q1724" s="26">
        <v>40</v>
      </c>
    </row>
    <row r="1725" spans="2:17" ht="45" x14ac:dyDescent="0.25">
      <c r="B1725" s="1240"/>
      <c r="C1725" s="424">
        <v>5</v>
      </c>
      <c r="D1725" s="1242"/>
      <c r="E1725" s="527" t="s">
        <v>2644</v>
      </c>
      <c r="F1725" s="557">
        <v>2853.3</v>
      </c>
      <c r="G1725" s="557">
        <v>2853.3</v>
      </c>
      <c r="H1725" s="557">
        <v>0</v>
      </c>
      <c r="I1725" s="557">
        <v>2853.3</v>
      </c>
      <c r="J1725" s="557">
        <v>2853.3</v>
      </c>
      <c r="K1725" s="589" t="s">
        <v>2645</v>
      </c>
      <c r="L1725" s="1226" t="s">
        <v>1073</v>
      </c>
      <c r="M1725" s="26">
        <v>51</v>
      </c>
      <c r="N1725" s="26">
        <v>154</v>
      </c>
      <c r="O1725" s="26">
        <v>58</v>
      </c>
      <c r="P1725" s="26">
        <v>55</v>
      </c>
      <c r="Q1725" s="26">
        <v>60</v>
      </c>
    </row>
    <row r="1726" spans="2:17" ht="75" x14ac:dyDescent="0.25">
      <c r="B1726" s="1240"/>
      <c r="C1726" s="424">
        <v>6</v>
      </c>
      <c r="D1726" s="1242"/>
      <c r="E1726" s="562" t="s">
        <v>2646</v>
      </c>
      <c r="F1726" s="557">
        <v>12802.2</v>
      </c>
      <c r="G1726" s="557">
        <v>13869.2</v>
      </c>
      <c r="H1726" s="557">
        <v>0</v>
      </c>
      <c r="I1726" s="557">
        <v>18823.7</v>
      </c>
      <c r="J1726" s="557">
        <v>18902.8</v>
      </c>
      <c r="K1726" s="565" t="s">
        <v>2647</v>
      </c>
      <c r="L1726" s="1226" t="s">
        <v>1073</v>
      </c>
      <c r="M1726" s="26">
        <v>61.5</v>
      </c>
      <c r="N1726" s="26">
        <v>61.5</v>
      </c>
      <c r="O1726" s="26">
        <v>65.5</v>
      </c>
      <c r="P1726" s="26">
        <v>61.5</v>
      </c>
      <c r="Q1726" s="26">
        <v>61.5</v>
      </c>
    </row>
    <row r="1727" spans="2:17" x14ac:dyDescent="0.25">
      <c r="B1727" s="1566" t="s">
        <v>291</v>
      </c>
      <c r="C1727" s="1567"/>
      <c r="D1727" s="1567"/>
      <c r="E1727" s="1568"/>
      <c r="F1727" s="934">
        <f>F1716+F1720</f>
        <v>32950.699999999997</v>
      </c>
      <c r="G1727" s="934">
        <f>G1716+G1720</f>
        <v>36170.9</v>
      </c>
      <c r="H1727" s="934">
        <f>H1716+H1720</f>
        <v>41205.9</v>
      </c>
      <c r="I1727" s="934">
        <f>I1716+I1720</f>
        <v>41228.449999999997</v>
      </c>
      <c r="J1727" s="934">
        <f>J1716+J1720</f>
        <v>41279</v>
      </c>
      <c r="K1727" s="1243"/>
      <c r="L1727" s="1243"/>
      <c r="M1727" s="1243"/>
      <c r="N1727" s="1243"/>
      <c r="O1727" s="1243"/>
      <c r="P1727" s="1243"/>
      <c r="Q1727" s="1243"/>
    </row>
    <row r="1728" spans="2:17" x14ac:dyDescent="0.25">
      <c r="B1728" s="1643" t="s">
        <v>2648</v>
      </c>
      <c r="C1728" s="1643"/>
      <c r="D1728" s="1643"/>
      <c r="E1728" s="1643"/>
      <c r="F1728" s="1573"/>
      <c r="G1728" s="1573"/>
      <c r="H1728" s="1573"/>
      <c r="I1728" s="1573"/>
      <c r="J1728" s="1573"/>
      <c r="K1728" s="1573"/>
      <c r="L1728" s="1573"/>
      <c r="M1728" s="1573"/>
      <c r="N1728" s="1573"/>
      <c r="O1728" s="1573"/>
      <c r="P1728" s="1573"/>
      <c r="Q1728" s="1573"/>
    </row>
    <row r="1729" spans="2:17" ht="74.25" x14ac:dyDescent="0.25">
      <c r="B1729" s="1025">
        <v>1</v>
      </c>
      <c r="C1729" s="958"/>
      <c r="D1729" s="959"/>
      <c r="E1729" s="477" t="s">
        <v>2432</v>
      </c>
      <c r="F1729" s="627">
        <f>F1730+F1731+F1732+F1733</f>
        <v>5769.6</v>
      </c>
      <c r="G1729" s="627">
        <f>G1730+G1731+G1732+G1733</f>
        <v>5269.6</v>
      </c>
      <c r="H1729" s="627">
        <f>H1730+H1731+H1732+H1733</f>
        <v>3443</v>
      </c>
      <c r="I1729" s="627">
        <f>I1730+I1731+I1732+I1733</f>
        <v>3452.9</v>
      </c>
      <c r="J1729" s="627">
        <f>J1730+J1731+J1732+J1733</f>
        <v>3475.5</v>
      </c>
      <c r="K1729" s="1642" t="s">
        <v>2363</v>
      </c>
      <c r="L1729" s="583" t="s">
        <v>14</v>
      </c>
      <c r="M1729" s="583"/>
      <c r="N1729" s="583"/>
      <c r="O1729" s="583"/>
      <c r="P1729" s="583"/>
      <c r="Q1729" s="635"/>
    </row>
    <row r="1730" spans="2:17" x14ac:dyDescent="0.25">
      <c r="B1730" s="1025"/>
      <c r="C1730" s="424">
        <v>1</v>
      </c>
      <c r="D1730" s="958"/>
      <c r="E1730" s="719" t="s">
        <v>140</v>
      </c>
      <c r="F1730" s="557">
        <f>3841.8+500</f>
        <v>4341.8</v>
      </c>
      <c r="G1730" s="557">
        <v>3841.8</v>
      </c>
      <c r="H1730" s="557">
        <f>3171.6</f>
        <v>3171.6</v>
      </c>
      <c r="I1730" s="557">
        <f>3171.6+9.9+150</f>
        <v>3331.5</v>
      </c>
      <c r="J1730" s="557">
        <f>3171.6+32.5</f>
        <v>3204.1</v>
      </c>
      <c r="K1730" s="1642"/>
      <c r="L1730" s="511" t="s">
        <v>15</v>
      </c>
      <c r="M1730" s="583"/>
      <c r="N1730" s="583"/>
      <c r="O1730" s="583"/>
      <c r="P1730" s="583"/>
      <c r="Q1730" s="583"/>
    </row>
    <row r="1731" spans="2:17" ht="30" x14ac:dyDescent="0.25">
      <c r="B1731" s="1025"/>
      <c r="C1731" s="424">
        <v>2</v>
      </c>
      <c r="D1731" s="958"/>
      <c r="E1731" s="1190" t="s">
        <v>2419</v>
      </c>
      <c r="F1731" s="557"/>
      <c r="G1731" s="557"/>
      <c r="H1731" s="557"/>
      <c r="I1731" s="557"/>
      <c r="J1731" s="557"/>
      <c r="K1731" s="628" t="s">
        <v>834</v>
      </c>
      <c r="L1731" s="511" t="s">
        <v>14</v>
      </c>
      <c r="M1731" s="583"/>
      <c r="N1731" s="583"/>
      <c r="O1731" s="583"/>
      <c r="P1731" s="583"/>
      <c r="Q1731" s="583"/>
    </row>
    <row r="1732" spans="2:17" ht="30" x14ac:dyDescent="0.25">
      <c r="B1732" s="1025"/>
      <c r="C1732" s="424">
        <v>3</v>
      </c>
      <c r="D1732" s="958"/>
      <c r="E1732" s="527" t="s">
        <v>262</v>
      </c>
      <c r="F1732" s="557"/>
      <c r="G1732" s="557"/>
      <c r="H1732" s="557"/>
      <c r="I1732" s="557"/>
      <c r="J1732" s="557"/>
      <c r="K1732" s="628" t="s">
        <v>2522</v>
      </c>
      <c r="L1732" s="511" t="s">
        <v>14</v>
      </c>
      <c r="M1732" s="583"/>
      <c r="N1732" s="583"/>
      <c r="O1732" s="583"/>
      <c r="P1732" s="583"/>
      <c r="Q1732" s="583"/>
    </row>
    <row r="1733" spans="2:17" ht="45" x14ac:dyDescent="0.25">
      <c r="B1733" s="1025"/>
      <c r="C1733" s="424">
        <v>6</v>
      </c>
      <c r="D1733" s="958"/>
      <c r="E1733" s="1192" t="s">
        <v>2524</v>
      </c>
      <c r="F1733" s="557">
        <v>1427.8</v>
      </c>
      <c r="G1733" s="557">
        <v>1427.8</v>
      </c>
      <c r="H1733" s="557">
        <f>121.4+150</f>
        <v>271.39999999999998</v>
      </c>
      <c r="I1733" s="557">
        <f>121.4</f>
        <v>121.4</v>
      </c>
      <c r="J1733" s="557">
        <f>121.4+150</f>
        <v>271.39999999999998</v>
      </c>
      <c r="K1733" s="628" t="s">
        <v>2467</v>
      </c>
      <c r="L1733" s="511" t="s">
        <v>14</v>
      </c>
      <c r="M1733" s="583"/>
      <c r="N1733" s="583"/>
      <c r="O1733" s="583"/>
      <c r="P1733" s="583"/>
      <c r="Q1733" s="583"/>
    </row>
    <row r="1734" spans="2:17" ht="71.25" x14ac:dyDescent="0.25">
      <c r="B1734" s="428" t="s">
        <v>91</v>
      </c>
      <c r="C1734" s="413"/>
      <c r="D1734" s="429"/>
      <c r="E1734" s="582" t="s">
        <v>2649</v>
      </c>
      <c r="F1734" s="901">
        <v>6132.9</v>
      </c>
      <c r="G1734" s="901">
        <v>6132.9</v>
      </c>
      <c r="H1734" s="901">
        <f>7959.5</f>
        <v>7959.5</v>
      </c>
      <c r="I1734" s="901">
        <f>7959.5</f>
        <v>7959.5</v>
      </c>
      <c r="J1734" s="901">
        <f>7959.2</f>
        <v>7959.2</v>
      </c>
      <c r="K1734" s="496" t="s">
        <v>2650</v>
      </c>
      <c r="L1734" s="511" t="s">
        <v>2153</v>
      </c>
      <c r="M1734" s="412" t="s">
        <v>2651</v>
      </c>
      <c r="N1734" s="412" t="s">
        <v>2651</v>
      </c>
      <c r="O1734" s="1226" t="s">
        <v>1050</v>
      </c>
      <c r="P1734" s="1226" t="s">
        <v>1050</v>
      </c>
      <c r="Q1734" s="1226" t="s">
        <v>1050</v>
      </c>
    </row>
    <row r="1735" spans="2:17" ht="45" x14ac:dyDescent="0.25">
      <c r="B1735" s="898"/>
      <c r="C1735" s="618" t="s">
        <v>2</v>
      </c>
      <c r="D1735" s="985"/>
      <c r="E1735" s="426" t="s">
        <v>2652</v>
      </c>
      <c r="F1735" s="559">
        <v>6132.9</v>
      </c>
      <c r="G1735" s="559">
        <v>6132.9</v>
      </c>
      <c r="H1735" s="559">
        <f>7959.5</f>
        <v>7959.5</v>
      </c>
      <c r="I1735" s="559">
        <f>7959.5</f>
        <v>7959.5</v>
      </c>
      <c r="J1735" s="559">
        <f>7959.2</f>
        <v>7959.2</v>
      </c>
      <c r="K1735" s="426" t="s">
        <v>2653</v>
      </c>
      <c r="L1735" s="644" t="s">
        <v>1073</v>
      </c>
      <c r="M1735" s="644">
        <v>2</v>
      </c>
      <c r="N1735" s="644">
        <v>1</v>
      </c>
      <c r="O1735" s="1226" t="s">
        <v>1050</v>
      </c>
      <c r="P1735" s="1226" t="s">
        <v>1050</v>
      </c>
      <c r="Q1735" s="1226" t="s">
        <v>1050</v>
      </c>
    </row>
    <row r="1736" spans="2:17" x14ac:dyDescent="0.25">
      <c r="B1736" s="1566" t="s">
        <v>291</v>
      </c>
      <c r="C1736" s="1567"/>
      <c r="D1736" s="1567"/>
      <c r="E1736" s="1568"/>
      <c r="F1736" s="934">
        <f>SUM(F1729+F1734)</f>
        <v>11902.5</v>
      </c>
      <c r="G1736" s="934">
        <f>SUM(G1729+G1734)</f>
        <v>11402.5</v>
      </c>
      <c r="H1736" s="934">
        <f>SUM(H1729+H1734)</f>
        <v>11402.5</v>
      </c>
      <c r="I1736" s="934">
        <f>SUM(I1729+I1734)</f>
        <v>11412.4</v>
      </c>
      <c r="J1736" s="934">
        <f>SUM(J1729+J1734)</f>
        <v>11434.7</v>
      </c>
      <c r="K1736" s="1244"/>
      <c r="L1736" s="1244"/>
      <c r="M1736" s="1244"/>
      <c r="N1736" s="1244"/>
      <c r="O1736" s="1244"/>
      <c r="P1736" s="1244"/>
      <c r="Q1736" s="1244"/>
    </row>
    <row r="1737" spans="2:17" x14ac:dyDescent="0.25">
      <c r="B1737" s="1573" t="s">
        <v>2654</v>
      </c>
      <c r="C1737" s="1573"/>
      <c r="D1737" s="1573"/>
      <c r="E1737" s="1573"/>
      <c r="F1737" s="1573"/>
      <c r="G1737" s="1573"/>
      <c r="H1737" s="1573"/>
      <c r="I1737" s="1573"/>
      <c r="J1737" s="1573"/>
      <c r="K1737" s="1573"/>
      <c r="L1737" s="1573"/>
      <c r="M1737" s="1573"/>
      <c r="N1737" s="1573"/>
      <c r="O1737" s="1573"/>
      <c r="P1737" s="1573"/>
      <c r="Q1737" s="1573"/>
    </row>
    <row r="1738" spans="2:17" ht="74.25" x14ac:dyDescent="0.25">
      <c r="B1738" s="1025">
        <v>1</v>
      </c>
      <c r="C1738" s="958"/>
      <c r="D1738" s="958"/>
      <c r="E1738" s="477" t="s">
        <v>2432</v>
      </c>
      <c r="F1738" s="430">
        <f>F1739+F1740</f>
        <v>3248.6000000000004</v>
      </c>
      <c r="G1738" s="430">
        <f>G1739+G1740</f>
        <v>3210.7</v>
      </c>
      <c r="H1738" s="430">
        <f>H1739+H1740</f>
        <v>3536.6</v>
      </c>
      <c r="I1738" s="430">
        <f>I1739+I1740</f>
        <v>3213.5</v>
      </c>
      <c r="J1738" s="430">
        <f>J1739+J1740</f>
        <v>3219.7999999999997</v>
      </c>
      <c r="K1738" s="1140" t="s">
        <v>2363</v>
      </c>
      <c r="L1738" s="511" t="s">
        <v>14</v>
      </c>
      <c r="M1738" s="22">
        <v>29</v>
      </c>
      <c r="N1738" s="22">
        <f>N1739+N1740</f>
        <v>29</v>
      </c>
      <c r="O1738" s="22">
        <f>O1739+O1740</f>
        <v>29</v>
      </c>
      <c r="P1738" s="22">
        <f>P1739+P1740</f>
        <v>29</v>
      </c>
      <c r="Q1738" s="22">
        <f>Q1739+Q1740</f>
        <v>29</v>
      </c>
    </row>
    <row r="1739" spans="2:17" ht="30" x14ac:dyDescent="0.25">
      <c r="B1739" s="1245"/>
      <c r="C1739" s="424">
        <v>1</v>
      </c>
      <c r="D1739" s="958"/>
      <c r="E1739" s="663" t="s">
        <v>2655</v>
      </c>
      <c r="F1739" s="557">
        <v>2275.9</v>
      </c>
      <c r="G1739" s="557">
        <v>2275</v>
      </c>
      <c r="H1739" s="557">
        <f>2275+47.5+7.1</f>
        <v>2329.6</v>
      </c>
      <c r="I1739" s="557">
        <v>2329.6</v>
      </c>
      <c r="J1739" s="557">
        <f>2329.6+0.2</f>
        <v>2329.7999999999997</v>
      </c>
      <c r="K1739" s="1246" t="s">
        <v>2656</v>
      </c>
      <c r="L1739" s="511" t="s">
        <v>15</v>
      </c>
      <c r="M1739" s="22"/>
      <c r="N1739" s="22"/>
      <c r="O1739" s="26"/>
      <c r="P1739" s="26"/>
      <c r="Q1739" s="26"/>
    </row>
    <row r="1740" spans="2:17" ht="30" x14ac:dyDescent="0.25">
      <c r="B1740" s="1245"/>
      <c r="C1740" s="424">
        <v>2</v>
      </c>
      <c r="D1740" s="958"/>
      <c r="E1740" s="494" t="s">
        <v>2657</v>
      </c>
      <c r="F1740" s="557">
        <v>972.7</v>
      </c>
      <c r="G1740" s="557">
        <v>935.7</v>
      </c>
      <c r="H1740" s="557">
        <f>935.7+271.3</f>
        <v>1207</v>
      </c>
      <c r="I1740" s="557">
        <v>883.9</v>
      </c>
      <c r="J1740" s="557">
        <v>890</v>
      </c>
      <c r="K1740" s="628" t="s">
        <v>834</v>
      </c>
      <c r="L1740" s="511" t="s">
        <v>14</v>
      </c>
      <c r="M1740" s="22">
        <v>29</v>
      </c>
      <c r="N1740" s="22">
        <v>29</v>
      </c>
      <c r="O1740" s="26">
        <v>29</v>
      </c>
      <c r="P1740" s="26">
        <v>29</v>
      </c>
      <c r="Q1740" s="26">
        <v>29</v>
      </c>
    </row>
    <row r="1741" spans="2:17" x14ac:dyDescent="0.25">
      <c r="B1741" s="1566" t="s">
        <v>291</v>
      </c>
      <c r="C1741" s="1567"/>
      <c r="D1741" s="1567"/>
      <c r="E1741" s="1568"/>
      <c r="F1741" s="934">
        <f>F1738</f>
        <v>3248.6000000000004</v>
      </c>
      <c r="G1741" s="934">
        <f>G1738</f>
        <v>3210.7</v>
      </c>
      <c r="H1741" s="934">
        <f>H1738</f>
        <v>3536.6</v>
      </c>
      <c r="I1741" s="934">
        <f>I1738</f>
        <v>3213.5</v>
      </c>
      <c r="J1741" s="934">
        <f>J1738</f>
        <v>3219.7999999999997</v>
      </c>
      <c r="K1741" s="822"/>
      <c r="L1741" s="1765"/>
      <c r="M1741" s="1765"/>
      <c r="N1741" s="1765"/>
      <c r="O1741" s="1765"/>
      <c r="P1741" s="1765"/>
      <c r="Q1741" s="1765"/>
    </row>
    <row r="1742" spans="2:17" ht="15.75" thickBot="1" x14ac:dyDescent="0.3">
      <c r="B1742" s="1573" t="s">
        <v>2658</v>
      </c>
      <c r="C1742" s="1573"/>
      <c r="D1742" s="1573"/>
      <c r="E1742" s="1573"/>
      <c r="F1742" s="1573"/>
      <c r="G1742" s="1573"/>
      <c r="H1742" s="1573"/>
      <c r="I1742" s="1573"/>
      <c r="J1742" s="1573"/>
      <c r="K1742" s="1573"/>
      <c r="L1742" s="1573"/>
      <c r="M1742" s="1573"/>
      <c r="N1742" s="1573"/>
      <c r="O1742" s="1573"/>
      <c r="P1742" s="1573"/>
      <c r="Q1742" s="1573"/>
    </row>
    <row r="1743" spans="2:17" ht="74.25" x14ac:dyDescent="0.25">
      <c r="B1743" s="1126">
        <v>1</v>
      </c>
      <c r="C1743" s="422"/>
      <c r="D1743" s="981"/>
      <c r="E1743" s="477" t="s">
        <v>2432</v>
      </c>
      <c r="F1743" s="430">
        <f>F1744</f>
        <v>3010.2</v>
      </c>
      <c r="G1743" s="627">
        <v>3010.2</v>
      </c>
      <c r="H1743" s="627">
        <v>3010.2</v>
      </c>
      <c r="I1743" s="430">
        <v>3023.3</v>
      </c>
      <c r="J1743" s="627">
        <v>3049.7</v>
      </c>
      <c r="K1743" s="1140" t="s">
        <v>2363</v>
      </c>
      <c r="L1743" s="635" t="s">
        <v>14</v>
      </c>
      <c r="M1743" s="635">
        <v>20</v>
      </c>
      <c r="N1743" s="635">
        <v>20</v>
      </c>
      <c r="O1743" s="635">
        <v>20</v>
      </c>
      <c r="P1743" s="635">
        <v>20</v>
      </c>
      <c r="Q1743" s="635">
        <v>20</v>
      </c>
    </row>
    <row r="1744" spans="2:17" ht="45" x14ac:dyDescent="0.25">
      <c r="B1744" s="1128"/>
      <c r="C1744" s="1129">
        <v>1</v>
      </c>
      <c r="D1744" s="422"/>
      <c r="E1744" s="495" t="s">
        <v>2659</v>
      </c>
      <c r="F1744" s="557">
        <v>3010.2</v>
      </c>
      <c r="G1744" s="557">
        <v>3010.2</v>
      </c>
      <c r="H1744" s="557">
        <v>3010.2</v>
      </c>
      <c r="I1744" s="557">
        <v>3023.3</v>
      </c>
      <c r="J1744" s="539">
        <v>3049.7</v>
      </c>
      <c r="K1744" s="589" t="s">
        <v>2660</v>
      </c>
      <c r="L1744" s="511" t="s">
        <v>14</v>
      </c>
      <c r="M1744" s="511">
        <v>100</v>
      </c>
      <c r="N1744" s="511">
        <v>100</v>
      </c>
      <c r="O1744" s="511">
        <v>100</v>
      </c>
      <c r="P1744" s="511">
        <v>100</v>
      </c>
      <c r="Q1744" s="511">
        <v>100</v>
      </c>
    </row>
    <row r="1745" spans="2:17" ht="120" x14ac:dyDescent="0.25">
      <c r="B1745" s="1128">
        <v>2</v>
      </c>
      <c r="C1745" s="1247"/>
      <c r="D1745" s="422"/>
      <c r="E1745" s="1248" t="s">
        <v>2661</v>
      </c>
      <c r="F1745" s="430">
        <f>F1746</f>
        <v>12034</v>
      </c>
      <c r="G1745" s="430">
        <v>12034</v>
      </c>
      <c r="H1745" s="430">
        <v>12034</v>
      </c>
      <c r="I1745" s="430">
        <v>12034</v>
      </c>
      <c r="J1745" s="430">
        <v>12037</v>
      </c>
      <c r="K1745" s="265" t="s">
        <v>2662</v>
      </c>
      <c r="L1745" s="511"/>
      <c r="M1745" s="583">
        <v>30</v>
      </c>
      <c r="N1745" s="583">
        <v>30</v>
      </c>
      <c r="O1745" s="583">
        <v>30</v>
      </c>
      <c r="P1745" s="583">
        <v>30</v>
      </c>
      <c r="Q1745" s="583">
        <v>30</v>
      </c>
    </row>
    <row r="1746" spans="2:17" ht="120" x14ac:dyDescent="0.25">
      <c r="B1746" s="1249"/>
      <c r="C1746" s="1250">
        <v>1</v>
      </c>
      <c r="D1746" s="1251"/>
      <c r="E1746" s="1252" t="s">
        <v>2663</v>
      </c>
      <c r="F1746" s="559">
        <v>12034</v>
      </c>
      <c r="G1746" s="559">
        <v>12034</v>
      </c>
      <c r="H1746" s="559">
        <v>12034</v>
      </c>
      <c r="I1746" s="559">
        <v>12034</v>
      </c>
      <c r="J1746" s="559">
        <v>12037</v>
      </c>
      <c r="K1746" s="265" t="s">
        <v>2662</v>
      </c>
      <c r="L1746" s="644"/>
      <c r="M1746" s="644">
        <v>30</v>
      </c>
      <c r="N1746" s="644">
        <v>30</v>
      </c>
      <c r="O1746" s="644">
        <v>30</v>
      </c>
      <c r="P1746" s="644">
        <v>30</v>
      </c>
      <c r="Q1746" s="644">
        <v>30</v>
      </c>
    </row>
    <row r="1747" spans="2:17" x14ac:dyDescent="0.25">
      <c r="B1747" s="1566" t="s">
        <v>291</v>
      </c>
      <c r="C1747" s="1567"/>
      <c r="D1747" s="1567"/>
      <c r="E1747" s="1568"/>
      <c r="F1747" s="934">
        <f>SUM(F1745+F1743)</f>
        <v>15044.2</v>
      </c>
      <c r="G1747" s="934">
        <f>SUM(G1745+G1743)</f>
        <v>15044.2</v>
      </c>
      <c r="H1747" s="934">
        <f>SUM(H1745+H1743)</f>
        <v>15044.2</v>
      </c>
      <c r="I1747" s="934">
        <f>SUM(I1745+I1743)</f>
        <v>15057.3</v>
      </c>
      <c r="J1747" s="934">
        <f>SUM(J1745+J1743)</f>
        <v>15086.7</v>
      </c>
      <c r="K1747" s="822"/>
      <c r="L1747" s="1572"/>
      <c r="M1747" s="1572"/>
      <c r="N1747" s="1572"/>
      <c r="O1747" s="1572"/>
      <c r="P1747" s="1572"/>
      <c r="Q1747" s="1572"/>
    </row>
    <row r="1748" spans="2:17" x14ac:dyDescent="0.25">
      <c r="B1748" s="1643" t="s">
        <v>2664</v>
      </c>
      <c r="C1748" s="1643"/>
      <c r="D1748" s="1643"/>
      <c r="E1748" s="1643"/>
      <c r="F1748" s="1573"/>
      <c r="G1748" s="1573"/>
      <c r="H1748" s="1573"/>
      <c r="I1748" s="1573"/>
      <c r="J1748" s="1573"/>
      <c r="K1748" s="1573"/>
      <c r="L1748" s="1573"/>
      <c r="M1748" s="1573"/>
      <c r="N1748" s="1573"/>
      <c r="O1748" s="1573"/>
      <c r="P1748" s="1573"/>
      <c r="Q1748" s="1573"/>
    </row>
    <row r="1749" spans="2:17" ht="74.25" x14ac:dyDescent="0.25">
      <c r="B1749" s="335">
        <v>1</v>
      </c>
      <c r="C1749" s="965"/>
      <c r="D1749" s="1253"/>
      <c r="E1749" s="477" t="s">
        <v>2432</v>
      </c>
      <c r="F1749" s="627">
        <f>SUM(F1750:F1754)</f>
        <v>13024.8</v>
      </c>
      <c r="G1749" s="627">
        <f>SUM(G1750:G1754)</f>
        <v>13194.699999999999</v>
      </c>
      <c r="H1749" s="627">
        <f>SUM(H1750:H1754)</f>
        <v>19366.8</v>
      </c>
      <c r="I1749" s="627">
        <f>SUM(I1750:I1754)</f>
        <v>19402.400000000001</v>
      </c>
      <c r="J1749" s="627">
        <f>SUM(J1750:J1754)</f>
        <v>19482.100000000002</v>
      </c>
      <c r="K1749" s="682"/>
      <c r="L1749" s="222" t="s">
        <v>14</v>
      </c>
      <c r="M1749" s="222"/>
      <c r="N1749" s="222"/>
      <c r="O1749" s="222"/>
      <c r="P1749" s="222"/>
      <c r="Q1749" s="222"/>
    </row>
    <row r="1750" spans="2:17" ht="45" x14ac:dyDescent="0.25">
      <c r="B1750" s="1254"/>
      <c r="C1750" s="1255">
        <v>1</v>
      </c>
      <c r="D1750" s="336"/>
      <c r="E1750" s="719" t="s">
        <v>140</v>
      </c>
      <c r="F1750" s="1256">
        <v>2689.5</v>
      </c>
      <c r="G1750" s="557">
        <f>3379.4</f>
        <v>3379.4</v>
      </c>
      <c r="H1750" s="557">
        <v>5282.8</v>
      </c>
      <c r="I1750" s="557">
        <f>5282.8+35.6</f>
        <v>5318.4000000000005</v>
      </c>
      <c r="J1750" s="557">
        <f>5282.8+115.3</f>
        <v>5398.1</v>
      </c>
      <c r="K1750" s="78" t="s">
        <v>2665</v>
      </c>
      <c r="L1750" s="210" t="s">
        <v>14</v>
      </c>
      <c r="M1750" s="210">
        <v>100</v>
      </c>
      <c r="N1750" s="210">
        <v>100</v>
      </c>
      <c r="O1750" s="210">
        <v>100</v>
      </c>
      <c r="P1750" s="210">
        <v>100</v>
      </c>
      <c r="Q1750" s="210">
        <v>100</v>
      </c>
    </row>
    <row r="1751" spans="2:17" ht="30" x14ac:dyDescent="0.25">
      <c r="B1751" s="1254"/>
      <c r="C1751" s="1255">
        <v>2</v>
      </c>
      <c r="D1751" s="336"/>
      <c r="E1751" s="494" t="s">
        <v>2666</v>
      </c>
      <c r="F1751" s="1256">
        <v>3636.5</v>
      </c>
      <c r="G1751" s="557">
        <f>3424.5</f>
        <v>3424.5</v>
      </c>
      <c r="H1751" s="557">
        <v>1695.8</v>
      </c>
      <c r="I1751" s="557">
        <v>1695.8</v>
      </c>
      <c r="J1751" s="557">
        <v>1695.8</v>
      </c>
      <c r="K1751" s="628" t="s">
        <v>834</v>
      </c>
      <c r="L1751" s="210" t="s">
        <v>14</v>
      </c>
      <c r="M1751" s="210">
        <v>100</v>
      </c>
      <c r="N1751" s="210">
        <v>100</v>
      </c>
      <c r="O1751" s="210">
        <v>100</v>
      </c>
      <c r="P1751" s="210">
        <v>100</v>
      </c>
      <c r="Q1751" s="210">
        <v>100</v>
      </c>
    </row>
    <row r="1752" spans="2:17" ht="45" x14ac:dyDescent="0.25">
      <c r="B1752" s="1254"/>
      <c r="C1752" s="1255">
        <v>5</v>
      </c>
      <c r="D1752" s="336"/>
      <c r="E1752" s="527" t="s">
        <v>2667</v>
      </c>
      <c r="F1752" s="1256">
        <v>535.29999999999995</v>
      </c>
      <c r="G1752" s="557">
        <f>600</f>
        <v>600</v>
      </c>
      <c r="H1752" s="557">
        <v>5623.6</v>
      </c>
      <c r="I1752" s="557">
        <v>5623.6</v>
      </c>
      <c r="J1752" s="557">
        <v>5623.6</v>
      </c>
      <c r="K1752" s="589" t="s">
        <v>2668</v>
      </c>
      <c r="L1752" s="644" t="s">
        <v>1073</v>
      </c>
      <c r="M1752" s="210" t="s">
        <v>2669</v>
      </c>
      <c r="N1752" s="210" t="s">
        <v>2669</v>
      </c>
      <c r="O1752" s="210" t="s">
        <v>2669</v>
      </c>
      <c r="P1752" s="210" t="s">
        <v>2669</v>
      </c>
      <c r="Q1752" s="210" t="s">
        <v>2669</v>
      </c>
    </row>
    <row r="1753" spans="2:17" ht="45" x14ac:dyDescent="0.25">
      <c r="B1753" s="1254"/>
      <c r="C1753" s="1255">
        <v>6</v>
      </c>
      <c r="D1753" s="336"/>
      <c r="E1753" s="1192" t="s">
        <v>2524</v>
      </c>
      <c r="F1753" s="1256">
        <v>3634</v>
      </c>
      <c r="G1753" s="557">
        <f>3989</f>
        <v>3989</v>
      </c>
      <c r="H1753" s="557">
        <v>5733.4</v>
      </c>
      <c r="I1753" s="557">
        <v>5733.4</v>
      </c>
      <c r="J1753" s="557">
        <v>5733.4</v>
      </c>
      <c r="K1753" s="628" t="s">
        <v>2467</v>
      </c>
      <c r="L1753" s="210" t="s">
        <v>14</v>
      </c>
      <c r="M1753" s="210">
        <v>41.6</v>
      </c>
      <c r="N1753" s="210">
        <v>41.6</v>
      </c>
      <c r="O1753" s="210">
        <v>41.6</v>
      </c>
      <c r="P1753" s="210">
        <v>41.6</v>
      </c>
      <c r="Q1753" s="210">
        <v>41.6</v>
      </c>
    </row>
    <row r="1754" spans="2:17" ht="45" x14ac:dyDescent="0.25">
      <c r="B1754" s="1254"/>
      <c r="C1754" s="1255">
        <v>7</v>
      </c>
      <c r="D1754" s="336"/>
      <c r="E1754" s="679" t="s">
        <v>2670</v>
      </c>
      <c r="F1754" s="1256">
        <v>2529.5</v>
      </c>
      <c r="G1754" s="557">
        <f>1801.8</f>
        <v>1801.8</v>
      </c>
      <c r="H1754" s="557">
        <v>1031.2</v>
      </c>
      <c r="I1754" s="557">
        <v>1031.2</v>
      </c>
      <c r="J1754" s="557">
        <v>1031.2</v>
      </c>
      <c r="K1754" s="589" t="s">
        <v>2671</v>
      </c>
      <c r="L1754" s="644" t="s">
        <v>1073</v>
      </c>
      <c r="M1754" s="210" t="s">
        <v>2669</v>
      </c>
      <c r="N1754" s="210" t="s">
        <v>2669</v>
      </c>
      <c r="O1754" s="210" t="s">
        <v>2669</v>
      </c>
      <c r="P1754" s="210" t="s">
        <v>2669</v>
      </c>
      <c r="Q1754" s="210" t="s">
        <v>2669</v>
      </c>
    </row>
    <row r="1755" spans="2:17" ht="28.5" x14ac:dyDescent="0.25">
      <c r="B1755" s="337" t="s">
        <v>91</v>
      </c>
      <c r="C1755" s="1257"/>
      <c r="D1755" s="1257"/>
      <c r="E1755" s="682" t="s">
        <v>2672</v>
      </c>
      <c r="F1755" s="430">
        <f>SUM(F1750:F1754)</f>
        <v>13024.8</v>
      </c>
      <c r="G1755" s="430">
        <f>SUM(G1756:G1760)</f>
        <v>14008.4</v>
      </c>
      <c r="H1755" s="430">
        <f>SUM(H1756:H1760)</f>
        <v>21472.9</v>
      </c>
      <c r="I1755" s="430">
        <f>SUM(I1756:I1760)</f>
        <v>21472.9</v>
      </c>
      <c r="J1755" s="430">
        <f>SUM(J1756:J1760)</f>
        <v>21472.9</v>
      </c>
      <c r="K1755" s="209"/>
      <c r="L1755" s="210"/>
      <c r="M1755" s="209"/>
      <c r="N1755" s="1258"/>
      <c r="O1755" s="1258"/>
      <c r="P1755" s="1258"/>
      <c r="Q1755" s="1258"/>
    </row>
    <row r="1756" spans="2:17" ht="105" x14ac:dyDescent="0.25">
      <c r="B1756" s="1259"/>
      <c r="C1756" s="325" t="s">
        <v>2</v>
      </c>
      <c r="D1756" s="1257"/>
      <c r="E1756" s="32" t="s">
        <v>2673</v>
      </c>
      <c r="F1756" s="559">
        <v>7506.1</v>
      </c>
      <c r="G1756" s="557">
        <f>7432.6</f>
        <v>7432.6</v>
      </c>
      <c r="H1756" s="557">
        <v>9194.5</v>
      </c>
      <c r="I1756" s="557">
        <v>9194.5</v>
      </c>
      <c r="J1756" s="557">
        <v>9194.5</v>
      </c>
      <c r="K1756" s="759" t="s">
        <v>2674</v>
      </c>
      <c r="L1756" s="210" t="s">
        <v>979</v>
      </c>
      <c r="M1756" s="210" t="s">
        <v>1050</v>
      </c>
      <c r="N1756" s="210" t="s">
        <v>1050</v>
      </c>
      <c r="O1756" s="210" t="s">
        <v>1050</v>
      </c>
      <c r="P1756" s="210" t="s">
        <v>1050</v>
      </c>
      <c r="Q1756" s="210" t="s">
        <v>1050</v>
      </c>
    </row>
    <row r="1757" spans="2:17" ht="75" x14ac:dyDescent="0.25">
      <c r="B1757" s="1259"/>
      <c r="C1757" s="325" t="s">
        <v>3</v>
      </c>
      <c r="D1757" s="1257"/>
      <c r="E1757" s="32" t="s">
        <v>2675</v>
      </c>
      <c r="F1757" s="559">
        <v>1605.5</v>
      </c>
      <c r="G1757" s="557">
        <f>1801.9</f>
        <v>1801.9</v>
      </c>
      <c r="H1757" s="557">
        <v>2703.2</v>
      </c>
      <c r="I1757" s="557">
        <v>2703.2</v>
      </c>
      <c r="J1757" s="557">
        <v>2703.2</v>
      </c>
      <c r="K1757" s="759" t="s">
        <v>2676</v>
      </c>
      <c r="L1757" s="210" t="s">
        <v>2677</v>
      </c>
      <c r="M1757" s="210" t="s">
        <v>1050</v>
      </c>
      <c r="N1757" s="210" t="s">
        <v>1050</v>
      </c>
      <c r="O1757" s="210" t="s">
        <v>1050</v>
      </c>
      <c r="P1757" s="210" t="s">
        <v>1050</v>
      </c>
      <c r="Q1757" s="210" t="s">
        <v>1050</v>
      </c>
    </row>
    <row r="1758" spans="2:17" ht="105" x14ac:dyDescent="0.25">
      <c r="B1758" s="1259"/>
      <c r="C1758" s="325" t="s">
        <v>4</v>
      </c>
      <c r="D1758" s="1257"/>
      <c r="E1758" s="32" t="s">
        <v>2678</v>
      </c>
      <c r="F1758" s="559">
        <v>2237.6999999999998</v>
      </c>
      <c r="G1758" s="557">
        <f>2071</f>
        <v>2071</v>
      </c>
      <c r="H1758" s="557">
        <v>3973.8</v>
      </c>
      <c r="I1758" s="557">
        <v>3973.8</v>
      </c>
      <c r="J1758" s="557">
        <v>3973.8</v>
      </c>
      <c r="K1758" s="209" t="s">
        <v>2679</v>
      </c>
      <c r="L1758" s="210" t="s">
        <v>14</v>
      </c>
      <c r="M1758" s="210">
        <v>100</v>
      </c>
      <c r="N1758" s="210">
        <v>100</v>
      </c>
      <c r="O1758" s="210">
        <v>100</v>
      </c>
      <c r="P1758" s="210">
        <v>100</v>
      </c>
      <c r="Q1758" s="210">
        <v>100</v>
      </c>
    </row>
    <row r="1759" spans="2:17" ht="60" x14ac:dyDescent="0.25">
      <c r="B1759" s="1259"/>
      <c r="C1759" s="325" t="s">
        <v>5</v>
      </c>
      <c r="D1759" s="1257"/>
      <c r="E1759" s="1260" t="s">
        <v>2680</v>
      </c>
      <c r="F1759" s="559">
        <v>1426.4</v>
      </c>
      <c r="G1759" s="557">
        <f>1351.4</f>
        <v>1351.4</v>
      </c>
      <c r="H1759" s="557">
        <v>1585.2</v>
      </c>
      <c r="I1759" s="557">
        <v>1585.2</v>
      </c>
      <c r="J1759" s="557">
        <v>1585.2</v>
      </c>
      <c r="K1759" s="209" t="s">
        <v>2681</v>
      </c>
      <c r="L1759" s="210" t="s">
        <v>979</v>
      </c>
      <c r="M1759" s="210" t="s">
        <v>1050</v>
      </c>
      <c r="N1759" s="210" t="s">
        <v>1050</v>
      </c>
      <c r="O1759" s="210" t="s">
        <v>1050</v>
      </c>
      <c r="P1759" s="210" t="s">
        <v>1050</v>
      </c>
      <c r="Q1759" s="210" t="s">
        <v>1050</v>
      </c>
    </row>
    <row r="1760" spans="2:17" ht="60" x14ac:dyDescent="0.25">
      <c r="B1760" s="684"/>
      <c r="C1760" s="344" t="s">
        <v>49</v>
      </c>
      <c r="D1760" s="218"/>
      <c r="E1760" s="589" t="s">
        <v>2682</v>
      </c>
      <c r="F1760" s="559">
        <v>1402.6</v>
      </c>
      <c r="G1760" s="557">
        <f>1351.5</f>
        <v>1351.5</v>
      </c>
      <c r="H1760" s="557">
        <v>4016.2</v>
      </c>
      <c r="I1760" s="557">
        <v>4016.2</v>
      </c>
      <c r="J1760" s="557">
        <v>4016.2</v>
      </c>
      <c r="K1760" s="220" t="s">
        <v>2683</v>
      </c>
      <c r="L1760" s="210" t="s">
        <v>979</v>
      </c>
      <c r="M1760" s="210" t="s">
        <v>1050</v>
      </c>
      <c r="N1760" s="210" t="s">
        <v>1050</v>
      </c>
      <c r="O1760" s="210" t="s">
        <v>1050</v>
      </c>
      <c r="P1760" s="210" t="s">
        <v>1050</v>
      </c>
      <c r="Q1760" s="210" t="s">
        <v>1050</v>
      </c>
    </row>
    <row r="1761" spans="2:17" x14ac:dyDescent="0.25">
      <c r="B1761" s="1566" t="s">
        <v>291</v>
      </c>
      <c r="C1761" s="1567"/>
      <c r="D1761" s="1567"/>
      <c r="E1761" s="1568"/>
      <c r="F1761" s="1261">
        <f>SUM(F1755+F1749)</f>
        <v>26049.599999999999</v>
      </c>
      <c r="G1761" s="1261">
        <f>SUM(G1755+G1749)</f>
        <v>27203.1</v>
      </c>
      <c r="H1761" s="1261">
        <f>SUM(H1755+H1749)</f>
        <v>40839.699999999997</v>
      </c>
      <c r="I1761" s="1261">
        <f>SUM(I1755+I1749)</f>
        <v>40875.300000000003</v>
      </c>
      <c r="J1761" s="1261">
        <f>SUM(J1755+J1749)</f>
        <v>40955</v>
      </c>
      <c r="K1761" s="827"/>
      <c r="L1761" s="1674"/>
      <c r="M1761" s="1674"/>
      <c r="N1761" s="1674"/>
      <c r="O1761" s="1674"/>
      <c r="P1761" s="1674"/>
      <c r="Q1761" s="1674"/>
    </row>
    <row r="1762" spans="2:17" x14ac:dyDescent="0.25">
      <c r="B1762" s="1589" t="s">
        <v>2684</v>
      </c>
      <c r="C1762" s="1590"/>
      <c r="D1762" s="1590"/>
      <c r="E1762" s="1590"/>
      <c r="F1762" s="1590"/>
      <c r="G1762" s="1590"/>
      <c r="H1762" s="1590"/>
      <c r="I1762" s="1590"/>
      <c r="J1762" s="1590"/>
      <c r="K1762" s="1590"/>
      <c r="L1762" s="1590"/>
      <c r="M1762" s="1590"/>
      <c r="N1762" s="1590"/>
      <c r="O1762" s="1590"/>
      <c r="P1762" s="1590"/>
      <c r="Q1762" s="1590"/>
    </row>
    <row r="1763" spans="2:17" ht="74.25" x14ac:dyDescent="0.25">
      <c r="B1763" s="1262">
        <v>1</v>
      </c>
      <c r="C1763" s="422"/>
      <c r="D1763" s="981"/>
      <c r="E1763" s="477" t="s">
        <v>2432</v>
      </c>
      <c r="F1763" s="635"/>
      <c r="G1763" s="627">
        <f>G1764+G1765+G1766+G1767+G1769+G1770+G1774+G1772</f>
        <v>54423.259999999995</v>
      </c>
      <c r="H1763" s="627">
        <f>SUM(H1764:H1774)</f>
        <v>54073.9</v>
      </c>
      <c r="I1763" s="627">
        <f>I1764+I1765+I1766+I1767+I1769+I1770+I1774+I1772</f>
        <v>53293.399999999994</v>
      </c>
      <c r="J1763" s="627">
        <f>J1764+J1765+J1766+J1767+J1769+J1770+J1774+J1772</f>
        <v>53393.399999999994</v>
      </c>
      <c r="K1763" s="1140" t="s">
        <v>2363</v>
      </c>
      <c r="L1763" s="635" t="s">
        <v>14</v>
      </c>
      <c r="M1763" s="635"/>
      <c r="N1763" s="635"/>
      <c r="O1763" s="635"/>
      <c r="P1763" s="1263"/>
      <c r="Q1763" s="1264"/>
    </row>
    <row r="1764" spans="2:17" ht="30" x14ac:dyDescent="0.25">
      <c r="B1764" s="1265"/>
      <c r="C1764" s="1129">
        <v>1</v>
      </c>
      <c r="D1764" s="422"/>
      <c r="E1764" s="719" t="s">
        <v>140</v>
      </c>
      <c r="F1764" s="1557"/>
      <c r="G1764" s="557">
        <v>4367.17</v>
      </c>
      <c r="H1764" s="557">
        <v>6973.5</v>
      </c>
      <c r="I1764" s="557">
        <v>5263.1</v>
      </c>
      <c r="J1764" s="557">
        <f>5263.1+15</f>
        <v>5278.1</v>
      </c>
      <c r="K1764" s="1246" t="s">
        <v>501</v>
      </c>
      <c r="L1764" s="511" t="s">
        <v>15</v>
      </c>
      <c r="M1764" s="511">
        <v>31.6</v>
      </c>
      <c r="N1764" s="511" t="s">
        <v>2685</v>
      </c>
      <c r="O1764" s="511" t="s">
        <v>2685</v>
      </c>
      <c r="P1764" s="511" t="s">
        <v>2685</v>
      </c>
      <c r="Q1764" s="511" t="s">
        <v>2685</v>
      </c>
    </row>
    <row r="1765" spans="2:17" ht="30" x14ac:dyDescent="0.25">
      <c r="B1765" s="1265"/>
      <c r="C1765" s="423">
        <v>2</v>
      </c>
      <c r="D1765" s="422"/>
      <c r="E1765" s="494" t="s">
        <v>2666</v>
      </c>
      <c r="F1765" s="1558"/>
      <c r="G1765" s="557">
        <v>3874.57</v>
      </c>
      <c r="H1765" s="557">
        <v>3021.1</v>
      </c>
      <c r="I1765" s="557">
        <v>4247.5</v>
      </c>
      <c r="J1765" s="557">
        <f>4247.5+10+5</f>
        <v>4262.5</v>
      </c>
      <c r="K1765" s="628" t="s">
        <v>834</v>
      </c>
      <c r="L1765" s="511" t="s">
        <v>14</v>
      </c>
      <c r="M1765" s="511">
        <v>100</v>
      </c>
      <c r="N1765" s="511">
        <v>100</v>
      </c>
      <c r="O1765" s="511">
        <v>100</v>
      </c>
      <c r="P1765" s="1155">
        <v>100</v>
      </c>
      <c r="Q1765" s="1266">
        <v>100</v>
      </c>
    </row>
    <row r="1766" spans="2:17" ht="45" x14ac:dyDescent="0.25">
      <c r="B1766" s="1265"/>
      <c r="C1766" s="423">
        <v>3</v>
      </c>
      <c r="D1766" s="422"/>
      <c r="E1766" s="1190" t="s">
        <v>262</v>
      </c>
      <c r="F1766" s="1558"/>
      <c r="G1766" s="557">
        <v>3025.66</v>
      </c>
      <c r="H1766" s="557">
        <v>4518</v>
      </c>
      <c r="I1766" s="557">
        <v>3223.6</v>
      </c>
      <c r="J1766" s="557">
        <f>3223.6+10+5</f>
        <v>3238.6</v>
      </c>
      <c r="K1766" s="628" t="s">
        <v>2686</v>
      </c>
      <c r="L1766" s="511" t="s">
        <v>1073</v>
      </c>
      <c r="M1766" s="511">
        <v>32</v>
      </c>
      <c r="N1766" s="511">
        <v>30</v>
      </c>
      <c r="O1766" s="511">
        <v>28</v>
      </c>
      <c r="P1766" s="1155">
        <v>28</v>
      </c>
      <c r="Q1766" s="1266">
        <v>28</v>
      </c>
    </row>
    <row r="1767" spans="2:17" ht="105" x14ac:dyDescent="0.25">
      <c r="B1767" s="1265"/>
      <c r="C1767" s="423">
        <v>4</v>
      </c>
      <c r="D1767" s="422"/>
      <c r="E1767" s="589" t="s">
        <v>2687</v>
      </c>
      <c r="F1767" s="1557"/>
      <c r="G1767" s="557">
        <v>3122.66</v>
      </c>
      <c r="H1767" s="557">
        <v>4461.3</v>
      </c>
      <c r="I1767" s="557">
        <v>3320.6</v>
      </c>
      <c r="J1767" s="557">
        <f>3320.6+10+5</f>
        <v>3335.6</v>
      </c>
      <c r="K1767" s="628" t="s">
        <v>2688</v>
      </c>
      <c r="L1767" s="511"/>
      <c r="M1767" s="511">
        <v>100</v>
      </c>
      <c r="N1767" s="511">
        <v>100</v>
      </c>
      <c r="O1767" s="511">
        <v>100</v>
      </c>
      <c r="P1767" s="1155">
        <v>100</v>
      </c>
      <c r="Q1767" s="1266">
        <v>100</v>
      </c>
    </row>
    <row r="1768" spans="2:17" ht="30" x14ac:dyDescent="0.25">
      <c r="B1768" s="1265"/>
      <c r="C1768" s="423">
        <v>5</v>
      </c>
      <c r="D1768" s="422"/>
      <c r="E1768" s="197" t="s">
        <v>2667</v>
      </c>
      <c r="F1768" s="1557"/>
      <c r="G1768" s="557"/>
      <c r="H1768" s="557">
        <v>5254.4</v>
      </c>
      <c r="I1768" s="557"/>
      <c r="J1768" s="557"/>
      <c r="K1768" s="628"/>
      <c r="L1768" s="511"/>
      <c r="M1768" s="511"/>
      <c r="N1768" s="511"/>
      <c r="O1768" s="511"/>
      <c r="P1768" s="1155"/>
      <c r="Q1768" s="1266"/>
    </row>
    <row r="1769" spans="2:17" ht="30" x14ac:dyDescent="0.25">
      <c r="B1769" s="1265"/>
      <c r="C1769" s="423">
        <v>6</v>
      </c>
      <c r="D1769" s="422"/>
      <c r="E1769" s="1192" t="s">
        <v>2524</v>
      </c>
      <c r="F1769" s="1155"/>
      <c r="G1769" s="557">
        <v>12920.5</v>
      </c>
      <c r="H1769" s="557">
        <v>7230.4</v>
      </c>
      <c r="I1769" s="557">
        <v>12568.3</v>
      </c>
      <c r="J1769" s="557">
        <f>12568.3+10+15</f>
        <v>12593.3</v>
      </c>
      <c r="K1769" s="628"/>
      <c r="L1769" s="511"/>
      <c r="M1769" s="511"/>
      <c r="N1769" s="511"/>
      <c r="O1769" s="511"/>
      <c r="P1769" s="1155"/>
      <c r="Q1769" s="1266"/>
    </row>
    <row r="1770" spans="2:17" ht="75" x14ac:dyDescent="0.25">
      <c r="B1770" s="1759"/>
      <c r="C1770" s="1733">
        <v>41</v>
      </c>
      <c r="D1770" s="1739"/>
      <c r="E1770" s="1761" t="s">
        <v>2689</v>
      </c>
      <c r="F1770" s="1739"/>
      <c r="G1770" s="1599">
        <v>1067.9100000000001</v>
      </c>
      <c r="H1770" s="1599">
        <v>2853.2</v>
      </c>
      <c r="I1770" s="1599">
        <v>1015.8</v>
      </c>
      <c r="J1770" s="1599">
        <v>1015.8</v>
      </c>
      <c r="K1770" s="589" t="s">
        <v>2690</v>
      </c>
      <c r="L1770" s="511" t="s">
        <v>14</v>
      </c>
      <c r="M1770" s="511">
        <v>90</v>
      </c>
      <c r="N1770" s="511">
        <v>100</v>
      </c>
      <c r="O1770" s="511">
        <v>100</v>
      </c>
      <c r="P1770" s="1155">
        <v>100</v>
      </c>
      <c r="Q1770" s="1266">
        <v>100</v>
      </c>
    </row>
    <row r="1771" spans="2:17" ht="60" x14ac:dyDescent="0.25">
      <c r="B1771" s="1760"/>
      <c r="C1771" s="1734"/>
      <c r="D1771" s="1740"/>
      <c r="E1771" s="1762"/>
      <c r="F1771" s="1740"/>
      <c r="G1771" s="1600"/>
      <c r="H1771" s="1600"/>
      <c r="I1771" s="1600"/>
      <c r="J1771" s="1600"/>
      <c r="K1771" s="589" t="s">
        <v>2691</v>
      </c>
      <c r="L1771" s="511" t="s">
        <v>14</v>
      </c>
      <c r="M1771" s="511">
        <v>100</v>
      </c>
      <c r="N1771" s="511">
        <v>100</v>
      </c>
      <c r="O1771" s="511">
        <v>100</v>
      </c>
      <c r="P1771" s="1155">
        <v>100</v>
      </c>
      <c r="Q1771" s="1266">
        <v>100</v>
      </c>
    </row>
    <row r="1772" spans="2:17" ht="75" x14ac:dyDescent="0.25">
      <c r="B1772" s="1759"/>
      <c r="C1772" s="1733">
        <v>7</v>
      </c>
      <c r="D1772" s="1739"/>
      <c r="E1772" s="1611" t="s">
        <v>2692</v>
      </c>
      <c r="F1772" s="644"/>
      <c r="G1772" s="1599">
        <v>764.14</v>
      </c>
      <c r="H1772" s="1599">
        <v>0</v>
      </c>
      <c r="I1772" s="1599">
        <v>871.5</v>
      </c>
      <c r="J1772" s="1599">
        <v>871.5</v>
      </c>
      <c r="K1772" s="628" t="s">
        <v>2693</v>
      </c>
      <c r="L1772" s="511" t="s">
        <v>1073</v>
      </c>
      <c r="M1772" s="511"/>
      <c r="N1772" s="511"/>
      <c r="O1772" s="511"/>
      <c r="P1772" s="1155"/>
      <c r="Q1772" s="1266"/>
    </row>
    <row r="1773" spans="2:17" ht="30" x14ac:dyDescent="0.25">
      <c r="B1773" s="1760"/>
      <c r="C1773" s="1734"/>
      <c r="D1773" s="1740"/>
      <c r="E1773" s="1613"/>
      <c r="F1773" s="645"/>
      <c r="G1773" s="1600"/>
      <c r="H1773" s="1600"/>
      <c r="I1773" s="1600"/>
      <c r="J1773" s="1600"/>
      <c r="K1773" s="628" t="s">
        <v>2694</v>
      </c>
      <c r="L1773" s="511" t="s">
        <v>1073</v>
      </c>
      <c r="M1773" s="511"/>
      <c r="N1773" s="511"/>
      <c r="O1773" s="511"/>
      <c r="P1773" s="1155"/>
      <c r="Q1773" s="1266"/>
    </row>
    <row r="1774" spans="2:17" ht="45" x14ac:dyDescent="0.25">
      <c r="B1774" s="1265"/>
      <c r="C1774" s="424">
        <v>25</v>
      </c>
      <c r="D1774" s="422"/>
      <c r="E1774" s="1096" t="s">
        <v>2695</v>
      </c>
      <c r="F1774" s="1155"/>
      <c r="G1774" s="557">
        <v>25280.65</v>
      </c>
      <c r="H1774" s="557">
        <v>19762</v>
      </c>
      <c r="I1774" s="557">
        <f>22773+10</f>
        <v>22783</v>
      </c>
      <c r="J1774" s="557">
        <f>22773+10+15</f>
        <v>22798</v>
      </c>
      <c r="K1774" s="628" t="s">
        <v>2696</v>
      </c>
      <c r="L1774" s="511" t="s">
        <v>2188</v>
      </c>
      <c r="M1774" s="511" t="s">
        <v>2697</v>
      </c>
      <c r="N1774" s="511" t="s">
        <v>2697</v>
      </c>
      <c r="O1774" s="511" t="s">
        <v>2697</v>
      </c>
      <c r="P1774" s="1155" t="s">
        <v>2697</v>
      </c>
      <c r="Q1774" s="1266" t="s">
        <v>2697</v>
      </c>
    </row>
    <row r="1775" spans="2:17" ht="117" x14ac:dyDescent="0.25">
      <c r="B1775" s="1267" t="s">
        <v>91</v>
      </c>
      <c r="C1775" s="985"/>
      <c r="D1775" s="985"/>
      <c r="E1775" s="486" t="s">
        <v>2698</v>
      </c>
      <c r="F1775" s="1559"/>
      <c r="G1775" s="430">
        <f>G1776+G1778+G1781+G1782+G1788</f>
        <v>18380.379999999997</v>
      </c>
      <c r="H1775" s="430">
        <f>SUM(H1776:H1791)</f>
        <v>18729.7</v>
      </c>
      <c r="I1775" s="430">
        <f>I1776+I1778+I1781+I1782+I1788</f>
        <v>19573.699999999997</v>
      </c>
      <c r="J1775" s="430">
        <f>J1776+J1778+J1781+J1782+J1788</f>
        <v>19615.73</v>
      </c>
      <c r="K1775" s="527" t="s">
        <v>2699</v>
      </c>
      <c r="L1775" s="511" t="s">
        <v>1073</v>
      </c>
      <c r="M1775" s="288"/>
      <c r="N1775" s="288"/>
      <c r="O1775" s="288"/>
      <c r="P1775" s="1268"/>
      <c r="Q1775" s="1269"/>
    </row>
    <row r="1776" spans="2:17" ht="45" x14ac:dyDescent="0.25">
      <c r="B1776" s="1743"/>
      <c r="C1776" s="1619" t="s">
        <v>2</v>
      </c>
      <c r="D1776" s="1619"/>
      <c r="E1776" s="1609" t="s">
        <v>2700</v>
      </c>
      <c r="F1776" s="644"/>
      <c r="G1776" s="1599">
        <v>5394.57</v>
      </c>
      <c r="H1776" s="1599">
        <v>6325.5</v>
      </c>
      <c r="I1776" s="1599">
        <f>3835.86+1500+5</f>
        <v>5340.8600000000006</v>
      </c>
      <c r="J1776" s="1599">
        <f>3835.86+1500+5+10+1</f>
        <v>5351.8600000000006</v>
      </c>
      <c r="K1776" s="593" t="s">
        <v>2701</v>
      </c>
      <c r="L1776" s="511" t="s">
        <v>14</v>
      </c>
      <c r="M1776" s="276">
        <v>89</v>
      </c>
      <c r="N1776" s="276">
        <v>86</v>
      </c>
      <c r="O1776" s="276">
        <v>90</v>
      </c>
      <c r="P1776" s="1270">
        <v>90</v>
      </c>
      <c r="Q1776" s="1271">
        <v>90</v>
      </c>
    </row>
    <row r="1777" spans="2:17" ht="30" x14ac:dyDescent="0.25">
      <c r="B1777" s="1746"/>
      <c r="C1777" s="1620"/>
      <c r="D1777" s="1620"/>
      <c r="E1777" s="1609"/>
      <c r="F1777" s="645"/>
      <c r="G1777" s="1600"/>
      <c r="H1777" s="1600"/>
      <c r="I1777" s="1600"/>
      <c r="J1777" s="1600"/>
      <c r="K1777" s="495" t="s">
        <v>2702</v>
      </c>
      <c r="L1777" s="511" t="s">
        <v>14</v>
      </c>
      <c r="M1777" s="276">
        <v>70</v>
      </c>
      <c r="N1777" s="276">
        <v>75</v>
      </c>
      <c r="O1777" s="276">
        <v>80</v>
      </c>
      <c r="P1777" s="1270">
        <v>82</v>
      </c>
      <c r="Q1777" s="1271">
        <v>82</v>
      </c>
    </row>
    <row r="1778" spans="2:17" ht="30" x14ac:dyDescent="0.25">
      <c r="B1778" s="1743"/>
      <c r="C1778" s="1619" t="s">
        <v>3</v>
      </c>
      <c r="D1778" s="1619"/>
      <c r="E1778" s="1750" t="s">
        <v>2703</v>
      </c>
      <c r="F1778" s="1753"/>
      <c r="G1778" s="1756">
        <v>2292.39</v>
      </c>
      <c r="H1778" s="1599">
        <v>0</v>
      </c>
      <c r="I1778" s="1599">
        <f>1714.65+1000+3</f>
        <v>2717.65</v>
      </c>
      <c r="J1778" s="1599">
        <f>1714.65+1000+3+10+1</f>
        <v>2728.65</v>
      </c>
      <c r="K1778" s="495" t="s">
        <v>2704</v>
      </c>
      <c r="L1778" s="511" t="s">
        <v>1073</v>
      </c>
      <c r="M1778" s="276">
        <v>35</v>
      </c>
      <c r="N1778" s="557" t="s">
        <v>2705</v>
      </c>
      <c r="O1778" s="557" t="s">
        <v>2705</v>
      </c>
      <c r="P1778" s="557" t="s">
        <v>2705</v>
      </c>
      <c r="Q1778" s="557" t="s">
        <v>2705</v>
      </c>
    </row>
    <row r="1779" spans="2:17" ht="30" x14ac:dyDescent="0.25">
      <c r="B1779" s="1744"/>
      <c r="C1779" s="1745"/>
      <c r="D1779" s="1745"/>
      <c r="E1779" s="1751"/>
      <c r="F1779" s="1754"/>
      <c r="G1779" s="1757"/>
      <c r="H1779" s="1610"/>
      <c r="I1779" s="1610"/>
      <c r="J1779" s="1610"/>
      <c r="K1779" s="495" t="s">
        <v>2706</v>
      </c>
      <c r="L1779" s="511" t="s">
        <v>1073</v>
      </c>
      <c r="M1779" s="276">
        <v>1</v>
      </c>
      <c r="N1779" s="276">
        <v>1</v>
      </c>
      <c r="O1779" s="276">
        <v>1</v>
      </c>
      <c r="P1779" s="1270">
        <v>1</v>
      </c>
      <c r="Q1779" s="1271">
        <v>1</v>
      </c>
    </row>
    <row r="1780" spans="2:17" ht="45" x14ac:dyDescent="0.25">
      <c r="B1780" s="1744"/>
      <c r="C1780" s="1745"/>
      <c r="D1780" s="1745"/>
      <c r="E1780" s="1751"/>
      <c r="F1780" s="1754"/>
      <c r="G1780" s="1757"/>
      <c r="H1780" s="1610"/>
      <c r="I1780" s="1610"/>
      <c r="J1780" s="1610"/>
      <c r="K1780" s="527" t="s">
        <v>2707</v>
      </c>
      <c r="L1780" s="511" t="s">
        <v>1073</v>
      </c>
      <c r="M1780" s="276">
        <v>11</v>
      </c>
      <c r="N1780" s="276">
        <v>12</v>
      </c>
      <c r="O1780" s="276">
        <v>13</v>
      </c>
      <c r="P1780" s="1270">
        <v>14</v>
      </c>
      <c r="Q1780" s="1271">
        <v>14</v>
      </c>
    </row>
    <row r="1781" spans="2:17" ht="60" x14ac:dyDescent="0.25">
      <c r="B1781" s="1746"/>
      <c r="C1781" s="1620"/>
      <c r="D1781" s="1620"/>
      <c r="E1781" s="1752"/>
      <c r="F1781" s="1755"/>
      <c r="G1781" s="1758"/>
      <c r="H1781" s="1600"/>
      <c r="I1781" s="1600"/>
      <c r="J1781" s="1600"/>
      <c r="K1781" s="495" t="s">
        <v>2708</v>
      </c>
      <c r="L1781" s="511" t="s">
        <v>1073</v>
      </c>
      <c r="M1781" s="557" t="s">
        <v>2709</v>
      </c>
      <c r="N1781" s="557" t="s">
        <v>2709</v>
      </c>
      <c r="O1781" s="557" t="s">
        <v>2709</v>
      </c>
      <c r="P1781" s="557" t="s">
        <v>2709</v>
      </c>
      <c r="Q1781" s="557" t="s">
        <v>2709</v>
      </c>
    </row>
    <row r="1782" spans="2:17" ht="45" x14ac:dyDescent="0.25">
      <c r="B1782" s="1743"/>
      <c r="C1782" s="1747" t="s">
        <v>4</v>
      </c>
      <c r="D1782" s="1619"/>
      <c r="E1782" s="1611" t="s">
        <v>2710</v>
      </c>
      <c r="F1782" s="644"/>
      <c r="G1782" s="1599">
        <v>5356.62</v>
      </c>
      <c r="H1782" s="1599">
        <v>0</v>
      </c>
      <c r="I1782" s="1599">
        <f>3766.22+2000+2</f>
        <v>5768.2199999999993</v>
      </c>
      <c r="J1782" s="1599">
        <f>3766.22+2000+2+10+1</f>
        <v>5779.2199999999993</v>
      </c>
      <c r="K1782" s="527" t="s">
        <v>2711</v>
      </c>
      <c r="L1782" s="511" t="s">
        <v>14</v>
      </c>
      <c r="M1782" s="276">
        <v>99</v>
      </c>
      <c r="N1782" s="276">
        <v>90</v>
      </c>
      <c r="O1782" s="276">
        <v>90</v>
      </c>
      <c r="P1782" s="1270">
        <v>90</v>
      </c>
      <c r="Q1782" s="1271">
        <v>90</v>
      </c>
    </row>
    <row r="1783" spans="2:17" ht="45" x14ac:dyDescent="0.25">
      <c r="B1783" s="1744"/>
      <c r="C1783" s="1748"/>
      <c r="D1783" s="1745"/>
      <c r="E1783" s="1612"/>
      <c r="F1783" s="321"/>
      <c r="G1783" s="1610"/>
      <c r="H1783" s="1610"/>
      <c r="I1783" s="1610"/>
      <c r="J1783" s="1610"/>
      <c r="K1783" s="527" t="s">
        <v>2712</v>
      </c>
      <c r="L1783" s="511" t="s">
        <v>14</v>
      </c>
      <c r="M1783" s="276">
        <v>100</v>
      </c>
      <c r="N1783" s="276">
        <v>90</v>
      </c>
      <c r="O1783" s="276">
        <v>90</v>
      </c>
      <c r="P1783" s="1270">
        <v>90</v>
      </c>
      <c r="Q1783" s="1271">
        <v>90</v>
      </c>
    </row>
    <row r="1784" spans="2:17" ht="45" x14ac:dyDescent="0.25">
      <c r="B1784" s="1744"/>
      <c r="C1784" s="1748"/>
      <c r="D1784" s="1745"/>
      <c r="E1784" s="1612"/>
      <c r="F1784" s="321"/>
      <c r="G1784" s="1610"/>
      <c r="H1784" s="1610"/>
      <c r="I1784" s="1610"/>
      <c r="J1784" s="1610"/>
      <c r="K1784" s="527" t="s">
        <v>2713</v>
      </c>
      <c r="L1784" s="511" t="s">
        <v>14</v>
      </c>
      <c r="M1784" s="276">
        <v>100</v>
      </c>
      <c r="N1784" s="276">
        <v>80</v>
      </c>
      <c r="O1784" s="276">
        <v>80</v>
      </c>
      <c r="P1784" s="1270">
        <v>80</v>
      </c>
      <c r="Q1784" s="1271">
        <v>80</v>
      </c>
    </row>
    <row r="1785" spans="2:17" ht="60" x14ac:dyDescent="0.25">
      <c r="B1785" s="1744"/>
      <c r="C1785" s="1748"/>
      <c r="D1785" s="1745"/>
      <c r="E1785" s="1612"/>
      <c r="F1785" s="321"/>
      <c r="G1785" s="1610"/>
      <c r="H1785" s="1610"/>
      <c r="I1785" s="1610"/>
      <c r="J1785" s="1610"/>
      <c r="K1785" s="495" t="s">
        <v>2708</v>
      </c>
      <c r="L1785" s="511" t="s">
        <v>14</v>
      </c>
      <c r="M1785" s="276">
        <v>100</v>
      </c>
      <c r="N1785" s="276">
        <v>90</v>
      </c>
      <c r="O1785" s="276">
        <v>90</v>
      </c>
      <c r="P1785" s="1270">
        <v>90</v>
      </c>
      <c r="Q1785" s="1271">
        <v>90</v>
      </c>
    </row>
    <row r="1786" spans="2:17" ht="60" x14ac:dyDescent="0.25">
      <c r="B1786" s="1744"/>
      <c r="C1786" s="1748"/>
      <c r="D1786" s="1745"/>
      <c r="E1786" s="1612"/>
      <c r="F1786" s="321"/>
      <c r="G1786" s="1610"/>
      <c r="H1786" s="1610"/>
      <c r="I1786" s="1610"/>
      <c r="J1786" s="1610"/>
      <c r="K1786" s="495" t="s">
        <v>2714</v>
      </c>
      <c r="L1786" s="511" t="s">
        <v>14</v>
      </c>
      <c r="M1786" s="276">
        <v>100</v>
      </c>
      <c r="N1786" s="276">
        <v>90</v>
      </c>
      <c r="O1786" s="276">
        <v>90</v>
      </c>
      <c r="P1786" s="1270">
        <v>90</v>
      </c>
      <c r="Q1786" s="1271">
        <v>90</v>
      </c>
    </row>
    <row r="1787" spans="2:17" ht="45" x14ac:dyDescent="0.25">
      <c r="B1787" s="1746"/>
      <c r="C1787" s="1749"/>
      <c r="D1787" s="1620"/>
      <c r="E1787" s="1613"/>
      <c r="F1787" s="645"/>
      <c r="G1787" s="1600"/>
      <c r="H1787" s="1600"/>
      <c r="I1787" s="1600"/>
      <c r="J1787" s="1600"/>
      <c r="K1787" s="495" t="s">
        <v>2715</v>
      </c>
      <c r="L1787" s="511" t="s">
        <v>14</v>
      </c>
      <c r="M1787" s="416">
        <v>100</v>
      </c>
      <c r="N1787" s="1614" t="s">
        <v>2716</v>
      </c>
      <c r="O1787" s="1615"/>
      <c r="P1787" s="1615"/>
      <c r="Q1787" s="1616"/>
    </row>
    <row r="1788" spans="2:17" ht="30" x14ac:dyDescent="0.25">
      <c r="B1788" s="1743"/>
      <c r="C1788" s="1619" t="s">
        <v>5</v>
      </c>
      <c r="D1788" s="1619"/>
      <c r="E1788" s="1611" t="s">
        <v>2717</v>
      </c>
      <c r="F1788" s="644"/>
      <c r="G1788" s="1599">
        <v>5336.8</v>
      </c>
      <c r="H1788" s="1599">
        <v>6155.1</v>
      </c>
      <c r="I1788" s="1599">
        <f>3746.57+2000+0.4</f>
        <v>5746.9699999999993</v>
      </c>
      <c r="J1788" s="1599">
        <v>5756</v>
      </c>
      <c r="K1788" s="495" t="s">
        <v>2718</v>
      </c>
      <c r="L1788" s="511" t="s">
        <v>1073</v>
      </c>
      <c r="M1788" s="511" t="s">
        <v>2719</v>
      </c>
      <c r="N1788" s="511" t="s">
        <v>2719</v>
      </c>
      <c r="O1788" s="511" t="s">
        <v>2719</v>
      </c>
      <c r="P1788" s="511" t="s">
        <v>2719</v>
      </c>
      <c r="Q1788" s="511" t="s">
        <v>2719</v>
      </c>
    </row>
    <row r="1789" spans="2:17" ht="30" x14ac:dyDescent="0.25">
      <c r="B1789" s="1744"/>
      <c r="C1789" s="1745"/>
      <c r="D1789" s="1745"/>
      <c r="E1789" s="1612"/>
      <c r="F1789" s="321"/>
      <c r="G1789" s="1610"/>
      <c r="H1789" s="1610"/>
      <c r="I1789" s="1610"/>
      <c r="J1789" s="1610"/>
      <c r="K1789" s="495" t="s">
        <v>2720</v>
      </c>
      <c r="L1789" s="511" t="s">
        <v>1073</v>
      </c>
      <c r="M1789" s="511" t="s">
        <v>2719</v>
      </c>
      <c r="N1789" s="511" t="s">
        <v>2719</v>
      </c>
      <c r="O1789" s="511" t="s">
        <v>2719</v>
      </c>
      <c r="P1789" s="511" t="s">
        <v>2719</v>
      </c>
      <c r="Q1789" s="511" t="s">
        <v>2719</v>
      </c>
    </row>
    <row r="1790" spans="2:17" ht="45" x14ac:dyDescent="0.25">
      <c r="B1790" s="1744"/>
      <c r="C1790" s="1745"/>
      <c r="D1790" s="1745"/>
      <c r="E1790" s="1612"/>
      <c r="F1790" s="321"/>
      <c r="G1790" s="1610"/>
      <c r="H1790" s="1610"/>
      <c r="I1790" s="1610"/>
      <c r="J1790" s="1610"/>
      <c r="K1790" s="495" t="s">
        <v>2721</v>
      </c>
      <c r="L1790" s="511" t="s">
        <v>1073</v>
      </c>
      <c r="M1790" s="559">
        <v>800</v>
      </c>
      <c r="N1790" s="511" t="s">
        <v>2719</v>
      </c>
      <c r="O1790" s="511" t="s">
        <v>2719</v>
      </c>
      <c r="P1790" s="511" t="s">
        <v>2719</v>
      </c>
      <c r="Q1790" s="511" t="s">
        <v>2719</v>
      </c>
    </row>
    <row r="1791" spans="2:17" ht="45" x14ac:dyDescent="0.25">
      <c r="B1791" s="428"/>
      <c r="C1791" s="413" t="s">
        <v>49</v>
      </c>
      <c r="D1791" s="413"/>
      <c r="E1791" s="451" t="s">
        <v>2722</v>
      </c>
      <c r="F1791" s="511"/>
      <c r="G1791" s="557"/>
      <c r="H1791" s="557">
        <v>6249.1</v>
      </c>
      <c r="I1791" s="557"/>
      <c r="J1791" s="557"/>
      <c r="K1791" s="495"/>
      <c r="L1791" s="644"/>
      <c r="M1791" s="559"/>
      <c r="N1791" s="559"/>
      <c r="O1791" s="559"/>
      <c r="P1791" s="1154"/>
      <c r="Q1791" s="1272"/>
    </row>
    <row r="1792" spans="2:17" x14ac:dyDescent="0.25">
      <c r="B1792" s="1566" t="s">
        <v>291</v>
      </c>
      <c r="C1792" s="1567"/>
      <c r="D1792" s="1567"/>
      <c r="E1792" s="1568"/>
      <c r="F1792" s="1560"/>
      <c r="G1792" s="1138">
        <f>SUM(G1763+G1775)</f>
        <v>72803.639999999985</v>
      </c>
      <c r="H1792" s="1138">
        <f>SUM(H1763+H1775)</f>
        <v>72803.600000000006</v>
      </c>
      <c r="I1792" s="1138">
        <f>SUM(I1763+I1775)</f>
        <v>72867.099999999991</v>
      </c>
      <c r="J1792" s="1138">
        <f>SUM(J1763+J1775)</f>
        <v>73009.12999999999</v>
      </c>
      <c r="K1792" s="1273"/>
      <c r="L1792" s="1741"/>
      <c r="M1792" s="1741"/>
      <c r="N1792" s="1741"/>
      <c r="O1792" s="1741"/>
      <c r="P1792" s="1741"/>
      <c r="Q1792" s="1742"/>
    </row>
    <row r="1793" spans="2:17" ht="15.75" thickBot="1" x14ac:dyDescent="0.3">
      <c r="B1793" s="1589" t="s">
        <v>2723</v>
      </c>
      <c r="C1793" s="1590"/>
      <c r="D1793" s="1590"/>
      <c r="E1793" s="1590"/>
      <c r="F1793" s="1590"/>
      <c r="G1793" s="1590"/>
      <c r="H1793" s="1590"/>
      <c r="I1793" s="1590"/>
      <c r="J1793" s="1590"/>
      <c r="K1793" s="1590"/>
      <c r="L1793" s="1590"/>
      <c r="M1793" s="1590"/>
      <c r="N1793" s="1590"/>
      <c r="O1793" s="1590"/>
      <c r="P1793" s="1590"/>
      <c r="Q1793" s="1590"/>
    </row>
    <row r="1794" spans="2:17" ht="74.25" x14ac:dyDescent="0.25">
      <c r="B1794" s="1126">
        <v>1</v>
      </c>
      <c r="C1794" s="422"/>
      <c r="D1794" s="981"/>
      <c r="E1794" s="477" t="s">
        <v>2432</v>
      </c>
      <c r="F1794" s="542">
        <f>SUM(F1795:F1803)</f>
        <v>12711.9</v>
      </c>
      <c r="G1794" s="542">
        <f>SUM(G1795:G1803)</f>
        <v>15723.7</v>
      </c>
      <c r="H1794" s="542">
        <f>SUM(H1795:H1803)</f>
        <v>19123.7</v>
      </c>
      <c r="I1794" s="542">
        <f>SUM(I1795:I1803)</f>
        <v>16332.8</v>
      </c>
      <c r="J1794" s="542">
        <f>SUM(J1795:J1803)</f>
        <v>16332.8</v>
      </c>
      <c r="K1794" s="1140" t="s">
        <v>2363</v>
      </c>
      <c r="L1794" s="635" t="s">
        <v>14</v>
      </c>
      <c r="M1794" s="645">
        <v>51.2</v>
      </c>
      <c r="N1794" s="645">
        <v>42.5</v>
      </c>
      <c r="O1794" s="645">
        <v>36.1</v>
      </c>
      <c r="P1794" s="645">
        <v>36.6</v>
      </c>
      <c r="Q1794" s="645">
        <v>36.9</v>
      </c>
    </row>
    <row r="1795" spans="2:17" x14ac:dyDescent="0.25">
      <c r="B1795" s="1249"/>
      <c r="C1795" s="1129">
        <v>1</v>
      </c>
      <c r="D1795" s="422"/>
      <c r="E1795" s="719" t="s">
        <v>140</v>
      </c>
      <c r="F1795" s="557">
        <v>2801.8</v>
      </c>
      <c r="G1795" s="557">
        <v>5109</v>
      </c>
      <c r="H1795" s="557">
        <v>6109</v>
      </c>
      <c r="I1795" s="557">
        <v>5109</v>
      </c>
      <c r="J1795" s="557">
        <v>5109</v>
      </c>
      <c r="K1795" s="823" t="s">
        <v>501</v>
      </c>
      <c r="L1795" s="511" t="s">
        <v>15</v>
      </c>
      <c r="M1795" s="511"/>
      <c r="N1795" s="511">
        <v>100</v>
      </c>
      <c r="O1795" s="511">
        <v>100</v>
      </c>
      <c r="P1795" s="511">
        <v>100</v>
      </c>
      <c r="Q1795" s="511">
        <v>100</v>
      </c>
    </row>
    <row r="1796" spans="2:17" ht="30" x14ac:dyDescent="0.25">
      <c r="B1796" s="1249"/>
      <c r="C1796" s="423">
        <v>2</v>
      </c>
      <c r="D1796" s="422"/>
      <c r="E1796" s="494" t="s">
        <v>2657</v>
      </c>
      <c r="F1796" s="557">
        <v>1773</v>
      </c>
      <c r="G1796" s="557">
        <v>2000</v>
      </c>
      <c r="H1796" s="557">
        <v>2000</v>
      </c>
      <c r="I1796" s="557">
        <v>2000</v>
      </c>
      <c r="J1796" s="557">
        <v>2000</v>
      </c>
      <c r="K1796" s="628" t="s">
        <v>834</v>
      </c>
      <c r="L1796" s="511" t="s">
        <v>14</v>
      </c>
      <c r="M1796" s="511">
        <v>100</v>
      </c>
      <c r="N1796" s="511">
        <v>100</v>
      </c>
      <c r="O1796" s="511">
        <v>100</v>
      </c>
      <c r="P1796" s="511">
        <v>100</v>
      </c>
      <c r="Q1796" s="511">
        <v>100</v>
      </c>
    </row>
    <row r="1797" spans="2:17" ht="45" x14ac:dyDescent="0.25">
      <c r="B1797" s="1731"/>
      <c r="C1797" s="1733">
        <v>3</v>
      </c>
      <c r="D1797" s="1739"/>
      <c r="E1797" s="1737" t="s">
        <v>262</v>
      </c>
      <c r="F1797" s="1599">
        <v>2594</v>
      </c>
      <c r="G1797" s="1599">
        <v>2726.6</v>
      </c>
      <c r="H1797" s="1599">
        <v>2726.6</v>
      </c>
      <c r="I1797" s="1599">
        <v>2726.6</v>
      </c>
      <c r="J1797" s="1599">
        <v>2726.6</v>
      </c>
      <c r="K1797" s="764" t="s">
        <v>2724</v>
      </c>
      <c r="L1797" s="511" t="s">
        <v>14</v>
      </c>
      <c r="M1797" s="511">
        <v>74.400000000000006</v>
      </c>
      <c r="N1797" s="511">
        <v>75</v>
      </c>
      <c r="O1797" s="511">
        <v>75</v>
      </c>
      <c r="P1797" s="511">
        <v>75</v>
      </c>
      <c r="Q1797" s="511">
        <v>75</v>
      </c>
    </row>
    <row r="1798" spans="2:17" ht="45" x14ac:dyDescent="0.25">
      <c r="B1798" s="1732"/>
      <c r="C1798" s="1734"/>
      <c r="D1798" s="1740"/>
      <c r="E1798" s="1738"/>
      <c r="F1798" s="1600"/>
      <c r="G1798" s="1600"/>
      <c r="H1798" s="1600"/>
      <c r="I1798" s="1600"/>
      <c r="J1798" s="1600"/>
      <c r="K1798" s="764" t="s">
        <v>2725</v>
      </c>
      <c r="L1798" s="511" t="s">
        <v>14</v>
      </c>
      <c r="M1798" s="511">
        <v>4.5</v>
      </c>
      <c r="N1798" s="511">
        <v>5</v>
      </c>
      <c r="O1798" s="511">
        <v>5</v>
      </c>
      <c r="P1798" s="511">
        <v>5</v>
      </c>
      <c r="Q1798" s="511">
        <v>5</v>
      </c>
    </row>
    <row r="1799" spans="2:17" x14ac:dyDescent="0.25">
      <c r="B1799" s="1731"/>
      <c r="C1799" s="1733">
        <v>4</v>
      </c>
      <c r="D1799" s="1735"/>
      <c r="E1799" s="1737" t="s">
        <v>241</v>
      </c>
      <c r="F1799" s="1599">
        <v>2079</v>
      </c>
      <c r="G1799" s="1599">
        <v>2250</v>
      </c>
      <c r="H1799" s="1599">
        <v>2250</v>
      </c>
      <c r="I1799" s="1599">
        <v>2250</v>
      </c>
      <c r="J1799" s="1629">
        <v>2250</v>
      </c>
      <c r="K1799" s="1630" t="s">
        <v>2726</v>
      </c>
      <c r="L1799" s="1597" t="s">
        <v>1073</v>
      </c>
      <c r="M1799" s="1597">
        <v>1267</v>
      </c>
      <c r="N1799" s="1597">
        <v>1270</v>
      </c>
      <c r="O1799" s="1597">
        <v>1270</v>
      </c>
      <c r="P1799" s="1597">
        <v>1270</v>
      </c>
      <c r="Q1799" s="1597">
        <v>1270</v>
      </c>
    </row>
    <row r="1800" spans="2:17" x14ac:dyDescent="0.25">
      <c r="B1800" s="1732"/>
      <c r="C1800" s="1734"/>
      <c r="D1800" s="1736"/>
      <c r="E1800" s="1738"/>
      <c r="F1800" s="1600"/>
      <c r="G1800" s="1600"/>
      <c r="H1800" s="1600"/>
      <c r="I1800" s="1600"/>
      <c r="J1800" s="1629"/>
      <c r="K1800" s="1631"/>
      <c r="L1800" s="1598"/>
      <c r="M1800" s="1598"/>
      <c r="N1800" s="1598"/>
      <c r="O1800" s="1598"/>
      <c r="P1800" s="1598"/>
      <c r="Q1800" s="1598"/>
    </row>
    <row r="1801" spans="2:17" ht="30" x14ac:dyDescent="0.25">
      <c r="B1801" s="1249"/>
      <c r="C1801" s="423">
        <v>5</v>
      </c>
      <c r="D1801" s="422"/>
      <c r="E1801" s="197" t="s">
        <v>2667</v>
      </c>
      <c r="F1801" s="557">
        <v>349</v>
      </c>
      <c r="G1801" s="557">
        <v>449</v>
      </c>
      <c r="H1801" s="557">
        <v>449</v>
      </c>
      <c r="I1801" s="557">
        <v>449</v>
      </c>
      <c r="J1801" s="557">
        <v>449</v>
      </c>
      <c r="K1801" s="1189" t="s">
        <v>2727</v>
      </c>
      <c r="L1801" s="1597" t="s">
        <v>1073</v>
      </c>
      <c r="M1801" s="511">
        <v>55</v>
      </c>
      <c r="N1801" s="330">
        <v>60</v>
      </c>
      <c r="O1801" s="511">
        <v>60</v>
      </c>
      <c r="P1801" s="511">
        <v>60</v>
      </c>
      <c r="Q1801" s="511">
        <v>60</v>
      </c>
    </row>
    <row r="1802" spans="2:17" ht="30" x14ac:dyDescent="0.25">
      <c r="B1802" s="1249"/>
      <c r="C1802" s="424">
        <v>7</v>
      </c>
      <c r="D1802" s="422"/>
      <c r="E1802" s="209" t="s">
        <v>2670</v>
      </c>
      <c r="F1802" s="557">
        <v>486</v>
      </c>
      <c r="G1802" s="557">
        <v>490</v>
      </c>
      <c r="H1802" s="557">
        <v>490</v>
      </c>
      <c r="I1802" s="557">
        <v>490</v>
      </c>
      <c r="J1802" s="557">
        <v>490</v>
      </c>
      <c r="K1802" s="1189" t="s">
        <v>2728</v>
      </c>
      <c r="L1802" s="1598"/>
      <c r="M1802" s="511">
        <v>100</v>
      </c>
      <c r="N1802" s="511">
        <v>100</v>
      </c>
      <c r="O1802" s="511">
        <v>100</v>
      </c>
      <c r="P1802" s="511">
        <v>100</v>
      </c>
      <c r="Q1802" s="511">
        <v>100</v>
      </c>
    </row>
    <row r="1803" spans="2:17" ht="45" x14ac:dyDescent="0.25">
      <c r="B1803" s="1249"/>
      <c r="C1803" s="1129">
        <v>6</v>
      </c>
      <c r="D1803" s="1251"/>
      <c r="E1803" s="1192" t="s">
        <v>2524</v>
      </c>
      <c r="F1803" s="557">
        <v>2629.1</v>
      </c>
      <c r="G1803" s="557">
        <v>2699.1</v>
      </c>
      <c r="H1803" s="557">
        <v>5099.1000000000004</v>
      </c>
      <c r="I1803" s="557">
        <v>3308.2</v>
      </c>
      <c r="J1803" s="557">
        <v>3308.2</v>
      </c>
      <c r="K1803" s="628" t="s">
        <v>2467</v>
      </c>
      <c r="L1803" s="511" t="s">
        <v>14</v>
      </c>
      <c r="M1803" s="511">
        <v>20</v>
      </c>
      <c r="N1803" s="511">
        <v>20</v>
      </c>
      <c r="O1803" s="511">
        <v>20</v>
      </c>
      <c r="P1803" s="511">
        <v>20</v>
      </c>
      <c r="Q1803" s="511">
        <v>20</v>
      </c>
    </row>
    <row r="1804" spans="2:17" ht="73.5" x14ac:dyDescent="0.25">
      <c r="B1804" s="898" t="s">
        <v>91</v>
      </c>
      <c r="C1804" s="985"/>
      <c r="D1804" s="985"/>
      <c r="E1804" s="755" t="s">
        <v>2729</v>
      </c>
      <c r="F1804" s="420">
        <f>SUM(F1805:F1813)</f>
        <v>61065.1</v>
      </c>
      <c r="G1804" s="420">
        <f>SUM(G1805:G1813)</f>
        <v>75615.600000000006</v>
      </c>
      <c r="H1804" s="420">
        <f>SUM(H1805:H1813)</f>
        <v>82173.600000000006</v>
      </c>
      <c r="I1804" s="420">
        <f>SUM(I1805:I1813)</f>
        <v>75111.199999999997</v>
      </c>
      <c r="J1804" s="420">
        <f>SUM(J1805:J1813)</f>
        <v>75354.899999999994</v>
      </c>
      <c r="K1804" s="495"/>
      <c r="L1804" s="511"/>
      <c r="M1804" s="495"/>
      <c r="N1804" s="288"/>
      <c r="O1804" s="288"/>
      <c r="P1804" s="288"/>
      <c r="Q1804" s="288"/>
    </row>
    <row r="1805" spans="2:17" ht="60" x14ac:dyDescent="0.25">
      <c r="B1805" s="254"/>
      <c r="C1805" s="413" t="s">
        <v>2</v>
      </c>
      <c r="D1805" s="429"/>
      <c r="E1805" s="710" t="s">
        <v>2730</v>
      </c>
      <c r="F1805" s="557">
        <v>2274</v>
      </c>
      <c r="G1805" s="557">
        <v>2500</v>
      </c>
      <c r="H1805" s="557">
        <v>2500</v>
      </c>
      <c r="I1805" s="557">
        <v>2500</v>
      </c>
      <c r="J1805" s="557">
        <v>2500</v>
      </c>
      <c r="K1805" s="829" t="s">
        <v>2731</v>
      </c>
      <c r="L1805" s="511" t="s">
        <v>1073</v>
      </c>
      <c r="M1805" s="1274" t="s">
        <v>2732</v>
      </c>
      <c r="N1805" s="1274" t="s">
        <v>2733</v>
      </c>
      <c r="O1805" s="1274" t="s">
        <v>2734</v>
      </c>
      <c r="P1805" s="1274" t="s">
        <v>2734</v>
      </c>
      <c r="Q1805" s="1274" t="s">
        <v>2734</v>
      </c>
    </row>
    <row r="1806" spans="2:17" ht="75" x14ac:dyDescent="0.25">
      <c r="B1806" s="425"/>
      <c r="C1806" s="618" t="s">
        <v>3</v>
      </c>
      <c r="D1806" s="985"/>
      <c r="E1806" s="710" t="s">
        <v>2735</v>
      </c>
      <c r="F1806" s="559">
        <v>2563</v>
      </c>
      <c r="G1806" s="557">
        <v>2800</v>
      </c>
      <c r="H1806" s="557">
        <v>2800</v>
      </c>
      <c r="I1806" s="557">
        <v>2221.5</v>
      </c>
      <c r="J1806" s="557">
        <v>2221.5</v>
      </c>
      <c r="K1806" s="1275" t="s">
        <v>2736</v>
      </c>
      <c r="L1806" s="511" t="s">
        <v>1073</v>
      </c>
      <c r="M1806" s="1276" t="s">
        <v>2737</v>
      </c>
      <c r="N1806" s="495" t="s">
        <v>2738</v>
      </c>
      <c r="O1806" s="495" t="s">
        <v>2739</v>
      </c>
      <c r="P1806" s="495" t="s">
        <v>2740</v>
      </c>
      <c r="Q1806" s="495" t="s">
        <v>2740</v>
      </c>
    </row>
    <row r="1807" spans="2:17" ht="75" x14ac:dyDescent="0.25">
      <c r="B1807" s="425"/>
      <c r="C1807" s="618" t="s">
        <v>4</v>
      </c>
      <c r="D1807" s="985"/>
      <c r="E1807" s="710" t="s">
        <v>2741</v>
      </c>
      <c r="F1807" s="559">
        <v>7484</v>
      </c>
      <c r="G1807" s="557">
        <v>19484</v>
      </c>
      <c r="H1807" s="557">
        <v>19334</v>
      </c>
      <c r="I1807" s="557">
        <v>19484</v>
      </c>
      <c r="J1807" s="557">
        <v>19484</v>
      </c>
      <c r="K1807" s="1275" t="s">
        <v>2742</v>
      </c>
      <c r="L1807" s="511" t="s">
        <v>1073</v>
      </c>
      <c r="M1807" s="511" t="s">
        <v>2743</v>
      </c>
      <c r="N1807" s="511" t="s">
        <v>2743</v>
      </c>
      <c r="O1807" s="511" t="s">
        <v>2743</v>
      </c>
      <c r="P1807" s="511" t="s">
        <v>2743</v>
      </c>
      <c r="Q1807" s="511" t="s">
        <v>2743</v>
      </c>
    </row>
    <row r="1808" spans="2:17" ht="60" x14ac:dyDescent="0.25">
      <c r="B1808" s="425"/>
      <c r="C1808" s="618" t="s">
        <v>5</v>
      </c>
      <c r="D1808" s="985"/>
      <c r="E1808" s="710" t="s">
        <v>2744</v>
      </c>
      <c r="F1808" s="558">
        <v>1450</v>
      </c>
      <c r="G1808" s="729">
        <v>1836.8</v>
      </c>
      <c r="H1808" s="729">
        <v>1836.8</v>
      </c>
      <c r="I1808" s="729">
        <v>1836.8</v>
      </c>
      <c r="J1808" s="729">
        <v>1836.8</v>
      </c>
      <c r="K1808" s="1277" t="s">
        <v>2745</v>
      </c>
      <c r="L1808" s="511" t="s">
        <v>1073</v>
      </c>
      <c r="M1808" s="769" t="s">
        <v>2746</v>
      </c>
      <c r="N1808" s="1278" t="s">
        <v>2747</v>
      </c>
      <c r="O1808" s="1278" t="s">
        <v>2747</v>
      </c>
      <c r="P1808" s="1278" t="s">
        <v>2747</v>
      </c>
      <c r="Q1808" s="1278" t="s">
        <v>2747</v>
      </c>
    </row>
    <row r="1809" spans="2:17" ht="60" x14ac:dyDescent="0.25">
      <c r="B1809" s="425"/>
      <c r="C1809" s="618" t="s">
        <v>49</v>
      </c>
      <c r="D1809" s="985"/>
      <c r="E1809" s="1279" t="s">
        <v>2748</v>
      </c>
      <c r="F1809" s="559">
        <v>2847</v>
      </c>
      <c r="G1809" s="557">
        <v>3011</v>
      </c>
      <c r="H1809" s="557">
        <v>3011</v>
      </c>
      <c r="I1809" s="557">
        <v>1435.1</v>
      </c>
      <c r="J1809" s="557">
        <v>1330.8</v>
      </c>
      <c r="K1809" s="830" t="s">
        <v>2749</v>
      </c>
      <c r="L1809" s="511" t="s">
        <v>1073</v>
      </c>
      <c r="M1809" s="1280">
        <v>2</v>
      </c>
      <c r="N1809" s="416">
        <v>4</v>
      </c>
      <c r="O1809" s="416">
        <v>4</v>
      </c>
      <c r="P1809" s="416">
        <v>4</v>
      </c>
      <c r="Q1809" s="416">
        <v>4</v>
      </c>
    </row>
    <row r="1810" spans="2:17" ht="45" x14ac:dyDescent="0.25">
      <c r="B1810" s="1617"/>
      <c r="C1810" s="1619" t="s">
        <v>50</v>
      </c>
      <c r="D1810" s="1619"/>
      <c r="E1810" s="1729" t="s">
        <v>2750</v>
      </c>
      <c r="F1810" s="1599">
        <v>30136.5</v>
      </c>
      <c r="G1810" s="1599">
        <v>27225</v>
      </c>
      <c r="H1810" s="1599">
        <v>29975</v>
      </c>
      <c r="I1810" s="1599">
        <v>27375</v>
      </c>
      <c r="J1810" s="1599">
        <v>27375</v>
      </c>
      <c r="K1810" s="1275" t="s">
        <v>2751</v>
      </c>
      <c r="L1810" s="511" t="s">
        <v>1073</v>
      </c>
      <c r="M1810" s="559" t="s">
        <v>2752</v>
      </c>
      <c r="N1810" s="559" t="s">
        <v>2753</v>
      </c>
      <c r="O1810" s="559" t="s">
        <v>2753</v>
      </c>
      <c r="P1810" s="559" t="s">
        <v>2753</v>
      </c>
      <c r="Q1810" s="559" t="s">
        <v>2753</v>
      </c>
    </row>
    <row r="1811" spans="2:17" ht="30" x14ac:dyDescent="0.25">
      <c r="B1811" s="1618"/>
      <c r="C1811" s="1620"/>
      <c r="D1811" s="1620"/>
      <c r="E1811" s="1730"/>
      <c r="F1811" s="1600"/>
      <c r="G1811" s="1600"/>
      <c r="H1811" s="1600"/>
      <c r="I1811" s="1600"/>
      <c r="J1811" s="1600"/>
      <c r="K1811" s="1275" t="s">
        <v>2754</v>
      </c>
      <c r="L1811" s="644" t="s">
        <v>2755</v>
      </c>
      <c r="M1811" s="1280">
        <v>62.3</v>
      </c>
      <c r="N1811" s="559">
        <v>60</v>
      </c>
      <c r="O1811" s="559">
        <v>60</v>
      </c>
      <c r="P1811" s="559">
        <v>60</v>
      </c>
      <c r="Q1811" s="559">
        <v>60</v>
      </c>
    </row>
    <row r="1812" spans="2:17" ht="60" x14ac:dyDescent="0.25">
      <c r="B1812" s="1617"/>
      <c r="C1812" s="1619" t="s">
        <v>51</v>
      </c>
      <c r="D1812" s="1619"/>
      <c r="E1812" s="1601" t="s">
        <v>2756</v>
      </c>
      <c r="F1812" s="560">
        <v>14310.6</v>
      </c>
      <c r="G1812" s="560">
        <v>18758.8</v>
      </c>
      <c r="H1812" s="560">
        <v>22716.799999999999</v>
      </c>
      <c r="I1812" s="560">
        <v>20258.8</v>
      </c>
      <c r="J1812" s="560">
        <v>20606.8</v>
      </c>
      <c r="K1812" s="1189" t="s">
        <v>2757</v>
      </c>
      <c r="L1812" s="511" t="s">
        <v>1073</v>
      </c>
      <c r="M1812" s="1280">
        <v>44694</v>
      </c>
      <c r="N1812" s="557">
        <v>45000</v>
      </c>
      <c r="O1812" s="559">
        <v>45000</v>
      </c>
      <c r="P1812" s="559">
        <v>45000</v>
      </c>
      <c r="Q1812" s="559">
        <v>45000</v>
      </c>
    </row>
    <row r="1813" spans="2:17" ht="30" x14ac:dyDescent="0.25">
      <c r="B1813" s="1618"/>
      <c r="C1813" s="1620"/>
      <c r="D1813" s="1620"/>
      <c r="E1813" s="1602"/>
      <c r="F1813" s="560"/>
      <c r="G1813" s="560"/>
      <c r="H1813" s="560"/>
      <c r="I1813" s="560"/>
      <c r="J1813" s="560"/>
      <c r="K1813" s="1281" t="s">
        <v>2758</v>
      </c>
      <c r="L1813" s="1282" t="s">
        <v>14</v>
      </c>
      <c r="M1813" s="1283">
        <v>100</v>
      </c>
      <c r="N1813" s="1161">
        <v>100</v>
      </c>
      <c r="O1813" s="1162">
        <v>100</v>
      </c>
      <c r="P1813" s="1162">
        <v>100</v>
      </c>
      <c r="Q1813" s="1162">
        <v>100</v>
      </c>
    </row>
    <row r="1814" spans="2:17" x14ac:dyDescent="0.25">
      <c r="B1814" s="1566" t="s">
        <v>291</v>
      </c>
      <c r="C1814" s="1567"/>
      <c r="D1814" s="1567"/>
      <c r="E1814" s="1568"/>
      <c r="F1814" s="207">
        <f>SUM(F1794+F1804)</f>
        <v>73777</v>
      </c>
      <c r="G1814" s="207">
        <f>SUM(G1794+G1804)</f>
        <v>91339.3</v>
      </c>
      <c r="H1814" s="207">
        <f>SUM(H1794+H1804)</f>
        <v>101297.3</v>
      </c>
      <c r="I1814" s="207">
        <f>SUM(I1794+I1804)</f>
        <v>91444</v>
      </c>
      <c r="J1814" s="207">
        <f>SUM(J1794+J1804)</f>
        <v>91687.7</v>
      </c>
      <c r="K1814" s="1284"/>
      <c r="L1814" s="511"/>
      <c r="M1814" s="1285"/>
      <c r="N1814" s="249"/>
      <c r="O1814" s="1286"/>
      <c r="P1814" s="1286"/>
      <c r="Q1814" s="1286"/>
    </row>
    <row r="1815" spans="2:17" x14ac:dyDescent="0.25">
      <c r="B1815" s="1589" t="s">
        <v>2759</v>
      </c>
      <c r="C1815" s="1590"/>
      <c r="D1815" s="1590"/>
      <c r="E1815" s="1590"/>
      <c r="F1815" s="1590"/>
      <c r="G1815" s="1590"/>
      <c r="H1815" s="1590"/>
      <c r="I1815" s="1590"/>
      <c r="J1815" s="1590"/>
      <c r="K1815" s="1590"/>
      <c r="L1815" s="1590"/>
      <c r="M1815" s="1590"/>
      <c r="N1815" s="1590"/>
      <c r="O1815" s="1590"/>
      <c r="P1815" s="1590"/>
      <c r="Q1815" s="1591"/>
    </row>
    <row r="1816" spans="2:17" ht="74.25" x14ac:dyDescent="0.25">
      <c r="B1816" s="1287">
        <v>1</v>
      </c>
      <c r="C1816" s="1288"/>
      <c r="D1816" s="1289"/>
      <c r="E1816" s="477" t="s">
        <v>2432</v>
      </c>
      <c r="F1816" s="1290">
        <v>23857.7</v>
      </c>
      <c r="G1816" s="1290">
        <v>25998.300000000003</v>
      </c>
      <c r="H1816" s="1290">
        <v>15232.600000000002</v>
      </c>
      <c r="I1816" s="1290">
        <v>20376.2</v>
      </c>
      <c r="J1816" s="1290">
        <v>20621.2</v>
      </c>
      <c r="K1816" s="1140" t="s">
        <v>2363</v>
      </c>
      <c r="L1816" s="1291" t="s">
        <v>14</v>
      </c>
      <c r="M1816" s="1292">
        <v>34.4</v>
      </c>
      <c r="N1816" s="1291">
        <v>34.4</v>
      </c>
      <c r="O1816" s="1291">
        <v>34.4</v>
      </c>
      <c r="P1816" s="1291">
        <v>34.4</v>
      </c>
      <c r="Q1816" s="1291">
        <v>34.4</v>
      </c>
    </row>
    <row r="1817" spans="2:17" ht="45" x14ac:dyDescent="0.25">
      <c r="B1817" s="1621"/>
      <c r="C1817" s="1623">
        <v>1</v>
      </c>
      <c r="D1817" s="1625"/>
      <c r="E1817" s="1627" t="s">
        <v>2760</v>
      </c>
      <c r="F1817" s="1603">
        <v>23857.7</v>
      </c>
      <c r="G1817" s="1603">
        <v>25998.300000000003</v>
      </c>
      <c r="H1817" s="1603">
        <v>15232.600000000002</v>
      </c>
      <c r="I1817" s="1603">
        <v>20376.2</v>
      </c>
      <c r="J1817" s="1603">
        <v>20621.2</v>
      </c>
      <c r="K1817" s="1293" t="s">
        <v>2761</v>
      </c>
      <c r="L1817" s="1294" t="s">
        <v>14</v>
      </c>
      <c r="M1817" s="1295">
        <v>100</v>
      </c>
      <c r="N1817" s="1295">
        <v>100</v>
      </c>
      <c r="O1817" s="1295">
        <v>100</v>
      </c>
      <c r="P1817" s="1295">
        <v>100</v>
      </c>
      <c r="Q1817" s="1295">
        <v>100</v>
      </c>
    </row>
    <row r="1818" spans="2:17" ht="30" x14ac:dyDescent="0.25">
      <c r="B1818" s="1622"/>
      <c r="C1818" s="1624"/>
      <c r="D1818" s="1626"/>
      <c r="E1818" s="1628"/>
      <c r="F1818" s="1604"/>
      <c r="G1818" s="1604"/>
      <c r="H1818" s="1604"/>
      <c r="I1818" s="1604"/>
      <c r="J1818" s="1604"/>
      <c r="K1818" s="1293" t="s">
        <v>2762</v>
      </c>
      <c r="L1818" s="1294" t="s">
        <v>14</v>
      </c>
      <c r="M1818" s="1295">
        <v>20</v>
      </c>
      <c r="N1818" s="1295">
        <v>25</v>
      </c>
      <c r="O1818" s="1295">
        <v>30</v>
      </c>
      <c r="P1818" s="1295">
        <v>35</v>
      </c>
      <c r="Q1818" s="1295">
        <v>35</v>
      </c>
    </row>
    <row r="1819" spans="2:17" ht="88.5" x14ac:dyDescent="0.25">
      <c r="B1819" s="1296">
        <v>2</v>
      </c>
      <c r="C1819" s="1297"/>
      <c r="D1819" s="1297"/>
      <c r="E1819" s="1298" t="s">
        <v>2763</v>
      </c>
      <c r="F1819" s="1299">
        <f>SUM(F1820:F1822)</f>
        <v>210484.30000000002</v>
      </c>
      <c r="G1819" s="1299">
        <f>SUM(G1820:G1822)</f>
        <v>437028.7</v>
      </c>
      <c r="H1819" s="1299">
        <f>SUM(H1820:H1822)</f>
        <v>647984.19999999995</v>
      </c>
      <c r="I1819" s="1299">
        <f>SUM(I1820:I1822)</f>
        <v>402635.30000000005</v>
      </c>
      <c r="J1819" s="1299">
        <f>SUM(J1820:J1822)</f>
        <v>402373.7</v>
      </c>
      <c r="K1819" s="1300" t="s">
        <v>2764</v>
      </c>
      <c r="L1819" s="1301" t="s">
        <v>112</v>
      </c>
      <c r="M1819" s="1302">
        <v>90</v>
      </c>
      <c r="N1819" s="1302">
        <v>90</v>
      </c>
      <c r="O1819" s="1302">
        <v>90</v>
      </c>
      <c r="P1819" s="1302">
        <v>90</v>
      </c>
      <c r="Q1819" s="1302">
        <v>90</v>
      </c>
    </row>
    <row r="1820" spans="2:17" ht="30" x14ac:dyDescent="0.25">
      <c r="B1820" s="1303"/>
      <c r="C1820" s="1304">
        <v>1</v>
      </c>
      <c r="D1820" s="1305"/>
      <c r="E1820" s="1306" t="s">
        <v>2765</v>
      </c>
      <c r="F1820" s="1307">
        <v>176560.9</v>
      </c>
      <c r="G1820" s="1307">
        <v>215505.3</v>
      </c>
      <c r="H1820" s="1307">
        <v>247808.2</v>
      </c>
      <c r="I1820" s="1307">
        <v>341017.30000000005</v>
      </c>
      <c r="J1820" s="1307">
        <v>345101.2</v>
      </c>
      <c r="K1820" s="1293" t="s">
        <v>2766</v>
      </c>
      <c r="L1820" s="1301" t="s">
        <v>2767</v>
      </c>
      <c r="M1820" s="1308">
        <v>662.3</v>
      </c>
      <c r="N1820" s="1308">
        <v>662.3</v>
      </c>
      <c r="O1820" s="1308">
        <v>662.3</v>
      </c>
      <c r="P1820" s="1308">
        <v>662.3</v>
      </c>
      <c r="Q1820" s="1308">
        <v>662.3</v>
      </c>
    </row>
    <row r="1821" spans="2:17" ht="30" x14ac:dyDescent="0.25">
      <c r="B1821" s="1296"/>
      <c r="C1821" s="1309">
        <v>2</v>
      </c>
      <c r="D1821" s="1297"/>
      <c r="E1821" s="679" t="s">
        <v>2768</v>
      </c>
      <c r="F1821" s="1310">
        <v>10398.700000000001</v>
      </c>
      <c r="G1821" s="1310">
        <v>197998.7</v>
      </c>
      <c r="H1821" s="1307">
        <v>357381.80000000005</v>
      </c>
      <c r="I1821" s="1307">
        <v>12212.2</v>
      </c>
      <c r="J1821" s="1307">
        <v>6516.7</v>
      </c>
      <c r="K1821" s="1293" t="s">
        <v>2769</v>
      </c>
      <c r="L1821" s="1301" t="s">
        <v>2767</v>
      </c>
      <c r="M1821" s="1308">
        <v>6000</v>
      </c>
      <c r="N1821" s="1308">
        <v>6000</v>
      </c>
      <c r="O1821" s="1308">
        <v>6200</v>
      </c>
      <c r="P1821" s="1308">
        <v>6300</v>
      </c>
      <c r="Q1821" s="1308">
        <v>6360</v>
      </c>
    </row>
    <row r="1822" spans="2:17" ht="105" x14ac:dyDescent="0.25">
      <c r="B1822" s="1303"/>
      <c r="C1822" s="1311">
        <v>3</v>
      </c>
      <c r="D1822" s="1312"/>
      <c r="E1822" s="1313" t="s">
        <v>2770</v>
      </c>
      <c r="F1822" s="1314">
        <v>23524.7</v>
      </c>
      <c r="G1822" s="1315">
        <v>23524.7</v>
      </c>
      <c r="H1822" s="1307">
        <v>42794.200000000004</v>
      </c>
      <c r="I1822" s="1307">
        <v>49405.8</v>
      </c>
      <c r="J1822" s="1307">
        <v>50755.8</v>
      </c>
      <c r="K1822" s="1316" t="s">
        <v>2771</v>
      </c>
      <c r="L1822" s="1294" t="s">
        <v>1073</v>
      </c>
      <c r="M1822" s="1295">
        <v>880.4</v>
      </c>
      <c r="N1822" s="1295">
        <v>895.2</v>
      </c>
      <c r="O1822" s="1295">
        <v>900</v>
      </c>
      <c r="P1822" s="1295">
        <v>950.1</v>
      </c>
      <c r="Q1822" s="1295">
        <v>981.4</v>
      </c>
    </row>
    <row r="1823" spans="2:17" ht="88.5" x14ac:dyDescent="0.25">
      <c r="B1823" s="1296">
        <v>3</v>
      </c>
      <c r="C1823" s="1297"/>
      <c r="D1823" s="1297"/>
      <c r="E1823" s="1298" t="s">
        <v>2772</v>
      </c>
      <c r="F1823" s="1317">
        <f>SUM(F1824)</f>
        <v>26940.7</v>
      </c>
      <c r="G1823" s="1317">
        <f>SUM(G1824)</f>
        <v>32538</v>
      </c>
      <c r="H1823" s="1317">
        <f>SUM(H1824)</f>
        <v>58728</v>
      </c>
      <c r="I1823" s="1317">
        <f>SUM(I1824)</f>
        <v>61583.899999999994</v>
      </c>
      <c r="J1823" s="1317">
        <f>SUM(J1824)</f>
        <v>62302.6</v>
      </c>
      <c r="K1823" s="280" t="s">
        <v>2773</v>
      </c>
      <c r="L1823" s="1318"/>
      <c r="M1823" s="1296"/>
      <c r="N1823" s="1296"/>
      <c r="O1823" s="1296"/>
      <c r="P1823" s="1296"/>
      <c r="Q1823" s="1296"/>
    </row>
    <row r="1824" spans="2:17" ht="195" x14ac:dyDescent="0.25">
      <c r="B1824" s="1721"/>
      <c r="C1824" s="1723">
        <v>1</v>
      </c>
      <c r="D1824" s="1605"/>
      <c r="E1824" s="1319" t="s">
        <v>2774</v>
      </c>
      <c r="F1824" s="1607">
        <v>26940.7</v>
      </c>
      <c r="G1824" s="1607">
        <v>32538</v>
      </c>
      <c r="H1824" s="1607">
        <v>58728</v>
      </c>
      <c r="I1824" s="1607">
        <v>61583.899999999994</v>
      </c>
      <c r="J1824" s="1607">
        <v>62302.6</v>
      </c>
      <c r="K1824" s="1293" t="s">
        <v>2775</v>
      </c>
      <c r="L1824" s="1301" t="s">
        <v>2767</v>
      </c>
      <c r="M1824" s="1320">
        <v>1191.3999999999999</v>
      </c>
      <c r="N1824" s="1320">
        <v>1192.8</v>
      </c>
      <c r="O1824" s="1320">
        <v>1198.8</v>
      </c>
      <c r="P1824" s="1320">
        <v>1194.9999999999998</v>
      </c>
      <c r="Q1824" s="1320">
        <v>1194.9999999999998</v>
      </c>
    </row>
    <row r="1825" spans="2:17" ht="60" x14ac:dyDescent="0.25">
      <c r="B1825" s="1722"/>
      <c r="C1825" s="1724"/>
      <c r="D1825" s="1606"/>
      <c r="E1825" s="1321"/>
      <c r="F1825" s="1608"/>
      <c r="G1825" s="1608"/>
      <c r="H1825" s="1608"/>
      <c r="I1825" s="1608"/>
      <c r="J1825" s="1608"/>
      <c r="K1825" s="1293" t="s">
        <v>2776</v>
      </c>
      <c r="L1825" s="1301" t="s">
        <v>14</v>
      </c>
      <c r="M1825" s="1322">
        <v>100</v>
      </c>
      <c r="N1825" s="1322">
        <v>100</v>
      </c>
      <c r="O1825" s="1322">
        <v>100</v>
      </c>
      <c r="P1825" s="1322">
        <v>100</v>
      </c>
      <c r="Q1825" s="1322">
        <v>100</v>
      </c>
    </row>
    <row r="1826" spans="2:17" ht="72.75" x14ac:dyDescent="0.25">
      <c r="B1826" s="1323">
        <v>4</v>
      </c>
      <c r="C1826" s="1324"/>
      <c r="D1826" s="1325"/>
      <c r="E1826" s="1293" t="s">
        <v>2777</v>
      </c>
      <c r="F1826" s="1326">
        <f>SUM(F1827:F1828)</f>
        <v>4338.3999999999996</v>
      </c>
      <c r="G1826" s="1326">
        <f>SUM(G1827:G1828)</f>
        <v>4338.3999999999996</v>
      </c>
      <c r="H1826" s="1326">
        <f>SUM(H1827:H1828)</f>
        <v>6852.1</v>
      </c>
      <c r="I1826" s="1326">
        <f>SUM(I1827:I1828)</f>
        <v>7550.1</v>
      </c>
      <c r="J1826" s="1326">
        <f>SUM(J1827:J1828)</f>
        <v>7756.6</v>
      </c>
      <c r="K1826" s="1327" t="s">
        <v>2778</v>
      </c>
      <c r="L1826" s="1318" t="s">
        <v>14</v>
      </c>
      <c r="M1826" s="1328"/>
      <c r="N1826" s="1328"/>
      <c r="O1826" s="1328"/>
      <c r="P1826" s="1328"/>
      <c r="Q1826" s="1328"/>
    </row>
    <row r="1827" spans="2:17" ht="60" x14ac:dyDescent="0.25">
      <c r="B1827" s="1323"/>
      <c r="C1827" s="1329">
        <v>1</v>
      </c>
      <c r="D1827" s="1330"/>
      <c r="E1827" s="1331" t="s">
        <v>2779</v>
      </c>
      <c r="F1827" s="1315">
        <v>3096.8</v>
      </c>
      <c r="G1827" s="1315">
        <v>3096.7999999999997</v>
      </c>
      <c r="H1827" s="1315">
        <v>5610.5</v>
      </c>
      <c r="I1827" s="1315">
        <v>6308.5</v>
      </c>
      <c r="J1827" s="1315">
        <v>6515</v>
      </c>
      <c r="K1827" s="1332" t="s">
        <v>2780</v>
      </c>
      <c r="L1827" s="1301" t="s">
        <v>14</v>
      </c>
      <c r="M1827" s="1322">
        <v>30.7</v>
      </c>
      <c r="N1827" s="1322">
        <v>30.7</v>
      </c>
      <c r="O1827" s="1322">
        <v>30.7</v>
      </c>
      <c r="P1827" s="1322">
        <v>30.7</v>
      </c>
      <c r="Q1827" s="1322">
        <v>30.7</v>
      </c>
    </row>
    <row r="1828" spans="2:17" ht="45" x14ac:dyDescent="0.25">
      <c r="B1828" s="1725"/>
      <c r="C1828" s="1723">
        <v>2</v>
      </c>
      <c r="D1828" s="1727"/>
      <c r="E1828" s="1331" t="s">
        <v>2781</v>
      </c>
      <c r="F1828" s="1315">
        <v>1241.5999999999999</v>
      </c>
      <c r="G1828" s="1333">
        <v>1241.5999999999999</v>
      </c>
      <c r="H1828" s="1315">
        <v>1241.6000000000001</v>
      </c>
      <c r="I1828" s="1334">
        <v>1241.6000000000001</v>
      </c>
      <c r="J1828" s="1315">
        <v>1241.6000000000001</v>
      </c>
      <c r="K1828" s="1335" t="s">
        <v>2782</v>
      </c>
      <c r="L1828" s="1336" t="s">
        <v>14</v>
      </c>
      <c r="M1828" s="1322">
        <v>20</v>
      </c>
      <c r="N1828" s="1322">
        <v>20</v>
      </c>
      <c r="O1828" s="1322">
        <v>20</v>
      </c>
      <c r="P1828" s="1322">
        <v>20</v>
      </c>
      <c r="Q1828" s="1322">
        <v>20</v>
      </c>
    </row>
    <row r="1829" spans="2:17" x14ac:dyDescent="0.25">
      <c r="B1829" s="1726"/>
      <c r="C1829" s="1724"/>
      <c r="D1829" s="1728"/>
      <c r="E1829" s="1337"/>
      <c r="F1829" s="1338"/>
      <c r="G1829" s="1561"/>
      <c r="H1829" s="1561"/>
      <c r="I1829" s="1562"/>
      <c r="J1829" s="1338"/>
      <c r="K1829" s="1339" t="s">
        <v>2783</v>
      </c>
      <c r="L1829" s="1301" t="s">
        <v>1073</v>
      </c>
      <c r="M1829" s="1322">
        <v>4</v>
      </c>
      <c r="N1829" s="1322">
        <v>4</v>
      </c>
      <c r="O1829" s="1322">
        <v>4</v>
      </c>
      <c r="P1829" s="1322">
        <v>4</v>
      </c>
      <c r="Q1829" s="1322">
        <v>4</v>
      </c>
    </row>
    <row r="1830" spans="2:17" x14ac:dyDescent="0.25">
      <c r="B1830" s="1566" t="s">
        <v>291</v>
      </c>
      <c r="C1830" s="1567"/>
      <c r="D1830" s="1567"/>
      <c r="E1830" s="1568"/>
      <c r="F1830" s="1340">
        <f>SUM(F1816+F1819+F1823+F1826)</f>
        <v>265621.10000000003</v>
      </c>
      <c r="G1830" s="1340">
        <f>SUM(G1816+G1819+G1823+G1826)</f>
        <v>499903.4</v>
      </c>
      <c r="H1830" s="1340">
        <f>SUM(H1816+H1819+H1823+H1826)</f>
        <v>728796.89999999991</v>
      </c>
      <c r="I1830" s="1340">
        <f>SUM(I1816+I1819+I1823+I1826)</f>
        <v>492145.5</v>
      </c>
      <c r="J1830" s="1340">
        <f>SUM(J1816+J1819+J1823+J1826)</f>
        <v>493054.1</v>
      </c>
      <c r="K1830" s="1341"/>
      <c r="L1830" s="1555"/>
      <c r="M1830" s="1341"/>
      <c r="N1830" s="1341"/>
      <c r="O1830" s="1341"/>
      <c r="P1830" s="1341"/>
      <c r="Q1830" s="1341"/>
    </row>
    <row r="1831" spans="2:17" x14ac:dyDescent="0.25">
      <c r="B1831" s="1573" t="s">
        <v>2784</v>
      </c>
      <c r="C1831" s="1573"/>
      <c r="D1831" s="1573"/>
      <c r="E1831" s="1573"/>
      <c r="F1831" s="1573"/>
      <c r="G1831" s="1573"/>
      <c r="H1831" s="1573"/>
      <c r="I1831" s="1573"/>
      <c r="J1831" s="1573"/>
      <c r="K1831" s="1573"/>
      <c r="L1831" s="1573"/>
      <c r="M1831" s="1573"/>
      <c r="N1831" s="1573"/>
      <c r="O1831" s="1573"/>
      <c r="P1831" s="1573"/>
      <c r="Q1831" s="1573"/>
    </row>
    <row r="1832" spans="2:17" ht="57" x14ac:dyDescent="0.25">
      <c r="B1832" s="1342">
        <v>1</v>
      </c>
      <c r="C1832" s="1343"/>
      <c r="D1832" s="1344"/>
      <c r="E1832" s="1157" t="s">
        <v>2785</v>
      </c>
      <c r="F1832" s="1345">
        <v>131377.29999999999</v>
      </c>
      <c r="G1832" s="1345">
        <f>SUM(G1833:G1840)</f>
        <v>58167</v>
      </c>
      <c r="H1832" s="1345">
        <f t="shared" ref="H1832:J1832" si="188">SUM(H1833:H1840)</f>
        <v>58167</v>
      </c>
      <c r="I1832" s="1345">
        <f t="shared" si="188"/>
        <v>58217.7</v>
      </c>
      <c r="J1832" s="1345">
        <f t="shared" si="188"/>
        <v>58331.199999999997</v>
      </c>
      <c r="K1832" s="1140" t="s">
        <v>2363</v>
      </c>
      <c r="L1832" s="1346" t="s">
        <v>14</v>
      </c>
      <c r="M1832" s="1346"/>
      <c r="N1832" s="1346"/>
      <c r="O1832" s="1346"/>
      <c r="P1832" s="1346"/>
      <c r="Q1832" s="1347"/>
    </row>
    <row r="1833" spans="2:17" x14ac:dyDescent="0.25">
      <c r="B1833" s="1716"/>
      <c r="C1833" s="1707">
        <v>1</v>
      </c>
      <c r="D1833" s="1709"/>
      <c r="E1833" s="1711" t="s">
        <v>2786</v>
      </c>
      <c r="F1833" s="1714">
        <v>15786.6</v>
      </c>
      <c r="G1833" s="1714">
        <v>29548.9</v>
      </c>
      <c r="H1833" s="1714">
        <v>29548.9</v>
      </c>
      <c r="I1833" s="1576">
        <v>29599.599999999999</v>
      </c>
      <c r="J1833" s="1576">
        <v>29714.5</v>
      </c>
      <c r="K1833" s="1246" t="s">
        <v>501</v>
      </c>
      <c r="L1833" s="1348" t="s">
        <v>15</v>
      </c>
      <c r="M1833" s="1348">
        <v>0.63</v>
      </c>
      <c r="N1833" s="1348">
        <v>0.65</v>
      </c>
      <c r="O1833" s="1348">
        <v>0.66</v>
      </c>
      <c r="P1833" s="1349">
        <v>0.7</v>
      </c>
      <c r="Q1833" s="1350">
        <v>0.75</v>
      </c>
    </row>
    <row r="1834" spans="2:17" x14ac:dyDescent="0.25">
      <c r="B1834" s="1716"/>
      <c r="C1834" s="1707"/>
      <c r="D1834" s="1709"/>
      <c r="E1834" s="1717"/>
      <c r="F1834" s="1715"/>
      <c r="G1834" s="1715"/>
      <c r="H1834" s="1715"/>
      <c r="I1834" s="1577"/>
      <c r="J1834" s="1577"/>
      <c r="K1834" s="628" t="s">
        <v>834</v>
      </c>
      <c r="L1834" s="1348" t="s">
        <v>14</v>
      </c>
      <c r="M1834" s="1348">
        <v>78.400000000000006</v>
      </c>
      <c r="N1834" s="1351">
        <v>100</v>
      </c>
      <c r="O1834" s="1351">
        <v>100</v>
      </c>
      <c r="P1834" s="1352">
        <v>100</v>
      </c>
      <c r="Q1834" s="1353">
        <v>100</v>
      </c>
    </row>
    <row r="1835" spans="2:17" ht="45" x14ac:dyDescent="0.25">
      <c r="B1835" s="1716"/>
      <c r="C1835" s="1707"/>
      <c r="D1835" s="1709"/>
      <c r="E1835" s="1718"/>
      <c r="F1835" s="1719"/>
      <c r="G1835" s="1719"/>
      <c r="H1835" s="1719"/>
      <c r="I1835" s="1720"/>
      <c r="J1835" s="1720"/>
      <c r="K1835" s="1354" t="s">
        <v>2787</v>
      </c>
      <c r="L1835" s="1351" t="s">
        <v>14</v>
      </c>
      <c r="M1835" s="1351">
        <v>100</v>
      </c>
      <c r="N1835" s="1351">
        <v>100</v>
      </c>
      <c r="O1835" s="1351">
        <v>100</v>
      </c>
      <c r="P1835" s="1351">
        <v>100</v>
      </c>
      <c r="Q1835" s="1355">
        <v>100</v>
      </c>
    </row>
    <row r="1836" spans="2:17" ht="60" x14ac:dyDescent="0.25">
      <c r="B1836" s="1705"/>
      <c r="C1836" s="1707">
        <v>2</v>
      </c>
      <c r="D1836" s="1709"/>
      <c r="E1836" s="1711" t="s">
        <v>2788</v>
      </c>
      <c r="F1836" s="1713">
        <v>115590.7</v>
      </c>
      <c r="G1836" s="1714">
        <v>28618.1</v>
      </c>
      <c r="H1836" s="1714">
        <v>28618.1</v>
      </c>
      <c r="I1836" s="1714">
        <v>28618.1</v>
      </c>
      <c r="J1836" s="1576">
        <v>28616.7</v>
      </c>
      <c r="K1836" s="495" t="s">
        <v>2789</v>
      </c>
      <c r="L1836" s="1356" t="s">
        <v>68</v>
      </c>
      <c r="M1836" s="1357">
        <v>3022</v>
      </c>
      <c r="N1836" s="1357">
        <v>2700</v>
      </c>
      <c r="O1836" s="1357">
        <v>2800</v>
      </c>
      <c r="P1836" s="1357">
        <v>2900</v>
      </c>
      <c r="Q1836" s="1358">
        <v>2000</v>
      </c>
    </row>
    <row r="1837" spans="2:17" ht="30" x14ac:dyDescent="0.25">
      <c r="B1837" s="1706"/>
      <c r="C1837" s="1707"/>
      <c r="D1837" s="1709"/>
      <c r="E1837" s="1712"/>
      <c r="F1837" s="1713"/>
      <c r="G1837" s="1715"/>
      <c r="H1837" s="1715"/>
      <c r="I1837" s="1715"/>
      <c r="J1837" s="1577"/>
      <c r="K1837" s="1359" t="s">
        <v>2790</v>
      </c>
      <c r="L1837" s="1356" t="s">
        <v>68</v>
      </c>
      <c r="M1837" s="1351">
        <v>375.1</v>
      </c>
      <c r="N1837" s="1360">
        <v>500</v>
      </c>
      <c r="O1837" s="1360">
        <v>515</v>
      </c>
      <c r="P1837" s="1360">
        <v>516</v>
      </c>
      <c r="Q1837" s="1361">
        <v>500</v>
      </c>
    </row>
    <row r="1838" spans="2:17" ht="30" x14ac:dyDescent="0.25">
      <c r="B1838" s="1706"/>
      <c r="C1838" s="1707"/>
      <c r="D1838" s="1709"/>
      <c r="E1838" s="1712"/>
      <c r="F1838" s="1713"/>
      <c r="G1838" s="1715"/>
      <c r="H1838" s="1715"/>
      <c r="I1838" s="1715"/>
      <c r="J1838" s="1577"/>
      <c r="K1838" s="1362" t="s">
        <v>2791</v>
      </c>
      <c r="L1838" s="1356" t="s">
        <v>68</v>
      </c>
      <c r="M1838" s="1351">
        <v>177.6</v>
      </c>
      <c r="N1838" s="1360">
        <v>360</v>
      </c>
      <c r="O1838" s="1360">
        <v>360</v>
      </c>
      <c r="P1838" s="1360">
        <v>352</v>
      </c>
      <c r="Q1838" s="1361">
        <v>350</v>
      </c>
    </row>
    <row r="1839" spans="2:17" ht="30" x14ac:dyDescent="0.25">
      <c r="B1839" s="1706"/>
      <c r="C1839" s="1707"/>
      <c r="D1839" s="1709"/>
      <c r="E1839" s="1712"/>
      <c r="F1839" s="1713"/>
      <c r="G1839" s="1715"/>
      <c r="H1839" s="1715"/>
      <c r="I1839" s="1715"/>
      <c r="J1839" s="1577"/>
      <c r="K1839" s="1362" t="s">
        <v>2792</v>
      </c>
      <c r="L1839" s="1356" t="s">
        <v>68</v>
      </c>
      <c r="M1839" s="1357">
        <v>167.5</v>
      </c>
      <c r="N1839" s="1360">
        <v>200</v>
      </c>
      <c r="O1839" s="1360">
        <v>200</v>
      </c>
      <c r="P1839" s="1360">
        <v>200</v>
      </c>
      <c r="Q1839" s="1361">
        <v>200</v>
      </c>
    </row>
    <row r="1840" spans="2:17" ht="45" x14ac:dyDescent="0.25">
      <c r="B1840" s="1706"/>
      <c r="C1840" s="1708"/>
      <c r="D1840" s="1710"/>
      <c r="E1840" s="1712"/>
      <c r="F1840" s="1713"/>
      <c r="G1840" s="1715"/>
      <c r="H1840" s="1715"/>
      <c r="I1840" s="1715"/>
      <c r="J1840" s="1577"/>
      <c r="K1840" s="495" t="s">
        <v>2793</v>
      </c>
      <c r="L1840" s="1363" t="s">
        <v>14</v>
      </c>
      <c r="M1840" s="1364">
        <v>71.900000000000006</v>
      </c>
      <c r="N1840" s="1365">
        <v>75</v>
      </c>
      <c r="O1840" s="1365">
        <v>85</v>
      </c>
      <c r="P1840" s="1365">
        <v>90</v>
      </c>
      <c r="Q1840" s="1366">
        <v>100</v>
      </c>
    </row>
    <row r="1841" spans="2:17" ht="28.5" x14ac:dyDescent="0.25">
      <c r="B1841" s="1367">
        <v>2</v>
      </c>
      <c r="C1841" s="1368"/>
      <c r="D1841" s="1369"/>
      <c r="E1841" s="653" t="s">
        <v>378</v>
      </c>
      <c r="F1841" s="1563"/>
      <c r="G1841" s="1370">
        <v>46068</v>
      </c>
      <c r="H1841" s="1370">
        <f>H1842</f>
        <v>22560</v>
      </c>
      <c r="I1841" s="1370">
        <v>3565</v>
      </c>
      <c r="J1841" s="1370"/>
      <c r="K1841" s="1371"/>
      <c r="L1841" s="1348"/>
      <c r="M1841" s="1351"/>
      <c r="N1841" s="1360"/>
      <c r="O1841" s="1360"/>
      <c r="P1841" s="1360"/>
      <c r="Q1841" s="1360"/>
    </row>
    <row r="1842" spans="2:17" ht="30" x14ac:dyDescent="0.25">
      <c r="B1842" s="1367"/>
      <c r="C1842" s="1368">
        <v>1</v>
      </c>
      <c r="D1842" s="1369"/>
      <c r="E1842" s="521" t="s">
        <v>379</v>
      </c>
      <c r="F1842" s="1563"/>
      <c r="G1842" s="1372">
        <v>46068</v>
      </c>
      <c r="H1842" s="1372">
        <f>8460+14100</f>
        <v>22560</v>
      </c>
      <c r="I1842" s="1372">
        <v>3565</v>
      </c>
      <c r="J1842" s="1373"/>
      <c r="K1842" s="1371"/>
      <c r="L1842" s="1348"/>
      <c r="M1842" s="1351"/>
      <c r="N1842" s="1360"/>
      <c r="O1842" s="1360"/>
      <c r="P1842" s="1360"/>
      <c r="Q1842" s="1360"/>
    </row>
    <row r="1843" spans="2:17" x14ac:dyDescent="0.25">
      <c r="B1843" s="1566" t="s">
        <v>291</v>
      </c>
      <c r="C1843" s="1567"/>
      <c r="D1843" s="1567"/>
      <c r="E1843" s="1568"/>
      <c r="F1843" s="1374">
        <v>131377.29999999999</v>
      </c>
      <c r="G1843" s="1375">
        <f>SUM(G1832+G1841)</f>
        <v>104235</v>
      </c>
      <c r="H1843" s="1375">
        <f t="shared" ref="H1843:J1843" si="189">SUM(H1832+H1841)</f>
        <v>80727</v>
      </c>
      <c r="I1843" s="1375">
        <f t="shared" si="189"/>
        <v>61782.7</v>
      </c>
      <c r="J1843" s="1375">
        <f t="shared" si="189"/>
        <v>58331.199999999997</v>
      </c>
      <c r="K1843" s="1376"/>
      <c r="L1843" s="1376"/>
      <c r="M1843" s="1376"/>
      <c r="N1843" s="1376"/>
      <c r="O1843" s="1376"/>
      <c r="P1843" s="1376"/>
      <c r="Q1843" s="1376"/>
    </row>
    <row r="1844" spans="2:17" x14ac:dyDescent="0.25">
      <c r="B1844" s="1578" t="s">
        <v>2794</v>
      </c>
      <c r="C1844" s="1578"/>
      <c r="D1844" s="1578"/>
      <c r="E1844" s="1578"/>
      <c r="F1844" s="1578"/>
      <c r="G1844" s="1578"/>
      <c r="H1844" s="1578"/>
      <c r="I1844" s="1578"/>
      <c r="J1844" s="1578"/>
      <c r="K1844" s="1578"/>
      <c r="L1844" s="1578"/>
      <c r="M1844" s="1578"/>
      <c r="N1844" s="1578"/>
      <c r="O1844" s="1578"/>
      <c r="P1844" s="1578"/>
      <c r="Q1844" s="1578"/>
    </row>
    <row r="1845" spans="2:17" ht="74.25" x14ac:dyDescent="0.25">
      <c r="B1845" s="1377">
        <v>1</v>
      </c>
      <c r="C1845" s="1378"/>
      <c r="D1845" s="1379"/>
      <c r="E1845" s="477" t="s">
        <v>2432</v>
      </c>
      <c r="F1845" s="1380">
        <f>SUM(F1846:F1852)</f>
        <v>43678.599999999991</v>
      </c>
      <c r="G1845" s="1380">
        <f>SUM(G1846:G1852)</f>
        <v>44066</v>
      </c>
      <c r="H1845" s="1380">
        <f>SUM(H1846:H1852)</f>
        <v>39050.600000000006</v>
      </c>
      <c r="I1845" s="1380">
        <f>SUM(I1846:I1852)</f>
        <v>39050.600000000006</v>
      </c>
      <c r="J1845" s="1380">
        <f>SUM(J1846:J1852)</f>
        <v>39050.600000000006</v>
      </c>
      <c r="K1845" s="1140" t="s">
        <v>2363</v>
      </c>
      <c r="L1845" s="1381" t="s">
        <v>14</v>
      </c>
      <c r="M1845" s="1382">
        <v>15.761710911071614</v>
      </c>
      <c r="N1845" s="1382">
        <v>16.057784381707116</v>
      </c>
      <c r="O1845" s="1382">
        <v>16.057784381707116</v>
      </c>
      <c r="P1845" s="1382">
        <v>16.057784381707116</v>
      </c>
      <c r="Q1845" s="1382">
        <v>16.057784381707116</v>
      </c>
    </row>
    <row r="1846" spans="2:17" x14ac:dyDescent="0.25">
      <c r="B1846" s="1377"/>
      <c r="C1846" s="1383">
        <v>1</v>
      </c>
      <c r="D1846" s="1384"/>
      <c r="E1846" s="719" t="s">
        <v>140</v>
      </c>
      <c r="F1846" s="1385">
        <v>6090.4</v>
      </c>
      <c r="G1846" s="1385">
        <v>4739</v>
      </c>
      <c r="H1846" s="1385">
        <v>4255.8</v>
      </c>
      <c r="I1846" s="1385">
        <v>4255.8</v>
      </c>
      <c r="J1846" s="1385">
        <v>4255.8</v>
      </c>
      <c r="K1846" s="1246" t="s">
        <v>501</v>
      </c>
      <c r="L1846" s="1386" t="s">
        <v>15</v>
      </c>
      <c r="M1846" s="1386">
        <v>0.62</v>
      </c>
      <c r="N1846" s="1386">
        <v>0.7</v>
      </c>
      <c r="O1846" s="1386">
        <v>0.7</v>
      </c>
      <c r="P1846" s="1386">
        <v>0.7</v>
      </c>
      <c r="Q1846" s="1386">
        <v>0.7</v>
      </c>
    </row>
    <row r="1847" spans="2:17" ht="30" x14ac:dyDescent="0.25">
      <c r="B1847" s="1377"/>
      <c r="C1847" s="1383">
        <v>2</v>
      </c>
      <c r="D1847" s="1384"/>
      <c r="E1847" s="494" t="s">
        <v>2666</v>
      </c>
      <c r="F1847" s="1385">
        <v>5854.4</v>
      </c>
      <c r="G1847" s="1385">
        <v>4505.1000000000004</v>
      </c>
      <c r="H1847" s="1385">
        <v>3358.3</v>
      </c>
      <c r="I1847" s="1385">
        <v>3358.3</v>
      </c>
      <c r="J1847" s="1385">
        <v>3358.3</v>
      </c>
      <c r="K1847" s="628" t="s">
        <v>834</v>
      </c>
      <c r="L1847" s="1386" t="s">
        <v>14</v>
      </c>
      <c r="M1847" s="1386">
        <v>100</v>
      </c>
      <c r="N1847" s="1386">
        <v>100</v>
      </c>
      <c r="O1847" s="1386">
        <v>100</v>
      </c>
      <c r="P1847" s="1386">
        <v>100</v>
      </c>
      <c r="Q1847" s="1386">
        <v>100</v>
      </c>
    </row>
    <row r="1848" spans="2:17" ht="30" x14ac:dyDescent="0.25">
      <c r="B1848" s="1377"/>
      <c r="C1848" s="1383">
        <v>3</v>
      </c>
      <c r="D1848" s="1384"/>
      <c r="E1848" s="1387" t="s">
        <v>1212</v>
      </c>
      <c r="F1848" s="1385">
        <v>5077.8999999999996</v>
      </c>
      <c r="G1848" s="1385">
        <v>3048.7</v>
      </c>
      <c r="H1848" s="1385">
        <v>2353.1</v>
      </c>
      <c r="I1848" s="1385">
        <v>2353.1</v>
      </c>
      <c r="J1848" s="1385">
        <v>2353.1</v>
      </c>
      <c r="K1848" s="1388" t="s">
        <v>2795</v>
      </c>
      <c r="L1848" s="1386" t="s">
        <v>14</v>
      </c>
      <c r="M1848" s="1386" t="s">
        <v>60</v>
      </c>
      <c r="N1848" s="1386">
        <v>100</v>
      </c>
      <c r="O1848" s="1386">
        <v>100</v>
      </c>
      <c r="P1848" s="1386">
        <v>100</v>
      </c>
      <c r="Q1848" s="1386">
        <v>100</v>
      </c>
    </row>
    <row r="1849" spans="2:17" ht="30" x14ac:dyDescent="0.25">
      <c r="B1849" s="1377"/>
      <c r="C1849" s="1383">
        <v>4</v>
      </c>
      <c r="D1849" s="1384"/>
      <c r="E1849" s="1387" t="s">
        <v>241</v>
      </c>
      <c r="F1849" s="1385">
        <v>5105.3</v>
      </c>
      <c r="G1849" s="1385">
        <v>4441.3</v>
      </c>
      <c r="H1849" s="1385">
        <v>3441.2</v>
      </c>
      <c r="I1849" s="1385">
        <v>3441.2</v>
      </c>
      <c r="J1849" s="1385">
        <v>3441.2</v>
      </c>
      <c r="K1849" s="1388" t="s">
        <v>1431</v>
      </c>
      <c r="L1849" s="1386" t="s">
        <v>2153</v>
      </c>
      <c r="M1849" s="1386" t="s">
        <v>2796</v>
      </c>
      <c r="N1849" s="1386">
        <v>100</v>
      </c>
      <c r="O1849" s="1386">
        <v>100</v>
      </c>
      <c r="P1849" s="1386">
        <v>100</v>
      </c>
      <c r="Q1849" s="1386">
        <v>100</v>
      </c>
    </row>
    <row r="1850" spans="2:17" ht="45" x14ac:dyDescent="0.25">
      <c r="B1850" s="1377"/>
      <c r="C1850" s="1383">
        <v>6</v>
      </c>
      <c r="D1850" s="1384"/>
      <c r="E1850" s="1192" t="s">
        <v>2524</v>
      </c>
      <c r="F1850" s="1385">
        <v>21550.6</v>
      </c>
      <c r="G1850" s="1385">
        <v>3413.3</v>
      </c>
      <c r="H1850" s="1385">
        <v>4208.8999999999996</v>
      </c>
      <c r="I1850" s="1385">
        <v>4208.8999999999996</v>
      </c>
      <c r="J1850" s="1385">
        <v>4208.8999999999996</v>
      </c>
      <c r="K1850" s="628" t="s">
        <v>2467</v>
      </c>
      <c r="L1850" s="1386" t="s">
        <v>14</v>
      </c>
      <c r="M1850" s="1389">
        <v>14.285714285714285</v>
      </c>
      <c r="N1850" s="1389">
        <v>14.634146341463413</v>
      </c>
      <c r="O1850" s="1389">
        <v>14.634146341463413</v>
      </c>
      <c r="P1850" s="1389">
        <v>14.634146341463413</v>
      </c>
      <c r="Q1850" s="1389">
        <v>14.634146341463413</v>
      </c>
    </row>
    <row r="1851" spans="2:17" ht="45" x14ac:dyDescent="0.25">
      <c r="B1851" s="1377"/>
      <c r="C1851" s="1383">
        <v>7</v>
      </c>
      <c r="D1851" s="1384"/>
      <c r="E1851" s="209" t="s">
        <v>2670</v>
      </c>
      <c r="F1851" s="1385"/>
      <c r="G1851" s="1385">
        <v>4879.7</v>
      </c>
      <c r="H1851" s="1385">
        <v>2836.8</v>
      </c>
      <c r="I1851" s="1385">
        <v>2836.8</v>
      </c>
      <c r="J1851" s="1385">
        <v>2836.8</v>
      </c>
      <c r="K1851" s="1390" t="s">
        <v>2797</v>
      </c>
      <c r="L1851" s="1386" t="s">
        <v>14</v>
      </c>
      <c r="M1851" s="1389">
        <v>85.5</v>
      </c>
      <c r="N1851" s="1389">
        <v>100</v>
      </c>
      <c r="O1851" s="1389">
        <v>100</v>
      </c>
      <c r="P1851" s="1389">
        <v>100</v>
      </c>
      <c r="Q1851" s="1389">
        <v>100</v>
      </c>
    </row>
    <row r="1852" spans="2:17" ht="30" x14ac:dyDescent="0.25">
      <c r="B1852" s="1377"/>
      <c r="C1852" s="1383">
        <v>8</v>
      </c>
      <c r="D1852" s="1384"/>
      <c r="E1852" s="1391" t="s">
        <v>2798</v>
      </c>
      <c r="F1852" s="1385"/>
      <c r="G1852" s="1385">
        <v>19038.900000000001</v>
      </c>
      <c r="H1852" s="1385">
        <v>18596.5</v>
      </c>
      <c r="I1852" s="1385">
        <v>18596.5</v>
      </c>
      <c r="J1852" s="1385">
        <v>18596.5</v>
      </c>
      <c r="K1852" s="1390" t="s">
        <v>2799</v>
      </c>
      <c r="L1852" s="1392" t="s">
        <v>14</v>
      </c>
      <c r="M1852" s="1389">
        <v>57.142857142857146</v>
      </c>
      <c r="N1852" s="1389">
        <v>57.731958762886599</v>
      </c>
      <c r="O1852" s="1389">
        <v>57.731958762886599</v>
      </c>
      <c r="P1852" s="1389">
        <v>57.731958762886599</v>
      </c>
      <c r="Q1852" s="1389">
        <v>57.731958762886599</v>
      </c>
    </row>
    <row r="1853" spans="2:17" ht="58.5" x14ac:dyDescent="0.25">
      <c r="B1853" s="1377">
        <v>2</v>
      </c>
      <c r="C1853" s="1383"/>
      <c r="D1853" s="1384"/>
      <c r="E1853" s="1393" t="s">
        <v>2800</v>
      </c>
      <c r="F1853" s="1380">
        <f>SUM(F1854:F1856)</f>
        <v>246635.40000000002</v>
      </c>
      <c r="G1853" s="1380">
        <f>SUM(G1854:G1856)</f>
        <v>246248</v>
      </c>
      <c r="H1853" s="1380">
        <f>SUM(H1854:H1856)</f>
        <v>251263.4</v>
      </c>
      <c r="I1853" s="1380">
        <f>SUM(I1854:I1856)</f>
        <v>251516.6</v>
      </c>
      <c r="J1853" s="1380">
        <f>SUM(J1854:J1856)</f>
        <v>252083</v>
      </c>
      <c r="K1853" s="1394" t="s">
        <v>2801</v>
      </c>
      <c r="L1853" s="1392" t="s">
        <v>14</v>
      </c>
      <c r="M1853" s="1381">
        <v>44.09</v>
      </c>
      <c r="N1853" s="1381">
        <v>52.25</v>
      </c>
      <c r="O1853" s="1381">
        <v>51.5</v>
      </c>
      <c r="P1853" s="1381">
        <v>51.5</v>
      </c>
      <c r="Q1853" s="1381">
        <v>51.5</v>
      </c>
    </row>
    <row r="1854" spans="2:17" ht="30" x14ac:dyDescent="0.25">
      <c r="B1854" s="1377"/>
      <c r="C1854" s="1383">
        <v>1</v>
      </c>
      <c r="D1854" s="1384"/>
      <c r="E1854" s="1391" t="s">
        <v>2802</v>
      </c>
      <c r="F1854" s="1385">
        <v>8252.2000000000007</v>
      </c>
      <c r="G1854" s="1385">
        <v>4195</v>
      </c>
      <c r="H1854" s="1385">
        <v>2899</v>
      </c>
      <c r="I1854" s="1385">
        <v>2899</v>
      </c>
      <c r="J1854" s="1385">
        <v>2899</v>
      </c>
      <c r="K1854" s="1390" t="s">
        <v>2803</v>
      </c>
      <c r="L1854" s="1392" t="s">
        <v>14</v>
      </c>
      <c r="M1854" s="1395">
        <v>43.18</v>
      </c>
      <c r="N1854" s="1395">
        <v>59.5</v>
      </c>
      <c r="O1854" s="1395">
        <v>60</v>
      </c>
      <c r="P1854" s="1395">
        <v>60</v>
      </c>
      <c r="Q1854" s="1395">
        <v>60</v>
      </c>
    </row>
    <row r="1855" spans="2:17" ht="30" x14ac:dyDescent="0.25">
      <c r="B1855" s="1377"/>
      <c r="C1855" s="1383">
        <v>2</v>
      </c>
      <c r="D1855" s="1384"/>
      <c r="E1855" s="1388" t="s">
        <v>2804</v>
      </c>
      <c r="F1855" s="1385"/>
      <c r="G1855" s="1385">
        <v>3669.8</v>
      </c>
      <c r="H1855" s="1385">
        <v>2354.1</v>
      </c>
      <c r="I1855" s="1385">
        <v>2354.1</v>
      </c>
      <c r="J1855" s="1385">
        <v>2354.1</v>
      </c>
      <c r="K1855" s="1390" t="s">
        <v>2805</v>
      </c>
      <c r="L1855" s="1392" t="s">
        <v>14</v>
      </c>
      <c r="M1855" s="1386">
        <v>45</v>
      </c>
      <c r="N1855" s="1386">
        <v>45</v>
      </c>
      <c r="O1855" s="1386">
        <v>43</v>
      </c>
      <c r="P1855" s="1386">
        <v>43</v>
      </c>
      <c r="Q1855" s="1386">
        <v>43</v>
      </c>
    </row>
    <row r="1856" spans="2:17" ht="45" x14ac:dyDescent="0.25">
      <c r="B1856" s="1396"/>
      <c r="C1856" s="1397">
        <v>3</v>
      </c>
      <c r="D1856" s="1398"/>
      <c r="E1856" s="1399" t="s">
        <v>2806</v>
      </c>
      <c r="F1856" s="1385">
        <v>238383.2</v>
      </c>
      <c r="G1856" s="1395">
        <v>238383.2</v>
      </c>
      <c r="H1856" s="1395">
        <v>246010.3</v>
      </c>
      <c r="I1856" s="1395">
        <v>246263.5</v>
      </c>
      <c r="J1856" s="1395">
        <v>246829.9</v>
      </c>
      <c r="K1856" s="1400" t="s">
        <v>2807</v>
      </c>
      <c r="L1856" s="1392" t="s">
        <v>14</v>
      </c>
      <c r="M1856" s="1395">
        <v>43.18</v>
      </c>
      <c r="N1856" s="1395">
        <v>59.5</v>
      </c>
      <c r="O1856" s="1395">
        <v>60</v>
      </c>
      <c r="P1856" s="1395">
        <v>60</v>
      </c>
      <c r="Q1856" s="1395">
        <v>60</v>
      </c>
    </row>
    <row r="1857" spans="2:17" x14ac:dyDescent="0.25">
      <c r="B1857" s="1566" t="s">
        <v>291</v>
      </c>
      <c r="C1857" s="1567"/>
      <c r="D1857" s="1567"/>
      <c r="E1857" s="1568"/>
      <c r="F1857" s="1401">
        <f>SUM(F1853+F1845)</f>
        <v>290314</v>
      </c>
      <c r="G1857" s="1401">
        <f>SUM(G1853+G1845)</f>
        <v>290314</v>
      </c>
      <c r="H1857" s="1401">
        <v>290314</v>
      </c>
      <c r="I1857" s="1401">
        <f>SUM(I1853+I1845)</f>
        <v>290567.2</v>
      </c>
      <c r="J1857" s="1401">
        <f>SUM(J1845+J1853)</f>
        <v>291133.59999999998</v>
      </c>
      <c r="K1857" s="1402"/>
      <c r="L1857" s="1403"/>
      <c r="M1857" s="1402"/>
      <c r="N1857" s="1402"/>
      <c r="O1857" s="1402"/>
      <c r="P1857" s="1402"/>
      <c r="Q1857" s="1402"/>
    </row>
    <row r="1858" spans="2:17" x14ac:dyDescent="0.25">
      <c r="B1858" s="1579" t="s">
        <v>2808</v>
      </c>
      <c r="C1858" s="1579"/>
      <c r="D1858" s="1579"/>
      <c r="E1858" s="1579"/>
      <c r="F1858" s="1579"/>
      <c r="G1858" s="1579"/>
      <c r="H1858" s="1579"/>
      <c r="I1858" s="1579"/>
      <c r="J1858" s="1579"/>
      <c r="K1858" s="1579"/>
      <c r="L1858" s="1579"/>
      <c r="M1858" s="1579"/>
      <c r="N1858" s="1579"/>
      <c r="O1858" s="1579"/>
      <c r="P1858" s="1579"/>
      <c r="Q1858" s="1579"/>
    </row>
    <row r="1859" spans="2:17" ht="74.25" x14ac:dyDescent="0.25">
      <c r="B1859" s="1404">
        <v>1</v>
      </c>
      <c r="C1859" s="1405"/>
      <c r="D1859" s="1406"/>
      <c r="E1859" s="477" t="s">
        <v>2432</v>
      </c>
      <c r="F1859" s="1407">
        <v>2711.8</v>
      </c>
      <c r="G1859" s="1407">
        <v>3057.9</v>
      </c>
      <c r="H1859" s="1407">
        <f>H1860+H1861+H1862</f>
        <v>3365.7</v>
      </c>
      <c r="I1859" s="1407">
        <f>I1860+I1861+I1862</f>
        <v>3108.1</v>
      </c>
      <c r="J1859" s="1407">
        <f>J1860+J1861+J1862</f>
        <v>3108.1</v>
      </c>
      <c r="K1859" s="1140" t="s">
        <v>2363</v>
      </c>
      <c r="L1859" s="1408" t="s">
        <v>14</v>
      </c>
      <c r="M1859" s="1408">
        <v>10.6</v>
      </c>
      <c r="N1859" s="1408">
        <v>27.5</v>
      </c>
      <c r="O1859" s="1408">
        <v>27.5</v>
      </c>
      <c r="P1859" s="1408">
        <v>28.7</v>
      </c>
      <c r="Q1859" s="1408">
        <v>28.7</v>
      </c>
    </row>
    <row r="1860" spans="2:17" ht="30" x14ac:dyDescent="0.25">
      <c r="B1860" s="1409"/>
      <c r="C1860" s="1410">
        <v>2</v>
      </c>
      <c r="D1860" s="1405"/>
      <c r="E1860" s="494" t="s">
        <v>2666</v>
      </c>
      <c r="F1860" s="1411">
        <v>1217.2</v>
      </c>
      <c r="G1860" s="1411">
        <v>1716.2</v>
      </c>
      <c r="H1860" s="210">
        <v>1992.8</v>
      </c>
      <c r="I1860" s="1411">
        <v>1849.2</v>
      </c>
      <c r="J1860" s="210">
        <v>1849.2</v>
      </c>
      <c r="K1860" s="628" t="s">
        <v>834</v>
      </c>
      <c r="L1860" s="1412" t="s">
        <v>14</v>
      </c>
      <c r="M1860" s="1412">
        <v>100</v>
      </c>
      <c r="N1860" s="1412">
        <v>100</v>
      </c>
      <c r="O1860" s="1412">
        <v>100</v>
      </c>
      <c r="P1860" s="1412">
        <v>100</v>
      </c>
      <c r="Q1860" s="1412">
        <v>100</v>
      </c>
    </row>
    <row r="1861" spans="2:17" ht="30" x14ac:dyDescent="0.25">
      <c r="B1861" s="1409"/>
      <c r="C1861" s="1410">
        <v>2</v>
      </c>
      <c r="D1861" s="1405"/>
      <c r="E1861" s="1413" t="s">
        <v>1212</v>
      </c>
      <c r="F1861" s="1411">
        <v>526.29999999999995</v>
      </c>
      <c r="G1861" s="1411">
        <v>589.29999999999995</v>
      </c>
      <c r="H1861" s="210">
        <v>615.9</v>
      </c>
      <c r="I1861" s="1411">
        <v>575.9</v>
      </c>
      <c r="J1861" s="210">
        <v>575.9</v>
      </c>
      <c r="K1861" s="1388" t="s">
        <v>2795</v>
      </c>
      <c r="L1861" s="1412" t="s">
        <v>14</v>
      </c>
      <c r="M1861" s="1412">
        <v>100</v>
      </c>
      <c r="N1861" s="1412">
        <v>100</v>
      </c>
      <c r="O1861" s="1412">
        <v>100</v>
      </c>
      <c r="P1861" s="1412">
        <v>100</v>
      </c>
      <c r="Q1861" s="1412">
        <v>100</v>
      </c>
    </row>
    <row r="1862" spans="2:17" ht="30" x14ac:dyDescent="0.25">
      <c r="B1862" s="1409"/>
      <c r="C1862" s="1410">
        <v>3</v>
      </c>
      <c r="D1862" s="1405"/>
      <c r="E1862" s="1413" t="s">
        <v>241</v>
      </c>
      <c r="F1862" s="1411">
        <v>968.3</v>
      </c>
      <c r="G1862" s="1411">
        <v>752.4</v>
      </c>
      <c r="H1862" s="210">
        <v>757</v>
      </c>
      <c r="I1862" s="1411">
        <v>683</v>
      </c>
      <c r="J1862" s="210">
        <v>683</v>
      </c>
      <c r="K1862" s="1388" t="s">
        <v>1431</v>
      </c>
      <c r="L1862" s="1386" t="s">
        <v>2153</v>
      </c>
      <c r="M1862" s="1414" t="s">
        <v>2809</v>
      </c>
      <c r="N1862" s="1414" t="s">
        <v>2809</v>
      </c>
      <c r="O1862" s="1414" t="s">
        <v>2809</v>
      </c>
      <c r="P1862" s="1414" t="s">
        <v>2809</v>
      </c>
      <c r="Q1862" s="1414" t="s">
        <v>2809</v>
      </c>
    </row>
    <row r="1863" spans="2:17" x14ac:dyDescent="0.25">
      <c r="B1863" s="1684" t="s">
        <v>91</v>
      </c>
      <c r="C1863" s="1686"/>
      <c r="D1863" s="1686"/>
      <c r="E1863" s="1701" t="s">
        <v>2810</v>
      </c>
      <c r="F1863" s="1702">
        <f>F1865+F1867+F1869</f>
        <v>8317</v>
      </c>
      <c r="G1863" s="1702">
        <f>G1865+G1867+G1869</f>
        <v>8997.5</v>
      </c>
      <c r="H1863" s="1702">
        <f>H1865+H1867+H1869</f>
        <v>10157.300000000001</v>
      </c>
      <c r="I1863" s="1702">
        <f>I1865+I1867+I1869</f>
        <v>9345.2999999999993</v>
      </c>
      <c r="J1863" s="1702">
        <f>J1865+J1867+J1869</f>
        <v>9358.6</v>
      </c>
      <c r="K1863" s="1703" t="s">
        <v>2811</v>
      </c>
      <c r="L1863" s="1679" t="s">
        <v>14</v>
      </c>
      <c r="M1863" s="1580">
        <v>100</v>
      </c>
      <c r="N1863" s="1580">
        <v>100</v>
      </c>
      <c r="O1863" s="1580">
        <v>100</v>
      </c>
      <c r="P1863" s="1580">
        <v>100</v>
      </c>
      <c r="Q1863" s="1580">
        <v>100</v>
      </c>
    </row>
    <row r="1864" spans="2:17" x14ac:dyDescent="0.25">
      <c r="B1864" s="1696"/>
      <c r="C1864" s="1697"/>
      <c r="D1864" s="1697"/>
      <c r="E1864" s="1701"/>
      <c r="F1864" s="1698"/>
      <c r="G1864" s="1698"/>
      <c r="H1864" s="1698"/>
      <c r="I1864" s="1698"/>
      <c r="J1864" s="1698"/>
      <c r="K1864" s="1693"/>
      <c r="L1864" s="1694"/>
      <c r="M1864" s="1704"/>
      <c r="N1864" s="1704"/>
      <c r="O1864" s="1704"/>
      <c r="P1864" s="1581"/>
      <c r="Q1864" s="1581"/>
    </row>
    <row r="1865" spans="2:17" x14ac:dyDescent="0.25">
      <c r="B1865" s="1684"/>
      <c r="C1865" s="1686" t="s">
        <v>2</v>
      </c>
      <c r="D1865" s="1686"/>
      <c r="E1865" s="1688" t="s">
        <v>2812</v>
      </c>
      <c r="F1865" s="1676">
        <v>4801.6000000000004</v>
      </c>
      <c r="G1865" s="1676">
        <v>6630</v>
      </c>
      <c r="H1865" s="1676">
        <v>7823.5</v>
      </c>
      <c r="I1865" s="1676">
        <v>7189.8</v>
      </c>
      <c r="J1865" s="1675">
        <v>7203.1</v>
      </c>
      <c r="K1865" s="1692" t="s">
        <v>2813</v>
      </c>
      <c r="L1865" s="1679" t="s">
        <v>14</v>
      </c>
      <c r="M1865" s="1582">
        <v>100</v>
      </c>
      <c r="N1865" s="1582">
        <v>100</v>
      </c>
      <c r="O1865" s="1582">
        <v>100</v>
      </c>
      <c r="P1865" s="1582">
        <v>100</v>
      </c>
      <c r="Q1865" s="1582">
        <v>100</v>
      </c>
    </row>
    <row r="1866" spans="2:17" x14ac:dyDescent="0.25">
      <c r="B1866" s="1696"/>
      <c r="C1866" s="1697"/>
      <c r="D1866" s="1697"/>
      <c r="E1866" s="1688"/>
      <c r="F1866" s="1698"/>
      <c r="G1866" s="1699"/>
      <c r="H1866" s="1699"/>
      <c r="I1866" s="1699"/>
      <c r="J1866" s="1675"/>
      <c r="K1866" s="1693"/>
      <c r="L1866" s="1694"/>
      <c r="M1866" s="1695"/>
      <c r="N1866" s="1695"/>
      <c r="O1866" s="1695"/>
      <c r="P1866" s="1583"/>
      <c r="Q1866" s="1583"/>
    </row>
    <row r="1867" spans="2:17" x14ac:dyDescent="0.25">
      <c r="B1867" s="1684"/>
      <c r="C1867" s="1686" t="s">
        <v>3</v>
      </c>
      <c r="D1867" s="1686"/>
      <c r="E1867" s="1688" t="s">
        <v>2814</v>
      </c>
      <c r="F1867" s="1676">
        <v>1800.9</v>
      </c>
      <c r="G1867" s="1676">
        <v>833.7</v>
      </c>
      <c r="H1867" s="1676">
        <v>823.2</v>
      </c>
      <c r="I1867" s="1676">
        <v>736.9</v>
      </c>
      <c r="J1867" s="1675">
        <v>736.9</v>
      </c>
      <c r="K1867" s="1700" t="s">
        <v>2815</v>
      </c>
      <c r="L1867" s="1679" t="s">
        <v>1073</v>
      </c>
      <c r="M1867" s="1582">
        <v>2</v>
      </c>
      <c r="N1867" s="1582">
        <v>1</v>
      </c>
      <c r="O1867" s="1582">
        <v>1</v>
      </c>
      <c r="P1867" s="1582">
        <v>1</v>
      </c>
      <c r="Q1867" s="1582">
        <v>1</v>
      </c>
    </row>
    <row r="1868" spans="2:17" x14ac:dyDescent="0.25">
      <c r="B1868" s="1696"/>
      <c r="C1868" s="1697"/>
      <c r="D1868" s="1697"/>
      <c r="E1868" s="1688"/>
      <c r="F1868" s="1698"/>
      <c r="G1868" s="1699"/>
      <c r="H1868" s="1699"/>
      <c r="I1868" s="1699"/>
      <c r="J1868" s="1675"/>
      <c r="K1868" s="1700"/>
      <c r="L1868" s="1694"/>
      <c r="M1868" s="1695"/>
      <c r="N1868" s="1695"/>
      <c r="O1868" s="1695"/>
      <c r="P1868" s="1583"/>
      <c r="Q1868" s="1583"/>
    </row>
    <row r="1869" spans="2:17" x14ac:dyDescent="0.25">
      <c r="B1869" s="1684"/>
      <c r="C1869" s="1686" t="s">
        <v>4</v>
      </c>
      <c r="D1869" s="1686"/>
      <c r="E1869" s="1688" t="s">
        <v>2816</v>
      </c>
      <c r="F1869" s="1676">
        <v>1714.5</v>
      </c>
      <c r="G1869" s="1676">
        <v>1533.8</v>
      </c>
      <c r="H1869" s="1676">
        <v>1510.6</v>
      </c>
      <c r="I1869" s="1676">
        <v>1418.6</v>
      </c>
      <c r="J1869" s="1675">
        <v>1418.6</v>
      </c>
      <c r="K1869" s="1677" t="s">
        <v>2817</v>
      </c>
      <c r="L1869" s="1679" t="s">
        <v>2818</v>
      </c>
      <c r="M1869" s="1681">
        <v>2600</v>
      </c>
      <c r="N1869" s="1681">
        <v>2900</v>
      </c>
      <c r="O1869" s="1582" t="s">
        <v>2819</v>
      </c>
      <c r="P1869" s="1582" t="s">
        <v>2819</v>
      </c>
      <c r="Q1869" s="1582" t="s">
        <v>2819</v>
      </c>
    </row>
    <row r="1870" spans="2:17" x14ac:dyDescent="0.25">
      <c r="B1870" s="1685"/>
      <c r="C1870" s="1687"/>
      <c r="D1870" s="1687"/>
      <c r="E1870" s="1689"/>
      <c r="F1870" s="1690"/>
      <c r="G1870" s="1691"/>
      <c r="H1870" s="1691"/>
      <c r="I1870" s="1691"/>
      <c r="J1870" s="1676"/>
      <c r="K1870" s="1678"/>
      <c r="L1870" s="1680"/>
      <c r="M1870" s="1682"/>
      <c r="N1870" s="1682"/>
      <c r="O1870" s="1584"/>
      <c r="P1870" s="1584"/>
      <c r="Q1870" s="1584"/>
    </row>
    <row r="1871" spans="2:17" x14ac:dyDescent="0.25">
      <c r="B1871" s="1566" t="s">
        <v>291</v>
      </c>
      <c r="C1871" s="1567"/>
      <c r="D1871" s="1567"/>
      <c r="E1871" s="1568"/>
      <c r="F1871" s="1415">
        <f>SUM(F1863+F1859)</f>
        <v>11028.8</v>
      </c>
      <c r="G1871" s="1415">
        <f t="shared" ref="G1871:J1871" si="190">SUM(G1863+G1859)</f>
        <v>12055.4</v>
      </c>
      <c r="H1871" s="1415">
        <f>SUM(H1863+H1859)</f>
        <v>13523</v>
      </c>
      <c r="I1871" s="1415">
        <f t="shared" si="190"/>
        <v>12453.4</v>
      </c>
      <c r="J1871" s="1415">
        <f t="shared" si="190"/>
        <v>12466.7</v>
      </c>
      <c r="K1871" s="1416"/>
      <c r="L1871" s="1683"/>
      <c r="M1871" s="1683"/>
      <c r="N1871" s="1683"/>
      <c r="O1871" s="1683"/>
      <c r="P1871" s="1683"/>
      <c r="Q1871" s="1683"/>
    </row>
    <row r="1872" spans="2:17" x14ac:dyDescent="0.25">
      <c r="B1872" s="1573" t="s">
        <v>2820</v>
      </c>
      <c r="C1872" s="1573"/>
      <c r="D1872" s="1573"/>
      <c r="E1872" s="1573"/>
      <c r="F1872" s="1573"/>
      <c r="G1872" s="1573"/>
      <c r="H1872" s="1573"/>
      <c r="I1872" s="1573"/>
      <c r="J1872" s="1573"/>
      <c r="K1872" s="1573"/>
      <c r="L1872" s="1573"/>
      <c r="M1872" s="1573"/>
      <c r="N1872" s="1573"/>
      <c r="O1872" s="1573"/>
      <c r="P1872" s="1573"/>
      <c r="Q1872" s="1573"/>
    </row>
    <row r="1873" spans="2:17" x14ac:dyDescent="0.25">
      <c r="B1873" s="1417">
        <v>2</v>
      </c>
      <c r="C1873" s="1418"/>
      <c r="D1873" s="1419"/>
      <c r="E1873" s="582" t="s">
        <v>2821</v>
      </c>
      <c r="F1873" s="932">
        <f>F1874</f>
        <v>0</v>
      </c>
      <c r="G1873" s="932">
        <f>G1874</f>
        <v>18147.8</v>
      </c>
      <c r="H1873" s="932">
        <f>H1874</f>
        <v>18147.8</v>
      </c>
      <c r="I1873" s="932">
        <f>I1874</f>
        <v>18163.599999999999</v>
      </c>
      <c r="J1873" s="932">
        <f>J1874</f>
        <v>18199</v>
      </c>
      <c r="K1873" s="338"/>
      <c r="L1873" s="540"/>
      <c r="M1873" s="1420"/>
      <c r="N1873" s="1420"/>
      <c r="O1873" s="1420"/>
      <c r="P1873" s="1420"/>
      <c r="Q1873" s="1420"/>
    </row>
    <row r="1874" spans="2:17" ht="60" x14ac:dyDescent="0.25">
      <c r="B1874" s="1421"/>
      <c r="C1874" s="1418" t="s">
        <v>2</v>
      </c>
      <c r="D1874" s="1419"/>
      <c r="E1874" s="856" t="s">
        <v>2822</v>
      </c>
      <c r="F1874" s="552"/>
      <c r="G1874" s="552">
        <v>18147.8</v>
      </c>
      <c r="H1874" s="1422">
        <v>18147.8</v>
      </c>
      <c r="I1874" s="1423">
        <v>18163.599999999999</v>
      </c>
      <c r="J1874" s="1423">
        <v>18199</v>
      </c>
      <c r="K1874" s="589" t="s">
        <v>2823</v>
      </c>
      <c r="L1874" s="1424" t="s">
        <v>1073</v>
      </c>
      <c r="M1874" s="1425">
        <v>4</v>
      </c>
      <c r="N1874" s="1425">
        <v>4</v>
      </c>
      <c r="O1874" s="1425">
        <v>4</v>
      </c>
      <c r="P1874" s="1425">
        <v>4</v>
      </c>
      <c r="Q1874" s="1425">
        <v>4</v>
      </c>
    </row>
    <row r="1875" spans="2:17" x14ac:dyDescent="0.25">
      <c r="B1875" s="1566" t="s">
        <v>291</v>
      </c>
      <c r="C1875" s="1567"/>
      <c r="D1875" s="1567"/>
      <c r="E1875" s="1568"/>
      <c r="F1875" s="1426">
        <f>F1873</f>
        <v>0</v>
      </c>
      <c r="G1875" s="1426">
        <f>G1873</f>
        <v>18147.8</v>
      </c>
      <c r="H1875" s="1426">
        <f>H1873</f>
        <v>18147.8</v>
      </c>
      <c r="I1875" s="1426">
        <f>I1873</f>
        <v>18163.599999999999</v>
      </c>
      <c r="J1875" s="1426">
        <f>J1873</f>
        <v>18199</v>
      </c>
      <c r="K1875" s="838"/>
      <c r="L1875" s="1556"/>
      <c r="M1875" s="1427"/>
      <c r="N1875" s="1427"/>
      <c r="O1875" s="1427"/>
      <c r="P1875" s="1427"/>
      <c r="Q1875" s="1427"/>
    </row>
    <row r="1876" spans="2:17" x14ac:dyDescent="0.25">
      <c r="B1876" s="1672" t="s">
        <v>2824</v>
      </c>
      <c r="C1876" s="1573"/>
      <c r="D1876" s="1573"/>
      <c r="E1876" s="1573"/>
      <c r="F1876" s="1573"/>
      <c r="G1876" s="1573"/>
      <c r="H1876" s="1573"/>
      <c r="I1876" s="1573"/>
      <c r="J1876" s="1573"/>
      <c r="K1876" s="1573"/>
      <c r="L1876" s="1573"/>
      <c r="M1876" s="1573"/>
      <c r="N1876" s="1573"/>
      <c r="O1876" s="1573"/>
      <c r="P1876" s="1573"/>
      <c r="Q1876" s="1573"/>
    </row>
    <row r="1877" spans="2:17" ht="42.75" x14ac:dyDescent="0.25">
      <c r="B1877" s="610">
        <v>1</v>
      </c>
      <c r="C1877" s="100"/>
      <c r="D1877" s="100"/>
      <c r="E1877" s="1428" t="s">
        <v>2417</v>
      </c>
      <c r="F1877" s="542">
        <f>F1879+F1880+F1881</f>
        <v>51872.2</v>
      </c>
      <c r="G1877" s="542">
        <v>46283.100000000006</v>
      </c>
      <c r="H1877" s="542">
        <f>SUM(H1878:H1881)</f>
        <v>87105.7</v>
      </c>
      <c r="I1877" s="542">
        <f>I1879+I1880+I1881</f>
        <v>87105.2</v>
      </c>
      <c r="J1877" s="542">
        <f>J1879+J1880+J1881</f>
        <v>87105.2</v>
      </c>
      <c r="K1877" s="1429" t="s">
        <v>2825</v>
      </c>
      <c r="L1877" s="584" t="s">
        <v>14</v>
      </c>
      <c r="M1877" s="584"/>
      <c r="N1877" s="584"/>
      <c r="O1877" s="584"/>
      <c r="P1877" s="584"/>
      <c r="Q1877" s="584"/>
    </row>
    <row r="1878" spans="2:17" x14ac:dyDescent="0.25">
      <c r="B1878" s="1430"/>
      <c r="C1878" s="1431" t="s">
        <v>2</v>
      </c>
      <c r="D1878" s="100"/>
      <c r="E1878" s="719" t="s">
        <v>140</v>
      </c>
      <c r="F1878" s="542"/>
      <c r="G1878" s="542"/>
      <c r="H1878" s="550">
        <v>87105.7</v>
      </c>
      <c r="I1878" s="542"/>
      <c r="J1878" s="542"/>
      <c r="K1878" s="1432"/>
      <c r="L1878" s="584"/>
      <c r="M1878" s="584"/>
      <c r="N1878" s="584"/>
      <c r="O1878" s="584"/>
      <c r="P1878" s="584"/>
      <c r="Q1878" s="584"/>
    </row>
    <row r="1879" spans="2:17" x14ac:dyDescent="0.25">
      <c r="B1879" s="109"/>
      <c r="C1879" s="1433">
        <v>3</v>
      </c>
      <c r="D1879" s="99"/>
      <c r="E1879" s="1434" t="s">
        <v>262</v>
      </c>
      <c r="F1879" s="729">
        <f>15501.3+239.2</f>
        <v>15740.5</v>
      </c>
      <c r="G1879" s="729">
        <v>15427.7</v>
      </c>
      <c r="H1879" s="729">
        <v>0</v>
      </c>
      <c r="I1879" s="729">
        <f>28992.8+108+18.6</f>
        <v>29119.399999999998</v>
      </c>
      <c r="J1879" s="729">
        <f>28992.8+108+18.6</f>
        <v>29119.399999999998</v>
      </c>
      <c r="K1879" s="1435" t="s">
        <v>2826</v>
      </c>
      <c r="L1879" s="540" t="s">
        <v>14</v>
      </c>
      <c r="M1879" s="540">
        <v>25</v>
      </c>
      <c r="N1879" s="540">
        <v>26</v>
      </c>
      <c r="O1879" s="540">
        <v>27</v>
      </c>
      <c r="P1879" s="540">
        <v>27</v>
      </c>
      <c r="Q1879" s="540">
        <v>27</v>
      </c>
    </row>
    <row r="1880" spans="2:17" ht="45" x14ac:dyDescent="0.25">
      <c r="B1880" s="109"/>
      <c r="C1880" s="1433">
        <v>32</v>
      </c>
      <c r="D1880" s="99"/>
      <c r="E1880" s="1434" t="s">
        <v>2827</v>
      </c>
      <c r="F1880" s="729">
        <f>15501.3+57.9+239.2</f>
        <v>15798.4</v>
      </c>
      <c r="G1880" s="729">
        <v>15427.6</v>
      </c>
      <c r="H1880" s="729">
        <v>0</v>
      </c>
      <c r="I1880" s="729">
        <v>28993</v>
      </c>
      <c r="J1880" s="729">
        <v>28993</v>
      </c>
      <c r="K1880" s="1435" t="s">
        <v>2828</v>
      </c>
      <c r="L1880" s="540" t="s">
        <v>979</v>
      </c>
      <c r="M1880" s="540">
        <v>140</v>
      </c>
      <c r="N1880" s="540">
        <v>140</v>
      </c>
      <c r="O1880" s="540">
        <v>140</v>
      </c>
      <c r="P1880" s="540">
        <v>140</v>
      </c>
      <c r="Q1880" s="540">
        <v>140</v>
      </c>
    </row>
    <row r="1881" spans="2:17" ht="45" x14ac:dyDescent="0.25">
      <c r="B1881" s="109"/>
      <c r="C1881" s="1433">
        <v>33</v>
      </c>
      <c r="D1881" s="99"/>
      <c r="E1881" s="1434" t="s">
        <v>2829</v>
      </c>
      <c r="F1881" s="729">
        <f>4592.8+15501.3+239.2</f>
        <v>20333.3</v>
      </c>
      <c r="G1881" s="729">
        <v>15427.8</v>
      </c>
      <c r="H1881" s="729">
        <v>0</v>
      </c>
      <c r="I1881" s="729">
        <v>28992.799999999999</v>
      </c>
      <c r="J1881" s="729">
        <v>28992.799999999999</v>
      </c>
      <c r="K1881" s="1435" t="s">
        <v>2830</v>
      </c>
      <c r="L1881" s="540" t="s">
        <v>979</v>
      </c>
      <c r="M1881" s="540">
        <v>5</v>
      </c>
      <c r="N1881" s="540">
        <v>5</v>
      </c>
      <c r="O1881" s="540">
        <v>5</v>
      </c>
      <c r="P1881" s="540">
        <v>5</v>
      </c>
      <c r="Q1881" s="540">
        <v>5</v>
      </c>
    </row>
    <row r="1882" spans="2:17" ht="28.5" x14ac:dyDescent="0.25">
      <c r="B1882" s="339" t="s">
        <v>91</v>
      </c>
      <c r="C1882" s="1436"/>
      <c r="D1882" s="1436"/>
      <c r="E1882" s="1437" t="s">
        <v>2831</v>
      </c>
      <c r="F1882" s="1438">
        <f>SUM(F1883:F1886)</f>
        <v>121650.99999999999</v>
      </c>
      <c r="G1882" s="1438">
        <v>116066.5</v>
      </c>
      <c r="H1882" s="1438">
        <f>SUM(H1883:H1886)</f>
        <v>127308.59999999999</v>
      </c>
      <c r="I1882" s="420">
        <f>SUM(I1883:I1886)</f>
        <v>127275.7</v>
      </c>
      <c r="J1882" s="420">
        <f>SUM(J1883:J1886)</f>
        <v>127283.4</v>
      </c>
      <c r="K1882" s="1439" t="s">
        <v>2832</v>
      </c>
      <c r="L1882" s="540" t="s">
        <v>979</v>
      </c>
      <c r="M1882" s="1440"/>
      <c r="N1882" s="1441"/>
      <c r="O1882" s="1441"/>
      <c r="P1882" s="1441"/>
      <c r="Q1882" s="1441"/>
    </row>
    <row r="1883" spans="2:17" ht="45" x14ac:dyDescent="0.25">
      <c r="B1883" s="1442"/>
      <c r="C1883" s="341" t="s">
        <v>2</v>
      </c>
      <c r="D1883" s="1442"/>
      <c r="E1883" s="1435" t="s">
        <v>2833</v>
      </c>
      <c r="F1883" s="1443">
        <f>31604.6+627.1</f>
        <v>32231.699999999997</v>
      </c>
      <c r="G1883" s="1444">
        <v>31460.7</v>
      </c>
      <c r="H1883" s="1444">
        <f>33759.2+115.2+19.9</f>
        <v>33894.299999999996</v>
      </c>
      <c r="I1883" s="1444">
        <f>33759.2+115.2+19.9</f>
        <v>33894.299999999996</v>
      </c>
      <c r="J1883" s="1444">
        <f>33759.2+115.2+19.9</f>
        <v>33894.299999999996</v>
      </c>
      <c r="K1883" s="1445" t="s">
        <v>2834</v>
      </c>
      <c r="L1883" s="540" t="s">
        <v>979</v>
      </c>
      <c r="M1883" s="540">
        <v>6880</v>
      </c>
      <c r="N1883" s="1444">
        <v>7000</v>
      </c>
      <c r="O1883" s="1444">
        <v>7000</v>
      </c>
      <c r="P1883" s="1444">
        <v>7000</v>
      </c>
      <c r="Q1883" s="1444">
        <v>7000</v>
      </c>
    </row>
    <row r="1884" spans="2:17" ht="75" x14ac:dyDescent="0.25">
      <c r="B1884" s="1442"/>
      <c r="C1884" s="341" t="s">
        <v>3</v>
      </c>
      <c r="D1884" s="1442"/>
      <c r="E1884" s="1435" t="s">
        <v>2835</v>
      </c>
      <c r="F1884" s="1443">
        <f>5894+269.7+12451.4+187.8+22.5</f>
        <v>18825.399999999998</v>
      </c>
      <c r="G1884" s="1444">
        <v>15968.8</v>
      </c>
      <c r="H1884" s="1444">
        <v>17521.8</v>
      </c>
      <c r="I1884" s="1444">
        <f>9574.2+4494.5+136.8+23.6+28.8+4.7+3000+207.6</f>
        <v>17470.199999999997</v>
      </c>
      <c r="J1884" s="1444">
        <f>9574.2+4494.5+136.8+23.6+28.8+4.7+3000+215.3</f>
        <v>17477.899999999998</v>
      </c>
      <c r="K1884" s="1445" t="s">
        <v>2836</v>
      </c>
      <c r="L1884" s="540" t="s">
        <v>979</v>
      </c>
      <c r="M1884" s="540">
        <v>20</v>
      </c>
      <c r="N1884" s="1444">
        <v>20</v>
      </c>
      <c r="O1884" s="1444">
        <v>20</v>
      </c>
      <c r="P1884" s="1444">
        <v>21</v>
      </c>
      <c r="Q1884" s="1444">
        <v>22</v>
      </c>
    </row>
    <row r="1885" spans="2:17" ht="120" x14ac:dyDescent="0.25">
      <c r="B1885" s="1442"/>
      <c r="C1885" s="341" t="s">
        <v>4</v>
      </c>
      <c r="D1885" s="1442"/>
      <c r="E1885" s="1435" t="s">
        <v>2837</v>
      </c>
      <c r="F1885" s="1443">
        <f>60+46513.6+134.6+76.6+18.6</f>
        <v>46803.399999999994</v>
      </c>
      <c r="G1885" s="1444">
        <v>45881.100000000006</v>
      </c>
      <c r="H1885" s="1444">
        <v>51458.3</v>
      </c>
      <c r="I1885" s="1444">
        <f>20240.1+9562.9+20551.8+338.4+58.4+115.2+19.9+129.6+22.3+288+49.7+0.7+100</f>
        <v>51477</v>
      </c>
      <c r="J1885" s="1444">
        <f>20240.1+9562.9+20551.8+338.4+58.4+115.2+19.9+129.6+22.3+288+49.7+0.7+100</f>
        <v>51477</v>
      </c>
      <c r="K1885" s="1445" t="s">
        <v>2838</v>
      </c>
      <c r="L1885" s="540" t="s">
        <v>979</v>
      </c>
      <c r="M1885" s="540">
        <v>7</v>
      </c>
      <c r="N1885" s="1444">
        <v>15</v>
      </c>
      <c r="O1885" s="1444">
        <v>15</v>
      </c>
      <c r="P1885" s="1444">
        <v>15</v>
      </c>
      <c r="Q1885" s="1444">
        <v>15</v>
      </c>
    </row>
    <row r="1886" spans="2:17" ht="90" x14ac:dyDescent="0.25">
      <c r="B1886" s="1442"/>
      <c r="C1886" s="341" t="s">
        <v>5</v>
      </c>
      <c r="D1886" s="1442"/>
      <c r="E1886" s="1435" t="s">
        <v>2839</v>
      </c>
      <c r="F1886" s="1444">
        <f>23386.4+400.4+3.7</f>
        <v>23790.500000000004</v>
      </c>
      <c r="G1886" s="1444">
        <v>22755.9</v>
      </c>
      <c r="H1886" s="1444">
        <f>12078.4+11950.6+144+24.8+201.6+34.8</f>
        <v>24434.199999999997</v>
      </c>
      <c r="I1886" s="1444">
        <f>12078.4+11950.6+144+24.8+201.6+34.8</f>
        <v>24434.199999999997</v>
      </c>
      <c r="J1886" s="1444">
        <f>12078.4+11950.6+144+24.8+201.6+34.8</f>
        <v>24434.199999999997</v>
      </c>
      <c r="K1886" s="1445" t="s">
        <v>2840</v>
      </c>
      <c r="L1886" s="540" t="s">
        <v>979</v>
      </c>
      <c r="M1886" s="540">
        <v>15</v>
      </c>
      <c r="N1886" s="1446">
        <v>15</v>
      </c>
      <c r="O1886" s="1446">
        <v>15</v>
      </c>
      <c r="P1886" s="1446">
        <v>15</v>
      </c>
      <c r="Q1886" s="1446">
        <v>15</v>
      </c>
    </row>
    <row r="1887" spans="2:17" ht="28.5" x14ac:dyDescent="0.25">
      <c r="B1887" s="339" t="s">
        <v>98</v>
      </c>
      <c r="C1887" s="1436"/>
      <c r="D1887" s="1436"/>
      <c r="E1887" s="1437" t="s">
        <v>2841</v>
      </c>
      <c r="F1887" s="1447">
        <f>F1888+F1889+F1890</f>
        <v>116676.59999999998</v>
      </c>
      <c r="G1887" s="302">
        <v>107160.9</v>
      </c>
      <c r="H1887" s="1447">
        <f>H1888+H1889+H1890</f>
        <v>133125.40000000002</v>
      </c>
      <c r="I1887" s="302">
        <f>I1888+I1889+I1890</f>
        <v>114061.4</v>
      </c>
      <c r="J1887" s="302">
        <f>J1888+J1889+J1890</f>
        <v>114867</v>
      </c>
      <c r="K1887" s="1439" t="s">
        <v>2842</v>
      </c>
      <c r="L1887" s="1440" t="s">
        <v>1073</v>
      </c>
      <c r="M1887" s="1440"/>
      <c r="N1887" s="1441"/>
      <c r="O1887" s="1441"/>
      <c r="P1887" s="1441"/>
      <c r="Q1887" s="1441"/>
    </row>
    <row r="1888" spans="2:17" ht="120" x14ac:dyDescent="0.25">
      <c r="B1888" s="1442"/>
      <c r="C1888" s="341" t="s">
        <v>2</v>
      </c>
      <c r="D1888" s="1442"/>
      <c r="E1888" s="1435" t="s">
        <v>2843</v>
      </c>
      <c r="F1888" s="1443">
        <f>1574+5659.5+4353.2+789.15+14698+8322.8+12427+6029.2+25+29.6+71+143.2</f>
        <v>54121.649999999987</v>
      </c>
      <c r="G1888" s="1444">
        <v>50163.25</v>
      </c>
      <c r="H1888" s="1444">
        <v>78619.100000000006</v>
      </c>
      <c r="I1888" s="1444">
        <f>25195.8+12961.1+8943.9+446.4+77+50.4+8.7+36+6.2+1740+1404+4485+4094.7</f>
        <v>59449.2</v>
      </c>
      <c r="J1888" s="1444">
        <f>25195.8+12961.1+8943.9+446.4+77+50.4+8.7+36+6.2+1840+1684.8+4842+4139</f>
        <v>60231.3</v>
      </c>
      <c r="K1888" s="562" t="s">
        <v>2844</v>
      </c>
      <c r="L1888" s="540" t="s">
        <v>977</v>
      </c>
      <c r="M1888" s="540">
        <v>2000</v>
      </c>
      <c r="N1888" s="1446">
        <v>5450</v>
      </c>
      <c r="O1888" s="1446">
        <v>5900</v>
      </c>
      <c r="P1888" s="1446">
        <v>6070</v>
      </c>
      <c r="Q1888" s="1446">
        <v>6500</v>
      </c>
    </row>
    <row r="1889" spans="2:17" ht="75" x14ac:dyDescent="0.25">
      <c r="B1889" s="1442"/>
      <c r="C1889" s="341" t="s">
        <v>3</v>
      </c>
      <c r="D1889" s="1442"/>
      <c r="E1889" s="86" t="s">
        <v>2845</v>
      </c>
      <c r="F1889" s="1443">
        <f>2956.9+11878.3+8322.9+5209.6+207.6+859.3</f>
        <v>29434.599999999995</v>
      </c>
      <c r="G1889" s="1444">
        <v>27680.7</v>
      </c>
      <c r="H1889" s="1444">
        <v>46405.599999999999</v>
      </c>
      <c r="I1889" s="1444">
        <f>20539.4+12219.1+10686.1+331.2+57.1+172.8+29.8+144+24.8+2307.2</f>
        <v>46511.5</v>
      </c>
      <c r="J1889" s="1444">
        <f>20539.4+12219.1+10686.1+331.2+57.1+172.8+29.8+144+24.8+2330.7</f>
        <v>46535</v>
      </c>
      <c r="K1889" s="1448" t="s">
        <v>2846</v>
      </c>
      <c r="L1889" s="540" t="s">
        <v>979</v>
      </c>
      <c r="M1889" s="540" t="s">
        <v>2847</v>
      </c>
      <c r="N1889" s="540" t="s">
        <v>2848</v>
      </c>
      <c r="O1889" s="540" t="s">
        <v>2849</v>
      </c>
      <c r="P1889" s="540" t="s">
        <v>2850</v>
      </c>
      <c r="Q1889" s="540" t="s">
        <v>2851</v>
      </c>
    </row>
    <row r="1890" spans="2:17" ht="90" x14ac:dyDescent="0.25">
      <c r="B1890" s="1442"/>
      <c r="C1890" s="341" t="s">
        <v>4</v>
      </c>
      <c r="D1890" s="1442"/>
      <c r="E1890" s="1445" t="s">
        <v>2852</v>
      </c>
      <c r="F1890" s="1443">
        <f>789.15+123.2+12427.1+5209.7+6029.2+7866.8+409.1+122.9+143.2</f>
        <v>33120.35</v>
      </c>
      <c r="G1890" s="1444">
        <v>29316.95</v>
      </c>
      <c r="H1890" s="1444">
        <f>8016.3+72+12.4</f>
        <v>8100.7</v>
      </c>
      <c r="I1890" s="1444">
        <f>8016.3+72+12.4</f>
        <v>8100.7</v>
      </c>
      <c r="J1890" s="1444">
        <f>8016.3+72+12.4</f>
        <v>8100.7</v>
      </c>
      <c r="K1890" s="562" t="s">
        <v>2853</v>
      </c>
      <c r="L1890" s="540" t="s">
        <v>979</v>
      </c>
      <c r="M1890" s="540" t="s">
        <v>2854</v>
      </c>
      <c r="N1890" s="540" t="s">
        <v>2855</v>
      </c>
      <c r="O1890" s="540" t="s">
        <v>2856</v>
      </c>
      <c r="P1890" s="540" t="s">
        <v>2856</v>
      </c>
      <c r="Q1890" s="540" t="s">
        <v>2857</v>
      </c>
    </row>
    <row r="1891" spans="2:17" ht="28.5" x14ac:dyDescent="0.25">
      <c r="B1891" s="339" t="s">
        <v>101</v>
      </c>
      <c r="C1891" s="1436"/>
      <c r="D1891" s="1436"/>
      <c r="E1891" s="1439" t="s">
        <v>2858</v>
      </c>
      <c r="F1891" s="1447">
        <f>F1892+F1893+F1894</f>
        <v>75470.799999999988</v>
      </c>
      <c r="G1891" s="302">
        <v>50966.799999999996</v>
      </c>
      <c r="H1891" s="1447">
        <f>H1892+H1893+H1894</f>
        <v>71334</v>
      </c>
      <c r="I1891" s="302">
        <f>I1892+I1893+I1894</f>
        <v>54661.5</v>
      </c>
      <c r="J1891" s="302">
        <f>J1892+J1893+J1894</f>
        <v>55354.8</v>
      </c>
      <c r="K1891" s="825" t="s">
        <v>2859</v>
      </c>
      <c r="L1891" s="540" t="s">
        <v>979</v>
      </c>
      <c r="M1891" s="1440"/>
      <c r="N1891" s="1441"/>
      <c r="O1891" s="1441"/>
      <c r="P1891" s="1441"/>
      <c r="Q1891" s="1441"/>
    </row>
    <row r="1892" spans="2:17" ht="105" x14ac:dyDescent="0.25">
      <c r="B1892" s="1442"/>
      <c r="C1892" s="341" t="s">
        <v>2</v>
      </c>
      <c r="D1892" s="1442"/>
      <c r="E1892" s="1435" t="s">
        <v>2860</v>
      </c>
      <c r="F1892" s="1443">
        <f>3438.4+6595.3+5656.9+125+125</f>
        <v>15940.6</v>
      </c>
      <c r="G1892" s="1444">
        <v>17069.5</v>
      </c>
      <c r="H1892" s="1444">
        <v>23565.4</v>
      </c>
      <c r="I1892" s="1444">
        <f>6154.6+7026+280.8+48.4+144+24.8+3161.5</f>
        <v>16840.099999999999</v>
      </c>
      <c r="J1892" s="1444">
        <v>17423.900000000001</v>
      </c>
      <c r="K1892" s="562" t="s">
        <v>2861</v>
      </c>
      <c r="L1892" s="540" t="s">
        <v>979</v>
      </c>
      <c r="M1892" s="540" t="s">
        <v>2862</v>
      </c>
      <c r="N1892" s="540" t="s">
        <v>2863</v>
      </c>
      <c r="O1892" s="540" t="s">
        <v>2864</v>
      </c>
      <c r="P1892" s="540" t="s">
        <v>2865</v>
      </c>
      <c r="Q1892" s="540" t="s">
        <v>2866</v>
      </c>
    </row>
    <row r="1893" spans="2:17" ht="75" x14ac:dyDescent="0.25">
      <c r="B1893" s="1442"/>
      <c r="C1893" s="341" t="s">
        <v>3</v>
      </c>
      <c r="D1893" s="1442"/>
      <c r="E1893" s="1445" t="s">
        <v>2867</v>
      </c>
      <c r="F1893" s="1443">
        <f>37062.9+3948.7</f>
        <v>41011.599999999999</v>
      </c>
      <c r="G1893" s="1444">
        <v>16103.1</v>
      </c>
      <c r="H1893" s="1444">
        <v>27931</v>
      </c>
      <c r="I1893" s="1444">
        <f>13373+4254.1+194.4+33.5+64.8+11.1</f>
        <v>17930.899999999998</v>
      </c>
      <c r="J1893" s="1444">
        <f>13373+4254.1+194.4+33.5+64.8+11.1</f>
        <v>17930.899999999998</v>
      </c>
      <c r="K1893" s="562" t="s">
        <v>2868</v>
      </c>
      <c r="L1893" s="540" t="s">
        <v>979</v>
      </c>
      <c r="M1893" s="540">
        <v>5</v>
      </c>
      <c r="N1893" s="1444">
        <v>6</v>
      </c>
      <c r="O1893" s="1444">
        <v>4</v>
      </c>
      <c r="P1893" s="1444">
        <v>6</v>
      </c>
      <c r="Q1893" s="1444">
        <v>5</v>
      </c>
    </row>
    <row r="1894" spans="2:17" ht="45" x14ac:dyDescent="0.25">
      <c r="B1894" s="1442"/>
      <c r="C1894" s="341" t="s">
        <v>4</v>
      </c>
      <c r="D1894" s="1442"/>
      <c r="E1894" s="1449" t="s">
        <v>2869</v>
      </c>
      <c r="F1894" s="1443">
        <f>9434.2+6523.4+2534.7+26.2+0.1</f>
        <v>18518.599999999999</v>
      </c>
      <c r="G1894" s="1443">
        <v>17794.199999999997</v>
      </c>
      <c r="H1894" s="1443">
        <f>7247.3+2348.6+9490.5+7.2+1.2+7.2+1.2+316.8+54.6+363</f>
        <v>19837.600000000002</v>
      </c>
      <c r="I1894" s="1443">
        <v>19890.5</v>
      </c>
      <c r="J1894" s="1443">
        <v>20000</v>
      </c>
      <c r="K1894" s="1449" t="s">
        <v>2870</v>
      </c>
      <c r="L1894" s="540" t="s">
        <v>979</v>
      </c>
      <c r="M1894" s="415">
        <v>5</v>
      </c>
      <c r="N1894" s="1443">
        <v>3</v>
      </c>
      <c r="O1894" s="1443">
        <v>4</v>
      </c>
      <c r="P1894" s="1443">
        <v>4</v>
      </c>
      <c r="Q1894" s="1443">
        <v>4</v>
      </c>
    </row>
    <row r="1895" spans="2:17" x14ac:dyDescent="0.25">
      <c r="B1895" s="1566" t="s">
        <v>291</v>
      </c>
      <c r="C1895" s="1567"/>
      <c r="D1895" s="1567"/>
      <c r="E1895" s="1568"/>
      <c r="F1895" s="686">
        <f>SUM(F1891+F1887+F1882+F1877)</f>
        <v>365670.6</v>
      </c>
      <c r="G1895" s="1450">
        <v>320477.29999999993</v>
      </c>
      <c r="H1895" s="686">
        <f>SUM(H1891+H1887+H1882+H1877)</f>
        <v>418873.7</v>
      </c>
      <c r="I1895" s="686">
        <f>SUM(I1891+I1887+I1882+I1877)</f>
        <v>383103.8</v>
      </c>
      <c r="J1895" s="686">
        <f>SUM(J1891+J1887+J1882+J1877)</f>
        <v>384610.39999999997</v>
      </c>
      <c r="K1895" s="831"/>
      <c r="L1895" s="1673"/>
      <c r="M1895" s="1673"/>
      <c r="N1895" s="1673"/>
      <c r="O1895" s="1673"/>
      <c r="P1895" s="1673"/>
      <c r="Q1895" s="1673"/>
    </row>
    <row r="1896" spans="2:17" x14ac:dyDescent="0.25">
      <c r="B1896" s="1573" t="s">
        <v>2871</v>
      </c>
      <c r="C1896" s="1573"/>
      <c r="D1896" s="1573"/>
      <c r="E1896" s="1573"/>
      <c r="F1896" s="1573"/>
      <c r="G1896" s="1573"/>
      <c r="H1896" s="1573"/>
      <c r="I1896" s="1573"/>
      <c r="J1896" s="1573"/>
      <c r="K1896" s="1573"/>
      <c r="L1896" s="1573"/>
      <c r="M1896" s="1573"/>
      <c r="N1896" s="1573"/>
      <c r="O1896" s="1573"/>
      <c r="P1896" s="1573"/>
      <c r="Q1896" s="1573"/>
    </row>
    <row r="1897" spans="2:17" ht="44.25" x14ac:dyDescent="0.25">
      <c r="B1897" s="337" t="s">
        <v>91</v>
      </c>
      <c r="C1897" s="1257"/>
      <c r="D1897" s="1257"/>
      <c r="E1897" s="1451" t="s">
        <v>2872</v>
      </c>
      <c r="F1897" s="221">
        <f>F1898</f>
        <v>151790.39999999999</v>
      </c>
      <c r="G1897" s="221">
        <f>G1898</f>
        <v>215233.2</v>
      </c>
      <c r="H1897" s="221">
        <f>H1898</f>
        <v>215233.2</v>
      </c>
      <c r="I1897" s="221">
        <f>I1898</f>
        <v>216066</v>
      </c>
      <c r="J1897" s="221">
        <f>J1898</f>
        <v>216663</v>
      </c>
      <c r="K1897" s="1429" t="s">
        <v>2873</v>
      </c>
      <c r="L1897" s="210"/>
      <c r="M1897" s="210"/>
      <c r="N1897" s="1452"/>
      <c r="O1897" s="1452"/>
      <c r="P1897" s="1452"/>
      <c r="Q1897" s="1452"/>
    </row>
    <row r="1898" spans="2:17" ht="60" x14ac:dyDescent="0.25">
      <c r="B1898" s="1259"/>
      <c r="C1898" s="1257" t="s">
        <v>2</v>
      </c>
      <c r="D1898" s="1257"/>
      <c r="E1898" s="342" t="s">
        <v>2874</v>
      </c>
      <c r="F1898" s="226">
        <v>151790.39999999999</v>
      </c>
      <c r="G1898" s="226">
        <v>215233.2</v>
      </c>
      <c r="H1898" s="226">
        <v>215233.2</v>
      </c>
      <c r="I1898" s="226">
        <v>216066</v>
      </c>
      <c r="J1898" s="226">
        <v>216663</v>
      </c>
      <c r="K1898" s="589" t="s">
        <v>2875</v>
      </c>
      <c r="L1898" s="210"/>
      <c r="M1898" s="210">
        <v>7031</v>
      </c>
      <c r="N1898" s="683">
        <v>7200</v>
      </c>
      <c r="O1898" s="683">
        <v>7250</v>
      </c>
      <c r="P1898" s="683">
        <v>7300</v>
      </c>
      <c r="Q1898" s="683">
        <v>7400</v>
      </c>
    </row>
    <row r="1899" spans="2:17" x14ac:dyDescent="0.25">
      <c r="B1899" s="1566" t="s">
        <v>291</v>
      </c>
      <c r="C1899" s="1567"/>
      <c r="D1899" s="1567"/>
      <c r="E1899" s="1568"/>
      <c r="F1899" s="685">
        <f>F1897</f>
        <v>151790.39999999999</v>
      </c>
      <c r="G1899" s="685">
        <v>215233.2</v>
      </c>
      <c r="H1899" s="685">
        <f>H1897</f>
        <v>215233.2</v>
      </c>
      <c r="I1899" s="685">
        <v>216066</v>
      </c>
      <c r="J1899" s="685">
        <f>J1897</f>
        <v>216663</v>
      </c>
      <c r="K1899" s="827"/>
      <c r="L1899" s="1674"/>
      <c r="M1899" s="1674"/>
      <c r="N1899" s="1674"/>
      <c r="O1899" s="1674"/>
      <c r="P1899" s="1674"/>
      <c r="Q1899" s="1674"/>
    </row>
    <row r="1900" spans="2:17" x14ac:dyDescent="0.25">
      <c r="B1900" s="1643" t="s">
        <v>2876</v>
      </c>
      <c r="C1900" s="1643"/>
      <c r="D1900" s="1643"/>
      <c r="E1900" s="1643"/>
      <c r="F1900" s="1573"/>
      <c r="G1900" s="1573"/>
      <c r="H1900" s="1573"/>
      <c r="I1900" s="1573"/>
      <c r="J1900" s="1573"/>
      <c r="K1900" s="1573"/>
      <c r="L1900" s="1573"/>
      <c r="M1900" s="1573"/>
      <c r="N1900" s="1573"/>
      <c r="O1900" s="1573"/>
      <c r="P1900" s="1573"/>
      <c r="Q1900" s="1573"/>
    </row>
    <row r="1901" spans="2:17" ht="74.25" x14ac:dyDescent="0.25">
      <c r="B1901" s="1453">
        <v>1</v>
      </c>
      <c r="C1901" s="1454"/>
      <c r="D1901" s="1455"/>
      <c r="E1901" s="477" t="s">
        <v>2432</v>
      </c>
      <c r="F1901" s="1456">
        <v>11446.2</v>
      </c>
      <c r="G1901" s="59">
        <v>11495.5</v>
      </c>
      <c r="H1901" s="1456">
        <v>11453.8</v>
      </c>
      <c r="I1901" s="1456">
        <v>11464.720000000001</v>
      </c>
      <c r="J1901" s="1456">
        <v>11489.02</v>
      </c>
      <c r="K1901" s="1140" t="s">
        <v>2363</v>
      </c>
      <c r="L1901" s="1294" t="s">
        <v>14</v>
      </c>
      <c r="M1901" s="1457">
        <v>100</v>
      </c>
      <c r="N1901" s="1458">
        <v>1</v>
      </c>
      <c r="O1901" s="1458">
        <v>1</v>
      </c>
      <c r="P1901" s="1458">
        <v>1</v>
      </c>
      <c r="Q1901" s="1458">
        <v>1</v>
      </c>
    </row>
    <row r="1902" spans="2:17" x14ac:dyDescent="0.25">
      <c r="B1902" s="1453"/>
      <c r="C1902" s="1459">
        <v>1</v>
      </c>
      <c r="D1902" s="1454"/>
      <c r="E1902" s="719" t="s">
        <v>140</v>
      </c>
      <c r="F1902" s="1460">
        <v>1342.86</v>
      </c>
      <c r="G1902" s="200">
        <v>1342.86</v>
      </c>
      <c r="H1902" s="1460">
        <v>1386.5</v>
      </c>
      <c r="I1902" s="1460">
        <v>1386.44</v>
      </c>
      <c r="J1902" s="1460">
        <v>1386.44</v>
      </c>
      <c r="K1902" s="628" t="s">
        <v>501</v>
      </c>
      <c r="L1902" s="1294" t="s">
        <v>15</v>
      </c>
      <c r="M1902" s="1295" t="s">
        <v>60</v>
      </c>
      <c r="N1902" s="1461" t="s">
        <v>60</v>
      </c>
      <c r="O1902" s="1461" t="s">
        <v>60</v>
      </c>
      <c r="P1902" s="1461" t="s">
        <v>60</v>
      </c>
      <c r="Q1902" s="1461" t="s">
        <v>60</v>
      </c>
    </row>
    <row r="1903" spans="2:17" ht="30" x14ac:dyDescent="0.25">
      <c r="B1903" s="1453"/>
      <c r="C1903" s="1459">
        <v>2</v>
      </c>
      <c r="D1903" s="1454"/>
      <c r="E1903" s="494" t="s">
        <v>2666</v>
      </c>
      <c r="F1903" s="1460">
        <v>790.14</v>
      </c>
      <c r="G1903" s="200">
        <v>790.14</v>
      </c>
      <c r="H1903" s="1460">
        <v>739.2</v>
      </c>
      <c r="I1903" s="1460">
        <v>739</v>
      </c>
      <c r="J1903" s="1460">
        <v>739</v>
      </c>
      <c r="K1903" s="628" t="s">
        <v>834</v>
      </c>
      <c r="L1903" s="1294" t="s">
        <v>14</v>
      </c>
      <c r="M1903" s="1294">
        <v>100</v>
      </c>
      <c r="N1903" s="1462">
        <v>1</v>
      </c>
      <c r="O1903" s="1462">
        <v>1</v>
      </c>
      <c r="P1903" s="1462">
        <v>1</v>
      </c>
      <c r="Q1903" s="1462">
        <v>1</v>
      </c>
    </row>
    <row r="1904" spans="2:17" ht="30" x14ac:dyDescent="0.25">
      <c r="B1904" s="1453"/>
      <c r="C1904" s="1459">
        <v>3</v>
      </c>
      <c r="D1904" s="1454"/>
      <c r="E1904" s="1387" t="s">
        <v>1212</v>
      </c>
      <c r="F1904" s="1460">
        <v>353.16</v>
      </c>
      <c r="G1904" s="200">
        <v>353.16</v>
      </c>
      <c r="H1904" s="1460">
        <v>371</v>
      </c>
      <c r="I1904" s="1460">
        <v>371</v>
      </c>
      <c r="J1904" s="1460">
        <v>371</v>
      </c>
      <c r="K1904" s="1388" t="s">
        <v>2795</v>
      </c>
      <c r="L1904" s="1294" t="s">
        <v>14</v>
      </c>
      <c r="M1904" s="1294">
        <v>100</v>
      </c>
      <c r="N1904" s="1461" t="s">
        <v>1050</v>
      </c>
      <c r="O1904" s="1461" t="s">
        <v>1050</v>
      </c>
      <c r="P1904" s="1461" t="s">
        <v>1050</v>
      </c>
      <c r="Q1904" s="1461" t="s">
        <v>1050</v>
      </c>
    </row>
    <row r="1905" spans="2:17" ht="30" x14ac:dyDescent="0.25">
      <c r="B1905" s="1453"/>
      <c r="C1905" s="1459">
        <v>4</v>
      </c>
      <c r="D1905" s="1454"/>
      <c r="E1905" s="1387" t="s">
        <v>241</v>
      </c>
      <c r="F1905" s="1460">
        <v>384.39</v>
      </c>
      <c r="G1905" s="200">
        <v>384.39</v>
      </c>
      <c r="H1905" s="1460">
        <v>417</v>
      </c>
      <c r="I1905" s="1460">
        <v>417</v>
      </c>
      <c r="J1905" s="1460">
        <v>417</v>
      </c>
      <c r="K1905" s="1388" t="s">
        <v>1431</v>
      </c>
      <c r="L1905" s="1294" t="s">
        <v>2153</v>
      </c>
      <c r="M1905" s="1294" t="s">
        <v>60</v>
      </c>
      <c r="N1905" s="1461" t="s">
        <v>1050</v>
      </c>
      <c r="O1905" s="1461" t="s">
        <v>1050</v>
      </c>
      <c r="P1905" s="1461" t="s">
        <v>1050</v>
      </c>
      <c r="Q1905" s="1461" t="s">
        <v>1050</v>
      </c>
    </row>
    <row r="1906" spans="2:17" ht="45" x14ac:dyDescent="0.25">
      <c r="B1906" s="1453"/>
      <c r="C1906" s="1459">
        <v>5</v>
      </c>
      <c r="D1906" s="1454"/>
      <c r="E1906" s="197" t="s">
        <v>2667</v>
      </c>
      <c r="F1906" s="1460">
        <v>350.47</v>
      </c>
      <c r="G1906" s="200">
        <v>350.47</v>
      </c>
      <c r="H1906" s="1460">
        <v>370</v>
      </c>
      <c r="I1906" s="1460">
        <v>370</v>
      </c>
      <c r="J1906" s="1460">
        <v>370</v>
      </c>
      <c r="K1906" s="628" t="s">
        <v>2877</v>
      </c>
      <c r="L1906" s="1461" t="s">
        <v>1073</v>
      </c>
      <c r="M1906" s="1294"/>
      <c r="N1906" s="1461" t="s">
        <v>1050</v>
      </c>
      <c r="O1906" s="1461" t="s">
        <v>1050</v>
      </c>
      <c r="P1906" s="1461" t="s">
        <v>1050</v>
      </c>
      <c r="Q1906" s="1461" t="s">
        <v>1050</v>
      </c>
    </row>
    <row r="1907" spans="2:17" ht="45" x14ac:dyDescent="0.25">
      <c r="B1907" s="1453"/>
      <c r="C1907" s="1459">
        <v>6</v>
      </c>
      <c r="D1907" s="1454"/>
      <c r="E1907" s="1192" t="s">
        <v>2524</v>
      </c>
      <c r="F1907" s="1460">
        <v>1417.3</v>
      </c>
      <c r="G1907" s="200">
        <v>1466.6</v>
      </c>
      <c r="H1907" s="1460">
        <v>1520</v>
      </c>
      <c r="I1907" s="1460">
        <v>1557.1</v>
      </c>
      <c r="J1907" s="1460">
        <v>1557.1</v>
      </c>
      <c r="K1907" s="628" t="s">
        <v>1786</v>
      </c>
      <c r="L1907" s="1461" t="s">
        <v>14</v>
      </c>
      <c r="M1907" s="1294">
        <v>7.6</v>
      </c>
      <c r="N1907" s="1463">
        <v>7.5999999999999998E-2</v>
      </c>
      <c r="O1907" s="1463">
        <v>7.5999999999999998E-2</v>
      </c>
      <c r="P1907" s="1463">
        <v>7.5999999999999998E-2</v>
      </c>
      <c r="Q1907" s="1463">
        <v>7.5999999999999998E-2</v>
      </c>
    </row>
    <row r="1908" spans="2:17" ht="60" x14ac:dyDescent="0.25">
      <c r="B1908" s="1453"/>
      <c r="C1908" s="1459">
        <v>7</v>
      </c>
      <c r="D1908" s="1454"/>
      <c r="E1908" s="209" t="s">
        <v>2670</v>
      </c>
      <c r="F1908" s="1460">
        <v>2235.38</v>
      </c>
      <c r="G1908" s="200">
        <v>2235.38</v>
      </c>
      <c r="H1908" s="1460">
        <v>2235.4</v>
      </c>
      <c r="I1908" s="1460">
        <v>2335.38</v>
      </c>
      <c r="J1908" s="1460">
        <v>2335.38</v>
      </c>
      <c r="K1908" s="628" t="s">
        <v>2878</v>
      </c>
      <c r="L1908" s="1294" t="s">
        <v>14</v>
      </c>
      <c r="M1908" s="1294">
        <v>100</v>
      </c>
      <c r="N1908" s="1461" t="s">
        <v>1050</v>
      </c>
      <c r="O1908" s="1461" t="s">
        <v>1050</v>
      </c>
      <c r="P1908" s="1461" t="s">
        <v>1050</v>
      </c>
      <c r="Q1908" s="1461" t="s">
        <v>1050</v>
      </c>
    </row>
    <row r="1909" spans="2:17" ht="60" x14ac:dyDescent="0.25">
      <c r="B1909" s="1453"/>
      <c r="C1909" s="1459">
        <v>8</v>
      </c>
      <c r="D1909" s="1454"/>
      <c r="E1909" s="495" t="s">
        <v>2798</v>
      </c>
      <c r="F1909" s="1460">
        <v>4572.5</v>
      </c>
      <c r="G1909" s="200">
        <v>4572.5</v>
      </c>
      <c r="H1909" s="1460">
        <v>4414.7</v>
      </c>
      <c r="I1909" s="1460">
        <v>4288.8</v>
      </c>
      <c r="J1909" s="1460">
        <v>4313.1000000000004</v>
      </c>
      <c r="K1909" s="628" t="s">
        <v>2879</v>
      </c>
      <c r="L1909" s="1461" t="s">
        <v>14</v>
      </c>
      <c r="M1909" s="1294">
        <v>22.4</v>
      </c>
      <c r="N1909" s="1461" t="s">
        <v>1050</v>
      </c>
      <c r="O1909" s="1461" t="s">
        <v>1050</v>
      </c>
      <c r="P1909" s="1461" t="s">
        <v>1050</v>
      </c>
      <c r="Q1909" s="1461" t="s">
        <v>1050</v>
      </c>
    </row>
    <row r="1910" spans="2:17" ht="132.75" x14ac:dyDescent="0.25">
      <c r="B1910" s="1453">
        <v>2</v>
      </c>
      <c r="C1910" s="452"/>
      <c r="D1910" s="1464"/>
      <c r="E1910" s="658" t="s">
        <v>2880</v>
      </c>
      <c r="F1910" s="1456">
        <v>972.3</v>
      </c>
      <c r="G1910" s="59">
        <v>972.3</v>
      </c>
      <c r="H1910" s="1456">
        <v>1014</v>
      </c>
      <c r="I1910" s="1456">
        <v>1014</v>
      </c>
      <c r="J1910" s="1456">
        <v>1014</v>
      </c>
      <c r="K1910" s="496" t="s">
        <v>2881</v>
      </c>
      <c r="L1910" s="1465" t="s">
        <v>14</v>
      </c>
      <c r="M1910" s="1454"/>
      <c r="N1910" s="1461" t="s">
        <v>1050</v>
      </c>
      <c r="O1910" s="1461" t="s">
        <v>1050</v>
      </c>
      <c r="P1910" s="1461" t="s">
        <v>1050</v>
      </c>
      <c r="Q1910" s="1461" t="s">
        <v>1050</v>
      </c>
    </row>
    <row r="1911" spans="2:17" ht="30" x14ac:dyDescent="0.25">
      <c r="B1911" s="452"/>
      <c r="C1911" s="1459">
        <v>1</v>
      </c>
      <c r="D1911" s="1464"/>
      <c r="E1911" s="495" t="s">
        <v>2882</v>
      </c>
      <c r="F1911" s="1460">
        <v>237.4</v>
      </c>
      <c r="G1911" s="453">
        <v>237.4</v>
      </c>
      <c r="H1911" s="1466">
        <v>238</v>
      </c>
      <c r="I1911" s="1466">
        <v>238</v>
      </c>
      <c r="J1911" s="1466">
        <v>238</v>
      </c>
      <c r="K1911" s="495" t="s">
        <v>2883</v>
      </c>
      <c r="L1911" s="1465" t="s">
        <v>16</v>
      </c>
      <c r="M1911" s="1294">
        <v>39</v>
      </c>
      <c r="N1911" s="1461" t="s">
        <v>1050</v>
      </c>
      <c r="O1911" s="1461" t="s">
        <v>1050</v>
      </c>
      <c r="P1911" s="1461" t="s">
        <v>1050</v>
      </c>
      <c r="Q1911" s="1461" t="s">
        <v>1050</v>
      </c>
    </row>
    <row r="1912" spans="2:17" ht="90" x14ac:dyDescent="0.25">
      <c r="B1912" s="452"/>
      <c r="C1912" s="1467">
        <v>2</v>
      </c>
      <c r="D1912" s="1464"/>
      <c r="E1912" s="495" t="s">
        <v>2884</v>
      </c>
      <c r="F1912" s="1460">
        <v>124.4</v>
      </c>
      <c r="G1912" s="453">
        <v>124.4</v>
      </c>
      <c r="H1912" s="1466">
        <v>132</v>
      </c>
      <c r="I1912" s="1466">
        <v>132</v>
      </c>
      <c r="J1912" s="1466">
        <v>132</v>
      </c>
      <c r="K1912" s="1435" t="s">
        <v>2885</v>
      </c>
      <c r="L1912" s="1465" t="s">
        <v>16</v>
      </c>
      <c r="M1912" s="1294">
        <v>75</v>
      </c>
      <c r="N1912" s="1461" t="s">
        <v>1050</v>
      </c>
      <c r="O1912" s="1461" t="s">
        <v>1050</v>
      </c>
      <c r="P1912" s="1461" t="s">
        <v>1050</v>
      </c>
      <c r="Q1912" s="1461" t="s">
        <v>1050</v>
      </c>
    </row>
    <row r="1913" spans="2:17" ht="75" x14ac:dyDescent="0.25">
      <c r="B1913" s="452"/>
      <c r="C1913" s="1459">
        <v>3</v>
      </c>
      <c r="D1913" s="1464"/>
      <c r="E1913" s="495" t="s">
        <v>2886</v>
      </c>
      <c r="F1913" s="1460">
        <v>124.5</v>
      </c>
      <c r="G1913" s="453">
        <v>124.5</v>
      </c>
      <c r="H1913" s="1466">
        <v>131</v>
      </c>
      <c r="I1913" s="1466">
        <v>131</v>
      </c>
      <c r="J1913" s="1466">
        <v>131</v>
      </c>
      <c r="K1913" s="495" t="s">
        <v>2887</v>
      </c>
      <c r="L1913" s="1468" t="s">
        <v>14</v>
      </c>
      <c r="M1913" s="1294" t="s">
        <v>60</v>
      </c>
      <c r="N1913" s="1461" t="s">
        <v>1050</v>
      </c>
      <c r="O1913" s="1461" t="s">
        <v>1050</v>
      </c>
      <c r="P1913" s="1461" t="s">
        <v>1050</v>
      </c>
      <c r="Q1913" s="1461" t="s">
        <v>1050</v>
      </c>
    </row>
    <row r="1914" spans="2:17" ht="45" x14ac:dyDescent="0.25">
      <c r="B1914" s="1665"/>
      <c r="C1914" s="1666">
        <v>4</v>
      </c>
      <c r="D1914" s="1667"/>
      <c r="E1914" s="1669" t="s">
        <v>2888</v>
      </c>
      <c r="F1914" s="1670">
        <v>373</v>
      </c>
      <c r="G1914" s="1671">
        <v>373</v>
      </c>
      <c r="H1914" s="1664">
        <v>393</v>
      </c>
      <c r="I1914" s="1664">
        <v>393</v>
      </c>
      <c r="J1914" s="1664">
        <v>393</v>
      </c>
      <c r="K1914" s="562" t="s">
        <v>2889</v>
      </c>
      <c r="L1914" s="1465" t="s">
        <v>16</v>
      </c>
      <c r="M1914" s="1294">
        <v>991</v>
      </c>
      <c r="N1914" s="1565" t="s">
        <v>1050</v>
      </c>
      <c r="O1914" s="1565" t="s">
        <v>1050</v>
      </c>
      <c r="P1914" s="1565" t="s">
        <v>1050</v>
      </c>
      <c r="Q1914" s="1565" t="s">
        <v>1050</v>
      </c>
    </row>
    <row r="1915" spans="2:17" ht="45" x14ac:dyDescent="0.25">
      <c r="B1915" s="1665"/>
      <c r="C1915" s="1666"/>
      <c r="D1915" s="1668"/>
      <c r="E1915" s="1669"/>
      <c r="F1915" s="1670"/>
      <c r="G1915" s="1671"/>
      <c r="H1915" s="1664"/>
      <c r="I1915" s="1664"/>
      <c r="J1915" s="1664"/>
      <c r="K1915" s="562" t="s">
        <v>2890</v>
      </c>
      <c r="L1915" s="1465" t="s">
        <v>45</v>
      </c>
      <c r="M1915" s="1294">
        <v>47</v>
      </c>
      <c r="N1915" s="1565"/>
      <c r="O1915" s="1565"/>
      <c r="P1915" s="1565"/>
      <c r="Q1915" s="1565"/>
    </row>
    <row r="1916" spans="2:17" ht="75" x14ac:dyDescent="0.25">
      <c r="B1916" s="452"/>
      <c r="C1916" s="1459">
        <v>5</v>
      </c>
      <c r="D1916" s="1464"/>
      <c r="E1916" s="562" t="s">
        <v>2891</v>
      </c>
      <c r="F1916" s="1460">
        <v>113</v>
      </c>
      <c r="G1916" s="453">
        <v>113</v>
      </c>
      <c r="H1916" s="1466">
        <v>120</v>
      </c>
      <c r="I1916" s="1466">
        <v>120</v>
      </c>
      <c r="J1916" s="1466">
        <v>120</v>
      </c>
      <c r="K1916" s="562" t="s">
        <v>2892</v>
      </c>
      <c r="L1916" s="1465" t="s">
        <v>14</v>
      </c>
      <c r="M1916" s="1294">
        <v>100</v>
      </c>
      <c r="N1916" s="1469" t="s">
        <v>1050</v>
      </c>
      <c r="O1916" s="1469" t="s">
        <v>1050</v>
      </c>
      <c r="P1916" s="1469" t="s">
        <v>1050</v>
      </c>
      <c r="Q1916" s="1469" t="s">
        <v>1050</v>
      </c>
    </row>
    <row r="1917" spans="2:17" x14ac:dyDescent="0.25">
      <c r="B1917" s="1566" t="s">
        <v>291</v>
      </c>
      <c r="C1917" s="1567"/>
      <c r="D1917" s="1567"/>
      <c r="E1917" s="1568"/>
      <c r="F1917" s="1470">
        <f>SUM(F1910+F1901)</f>
        <v>12418.5</v>
      </c>
      <c r="G1917" s="1470">
        <f>SUM(G1910+G1901)</f>
        <v>12467.8</v>
      </c>
      <c r="H1917" s="1470">
        <f>SUM(H1910+H1901)</f>
        <v>12467.8</v>
      </c>
      <c r="I1917" s="1470">
        <f>SUM(I1910+I1901)</f>
        <v>12478.720000000001</v>
      </c>
      <c r="J1917" s="1470">
        <f>SUM(J1910+J1901)</f>
        <v>12503.02</v>
      </c>
      <c r="K1917" s="1471"/>
      <c r="L1917" s="1472"/>
      <c r="M1917" s="1470"/>
      <c r="N1917" s="1473"/>
      <c r="O1917" s="1473"/>
      <c r="P1917" s="1473"/>
      <c r="Q1917" s="1473"/>
    </row>
    <row r="1918" spans="2:17" x14ac:dyDescent="0.25">
      <c r="B1918" s="1569" t="s">
        <v>2893</v>
      </c>
      <c r="C1918" s="1570"/>
      <c r="D1918" s="1570"/>
      <c r="E1918" s="1570"/>
      <c r="F1918" s="1570"/>
      <c r="G1918" s="1570"/>
      <c r="H1918" s="1570"/>
      <c r="I1918" s="1570"/>
      <c r="J1918" s="1570"/>
      <c r="K1918" s="1570"/>
      <c r="L1918" s="1570"/>
      <c r="M1918" s="1570"/>
      <c r="N1918" s="1570"/>
      <c r="O1918" s="1570"/>
      <c r="P1918" s="1570"/>
      <c r="Q1918" s="1570"/>
    </row>
    <row r="1919" spans="2:17" x14ac:dyDescent="0.25">
      <c r="B1919" s="1660" t="s">
        <v>102</v>
      </c>
      <c r="C1919" s="1661"/>
      <c r="D1919" s="1661"/>
      <c r="E1919" s="1662" t="s">
        <v>2894</v>
      </c>
      <c r="F1919" s="1571">
        <f>F1921+F1922</f>
        <v>20679.2</v>
      </c>
      <c r="G1919" s="1571">
        <f>G1921+G1922</f>
        <v>20679.2</v>
      </c>
      <c r="H1919" s="1571">
        <f>H1921+H1922</f>
        <v>21779.200000000001</v>
      </c>
      <c r="I1919" s="1571">
        <f>I1921+I1922</f>
        <v>20697.2</v>
      </c>
      <c r="J1919" s="1571">
        <f>J1921+J1922</f>
        <v>20737.599999999999</v>
      </c>
      <c r="K1919" s="823"/>
      <c r="L1919" s="1143"/>
      <c r="M1919" s="1143"/>
      <c r="N1919" s="1143"/>
      <c r="O1919" s="1143"/>
      <c r="P1919" s="1143"/>
      <c r="Q1919" s="1143"/>
    </row>
    <row r="1920" spans="2:17" x14ac:dyDescent="0.25">
      <c r="B1920" s="1660"/>
      <c r="C1920" s="1661"/>
      <c r="D1920" s="1661"/>
      <c r="E1920" s="1663"/>
      <c r="F1920" s="1571"/>
      <c r="G1920" s="1571"/>
      <c r="H1920" s="1571"/>
      <c r="I1920" s="1571"/>
      <c r="J1920" s="1571"/>
      <c r="K1920" s="1246"/>
      <c r="L1920" s="1474"/>
      <c r="M1920" s="1474"/>
      <c r="N1920" s="1474"/>
      <c r="O1920" s="1474"/>
      <c r="P1920" s="1474"/>
      <c r="Q1920" s="1474"/>
    </row>
    <row r="1921" spans="2:17" ht="30" x14ac:dyDescent="0.25">
      <c r="B1921" s="1475"/>
      <c r="C1921" s="1476" t="s">
        <v>2</v>
      </c>
      <c r="D1921" s="1476"/>
      <c r="E1921" s="1197" t="s">
        <v>2895</v>
      </c>
      <c r="F1921" s="557">
        <v>10339.6</v>
      </c>
      <c r="G1921" s="557">
        <v>10339.6</v>
      </c>
      <c r="H1921" s="557">
        <v>10889.6</v>
      </c>
      <c r="I1921" s="557">
        <v>10348.6</v>
      </c>
      <c r="J1921" s="557">
        <v>10368.799999999999</v>
      </c>
      <c r="K1921" s="1477" t="s">
        <v>2896</v>
      </c>
      <c r="L1921" s="511" t="s">
        <v>979</v>
      </c>
      <c r="M1921" s="511">
        <v>81</v>
      </c>
      <c r="N1921" s="511">
        <v>80</v>
      </c>
      <c r="O1921" s="511">
        <v>80</v>
      </c>
      <c r="P1921" s="511">
        <v>85</v>
      </c>
      <c r="Q1921" s="511">
        <v>90</v>
      </c>
    </row>
    <row r="1922" spans="2:17" ht="30" x14ac:dyDescent="0.25">
      <c r="B1922" s="1478"/>
      <c r="C1922" s="1479" t="s">
        <v>3</v>
      </c>
      <c r="D1922" s="1479"/>
      <c r="E1922" s="1192" t="s">
        <v>2897</v>
      </c>
      <c r="F1922" s="557">
        <v>10339.6</v>
      </c>
      <c r="G1922" s="557">
        <v>10339.6</v>
      </c>
      <c r="H1922" s="557">
        <v>10889.6</v>
      </c>
      <c r="I1922" s="557">
        <v>10348.6</v>
      </c>
      <c r="J1922" s="557">
        <v>10368.799999999999</v>
      </c>
      <c r="K1922" s="495" t="s">
        <v>2898</v>
      </c>
      <c r="L1922" s="511" t="s">
        <v>977</v>
      </c>
      <c r="M1922" s="267">
        <v>30269.3</v>
      </c>
      <c r="N1922" s="267">
        <v>30000</v>
      </c>
      <c r="O1922" s="267">
        <v>25000</v>
      </c>
      <c r="P1922" s="267">
        <v>20000</v>
      </c>
      <c r="Q1922" s="267">
        <v>15000</v>
      </c>
    </row>
    <row r="1923" spans="2:17" x14ac:dyDescent="0.25">
      <c r="B1923" s="1566" t="s">
        <v>291</v>
      </c>
      <c r="C1923" s="1567"/>
      <c r="D1923" s="1567"/>
      <c r="E1923" s="1568"/>
      <c r="F1923" s="934">
        <f>F1919</f>
        <v>20679.2</v>
      </c>
      <c r="G1923" s="934">
        <f>G1919</f>
        <v>20679.2</v>
      </c>
      <c r="H1923" s="934">
        <f>H1919</f>
        <v>21779.200000000001</v>
      </c>
      <c r="I1923" s="934">
        <f>I1919</f>
        <v>20697.2</v>
      </c>
      <c r="J1923" s="934">
        <f>J1919</f>
        <v>20737.599999999999</v>
      </c>
      <c r="K1923" s="822"/>
      <c r="L1923" s="1572"/>
      <c r="M1923" s="1572"/>
      <c r="N1923" s="1572"/>
      <c r="O1923" s="1572"/>
      <c r="P1923" s="1572"/>
      <c r="Q1923" s="1572"/>
    </row>
    <row r="1924" spans="2:17" x14ac:dyDescent="0.25">
      <c r="B1924" s="1573" t="s">
        <v>2899</v>
      </c>
      <c r="C1924" s="1573"/>
      <c r="D1924" s="1573"/>
      <c r="E1924" s="1573"/>
      <c r="F1924" s="1573"/>
      <c r="G1924" s="1573"/>
      <c r="H1924" s="1573"/>
      <c r="I1924" s="1573"/>
      <c r="J1924" s="1573"/>
      <c r="K1924" s="1573"/>
      <c r="L1924" s="1573"/>
      <c r="M1924" s="1573"/>
      <c r="N1924" s="1573"/>
      <c r="O1924" s="1573"/>
      <c r="P1924" s="1573"/>
      <c r="Q1924" s="1573"/>
    </row>
    <row r="1925" spans="2:17" x14ac:dyDescent="0.25">
      <c r="B1925" s="566">
        <v>1</v>
      </c>
      <c r="C1925" s="422"/>
      <c r="D1925" s="981"/>
      <c r="E1925" s="582" t="s">
        <v>2900</v>
      </c>
      <c r="F1925" s="635">
        <v>481.3</v>
      </c>
      <c r="G1925" s="635">
        <f>G1926</f>
        <v>481.3</v>
      </c>
      <c r="H1925" s="635">
        <v>481.3</v>
      </c>
      <c r="I1925" s="635">
        <v>481.7</v>
      </c>
      <c r="J1925" s="635">
        <v>482.7</v>
      </c>
      <c r="K1925" s="1159"/>
      <c r="L1925" s="635"/>
      <c r="M1925" s="635"/>
      <c r="N1925" s="635"/>
      <c r="O1925" s="635"/>
      <c r="P1925" s="635"/>
      <c r="Q1925" s="635"/>
    </row>
    <row r="1926" spans="2:17" ht="60.75" thickBot="1" x14ac:dyDescent="0.3">
      <c r="B1926" s="1249"/>
      <c r="C1926" s="1129">
        <v>1</v>
      </c>
      <c r="D1926" s="422"/>
      <c r="E1926" s="804" t="s">
        <v>2901</v>
      </c>
      <c r="F1926" s="511">
        <v>481.3</v>
      </c>
      <c r="G1926" s="645">
        <v>481.3</v>
      </c>
      <c r="H1926" s="645">
        <v>481.3</v>
      </c>
      <c r="I1926" s="1480">
        <v>481.7</v>
      </c>
      <c r="J1926" s="511">
        <v>482.7</v>
      </c>
      <c r="K1926" s="856" t="s">
        <v>2902</v>
      </c>
      <c r="L1926" s="1534" t="s">
        <v>14</v>
      </c>
      <c r="M1926" s="1188">
        <v>100</v>
      </c>
      <c r="N1926" s="1188">
        <v>100</v>
      </c>
      <c r="O1926" s="1188">
        <v>100</v>
      </c>
      <c r="P1926" s="1188">
        <v>100</v>
      </c>
      <c r="Q1926" s="1188">
        <v>100</v>
      </c>
    </row>
    <row r="1927" spans="2:17" ht="15.75" thickBot="1" x14ac:dyDescent="0.3">
      <c r="B1927" s="1566" t="s">
        <v>291</v>
      </c>
      <c r="C1927" s="1567"/>
      <c r="D1927" s="1567"/>
      <c r="E1927" s="1568"/>
      <c r="F1927" s="1481">
        <f>F1925</f>
        <v>481.3</v>
      </c>
      <c r="G1927" s="1481">
        <f>G1925</f>
        <v>481.3</v>
      </c>
      <c r="H1927" s="1481">
        <f>H1925</f>
        <v>481.3</v>
      </c>
      <c r="I1927" s="1481">
        <f>I1925</f>
        <v>481.7</v>
      </c>
      <c r="J1927" s="1481">
        <f>J1925</f>
        <v>482.7</v>
      </c>
      <c r="K1927" s="1482"/>
      <c r="L1927" s="1574"/>
      <c r="M1927" s="1574"/>
      <c r="N1927" s="1574"/>
      <c r="O1927" s="1574"/>
      <c r="P1927" s="1574"/>
      <c r="Q1927" s="1575"/>
    </row>
    <row r="1928" spans="2:17" x14ac:dyDescent="0.25">
      <c r="B1928" s="1643" t="s">
        <v>2903</v>
      </c>
      <c r="C1928" s="1643"/>
      <c r="D1928" s="1643"/>
      <c r="E1928" s="1643"/>
      <c r="F1928" s="1643"/>
      <c r="G1928" s="1643"/>
      <c r="H1928" s="1643"/>
      <c r="I1928" s="1643"/>
      <c r="J1928" s="1643"/>
      <c r="K1928" s="1643"/>
      <c r="L1928" s="1643"/>
      <c r="M1928" s="1643"/>
      <c r="N1928" s="1643"/>
      <c r="O1928" s="1643"/>
      <c r="P1928" s="1643"/>
      <c r="Q1928" s="1643"/>
    </row>
    <row r="1929" spans="2:17" ht="15.75" thickBot="1" x14ac:dyDescent="0.3">
      <c r="B1929" s="1573" t="s">
        <v>2904</v>
      </c>
      <c r="C1929" s="1573"/>
      <c r="D1929" s="1573"/>
      <c r="E1929" s="1573"/>
      <c r="F1929" s="1573"/>
      <c r="G1929" s="1573"/>
      <c r="H1929" s="1573"/>
      <c r="I1929" s="1573"/>
      <c r="J1929" s="1573"/>
      <c r="K1929" s="1573"/>
      <c r="L1929" s="1573"/>
      <c r="M1929" s="1573"/>
      <c r="N1929" s="1573"/>
      <c r="O1929" s="1573"/>
      <c r="P1929" s="1573"/>
      <c r="Q1929" s="1573"/>
    </row>
    <row r="1930" spans="2:17" ht="74.25" x14ac:dyDescent="0.25">
      <c r="B1930" s="1483">
        <v>1</v>
      </c>
      <c r="C1930" s="1484"/>
      <c r="D1930" s="1484"/>
      <c r="E1930" s="477" t="s">
        <v>2432</v>
      </c>
      <c r="F1930" s="1485">
        <f>SUM(F1931:F1936)</f>
        <v>21431.5</v>
      </c>
      <c r="G1930" s="1485">
        <f>SUM(G1931:G1936)</f>
        <v>16244.4</v>
      </c>
      <c r="H1930" s="1485">
        <f>SUM(H1931:H1936)</f>
        <v>16648.5</v>
      </c>
      <c r="I1930" s="1485">
        <f>SUM(I1931:I1936)</f>
        <v>16648.5</v>
      </c>
      <c r="J1930" s="1485">
        <f>SUM(J1931:J1936)</f>
        <v>16719.5</v>
      </c>
      <c r="K1930" s="658" t="s">
        <v>2905</v>
      </c>
      <c r="L1930" s="1291" t="s">
        <v>14</v>
      </c>
      <c r="M1930" s="1486">
        <v>10.9</v>
      </c>
      <c r="N1930" s="1486">
        <v>10.199999999999999</v>
      </c>
      <c r="O1930" s="1486">
        <v>10.199999999999999</v>
      </c>
      <c r="P1930" s="1486">
        <v>10.199999999999999</v>
      </c>
      <c r="Q1930" s="1486">
        <v>10.199999999999999</v>
      </c>
    </row>
    <row r="1931" spans="2:17" x14ac:dyDescent="0.25">
      <c r="B1931" s="1487"/>
      <c r="C1931" s="1329">
        <v>1</v>
      </c>
      <c r="D1931" s="1488"/>
      <c r="E1931" s="719" t="s">
        <v>140</v>
      </c>
      <c r="F1931" s="1489">
        <v>3666.7</v>
      </c>
      <c r="G1931" s="1489">
        <v>5858.6</v>
      </c>
      <c r="H1931" s="1489">
        <v>6003</v>
      </c>
      <c r="I1931" s="1489">
        <v>6003</v>
      </c>
      <c r="J1931" s="1489">
        <v>6053</v>
      </c>
      <c r="K1931" s="628" t="s">
        <v>501</v>
      </c>
      <c r="L1931" s="1294" t="s">
        <v>14</v>
      </c>
      <c r="M1931" s="1294">
        <v>75</v>
      </c>
      <c r="N1931" s="1294">
        <v>76</v>
      </c>
      <c r="O1931" s="1294">
        <v>76</v>
      </c>
      <c r="P1931" s="1294">
        <v>76</v>
      </c>
      <c r="Q1931" s="1294">
        <v>76</v>
      </c>
    </row>
    <row r="1932" spans="2:17" ht="30" x14ac:dyDescent="0.25">
      <c r="B1932" s="1487"/>
      <c r="C1932" s="1490">
        <v>2</v>
      </c>
      <c r="D1932" s="1488"/>
      <c r="E1932" s="494" t="s">
        <v>2657</v>
      </c>
      <c r="F1932" s="1489">
        <v>7704.6</v>
      </c>
      <c r="G1932" s="1489">
        <v>5098.2</v>
      </c>
      <c r="H1932" s="1489">
        <v>5455.2</v>
      </c>
      <c r="I1932" s="1489">
        <v>5455.2</v>
      </c>
      <c r="J1932" s="1489">
        <v>5476.2</v>
      </c>
      <c r="K1932" s="628" t="s">
        <v>834</v>
      </c>
      <c r="L1932" s="1294" t="s">
        <v>14</v>
      </c>
      <c r="M1932" s="1294">
        <v>99.8</v>
      </c>
      <c r="N1932" s="1294">
        <v>100</v>
      </c>
      <c r="O1932" s="1294">
        <v>100</v>
      </c>
      <c r="P1932" s="1294">
        <v>100</v>
      </c>
      <c r="Q1932" s="1294">
        <v>100</v>
      </c>
    </row>
    <row r="1933" spans="2:17" ht="30" x14ac:dyDescent="0.25">
      <c r="B1933" s="1487"/>
      <c r="C1933" s="1490">
        <v>3</v>
      </c>
      <c r="D1933" s="1488"/>
      <c r="E1933" s="1387" t="s">
        <v>1212</v>
      </c>
      <c r="F1933" s="1489">
        <v>1558.9</v>
      </c>
      <c r="G1933" s="1489">
        <v>1548</v>
      </c>
      <c r="H1933" s="1489">
        <v>1632.3</v>
      </c>
      <c r="I1933" s="1489">
        <v>1632.3</v>
      </c>
      <c r="J1933" s="1489">
        <v>1632.3</v>
      </c>
      <c r="K1933" s="1388" t="s">
        <v>2795</v>
      </c>
      <c r="L1933" s="1294" t="s">
        <v>14</v>
      </c>
      <c r="M1933" s="1294">
        <v>50</v>
      </c>
      <c r="N1933" s="1294">
        <v>100</v>
      </c>
      <c r="O1933" s="1294">
        <v>100</v>
      </c>
      <c r="P1933" s="1294">
        <v>100</v>
      </c>
      <c r="Q1933" s="1294">
        <v>100</v>
      </c>
    </row>
    <row r="1934" spans="2:17" ht="30" x14ac:dyDescent="0.25">
      <c r="B1934" s="1487"/>
      <c r="C1934" s="1490">
        <v>4</v>
      </c>
      <c r="D1934" s="1488"/>
      <c r="E1934" s="1387" t="s">
        <v>241</v>
      </c>
      <c r="F1934" s="1489">
        <v>1340</v>
      </c>
      <c r="G1934" s="1489">
        <v>512.20000000000005</v>
      </c>
      <c r="H1934" s="1489">
        <v>568.1</v>
      </c>
      <c r="I1934" s="1489">
        <v>568.1</v>
      </c>
      <c r="J1934" s="1489">
        <v>568.1</v>
      </c>
      <c r="K1934" s="1388" t="s">
        <v>1431</v>
      </c>
      <c r="L1934" s="1294" t="s">
        <v>2153</v>
      </c>
      <c r="M1934" s="1491" t="s">
        <v>2906</v>
      </c>
      <c r="N1934" s="1491" t="s">
        <v>2907</v>
      </c>
      <c r="O1934" s="1491" t="s">
        <v>2908</v>
      </c>
      <c r="P1934" s="1491" t="s">
        <v>2909</v>
      </c>
      <c r="Q1934" s="1491" t="s">
        <v>2909</v>
      </c>
    </row>
    <row r="1935" spans="2:17" ht="45" x14ac:dyDescent="0.25">
      <c r="B1935" s="1487"/>
      <c r="C1935" s="1490">
        <v>5</v>
      </c>
      <c r="D1935" s="1488"/>
      <c r="E1935" s="197" t="s">
        <v>2667</v>
      </c>
      <c r="F1935" s="1489">
        <v>5050.8</v>
      </c>
      <c r="G1935" s="1489">
        <v>1343.4</v>
      </c>
      <c r="H1935" s="1489">
        <v>1187.8</v>
      </c>
      <c r="I1935" s="1489">
        <v>1187.8</v>
      </c>
      <c r="J1935" s="1489">
        <v>1187.8</v>
      </c>
      <c r="K1935" s="628" t="s">
        <v>2877</v>
      </c>
      <c r="L1935" s="1294" t="s">
        <v>1073</v>
      </c>
      <c r="M1935" s="1294">
        <v>700</v>
      </c>
      <c r="N1935" s="1294">
        <v>800</v>
      </c>
      <c r="O1935" s="1294">
        <v>800</v>
      </c>
      <c r="P1935" s="1294">
        <v>800</v>
      </c>
      <c r="Q1935" s="1294">
        <v>800</v>
      </c>
    </row>
    <row r="1936" spans="2:17" ht="45" x14ac:dyDescent="0.25">
      <c r="B1936" s="1487"/>
      <c r="C1936" s="1459">
        <v>6</v>
      </c>
      <c r="D1936" s="1488"/>
      <c r="E1936" s="1192" t="s">
        <v>2524</v>
      </c>
      <c r="F1936" s="1489">
        <v>2110.5</v>
      </c>
      <c r="G1936" s="1489">
        <v>1884</v>
      </c>
      <c r="H1936" s="1489">
        <v>1802.1</v>
      </c>
      <c r="I1936" s="1489">
        <v>1802.1</v>
      </c>
      <c r="J1936" s="1489">
        <v>1802.1</v>
      </c>
      <c r="K1936" s="628" t="s">
        <v>1786</v>
      </c>
      <c r="L1936" s="1294" t="s">
        <v>14</v>
      </c>
      <c r="M1936" s="1294">
        <v>1.7</v>
      </c>
      <c r="N1936" s="1294">
        <v>1.7</v>
      </c>
      <c r="O1936" s="1294">
        <v>1.7</v>
      </c>
      <c r="P1936" s="1294">
        <v>1.7</v>
      </c>
      <c r="Q1936" s="1294">
        <v>1.7</v>
      </c>
    </row>
    <row r="1937" spans="2:17" ht="73.5" x14ac:dyDescent="0.25">
      <c r="B1937" s="1492" t="s">
        <v>91</v>
      </c>
      <c r="C1937" s="1492"/>
      <c r="D1937" s="1492"/>
      <c r="E1937" s="1437" t="s">
        <v>2910</v>
      </c>
      <c r="F1937" s="1456">
        <f>SUM(F1938:F1943)</f>
        <v>225697.19999999998</v>
      </c>
      <c r="G1937" s="1456">
        <f>SUM(G1938:G1943)</f>
        <v>212307.5</v>
      </c>
      <c r="H1937" s="1456">
        <f>SUM(H1938:H1943)</f>
        <v>228056.4</v>
      </c>
      <c r="I1937" s="1456">
        <f>SUM(I1938:I1943)</f>
        <v>228056.4</v>
      </c>
      <c r="J1937" s="1456">
        <f>SUM(J1938:J1943)</f>
        <v>228374.09999999998</v>
      </c>
      <c r="K1937" s="1437" t="s">
        <v>2911</v>
      </c>
      <c r="L1937" s="1295"/>
      <c r="M1937" s="1455"/>
      <c r="N1937" s="1455"/>
      <c r="O1937" s="1455"/>
      <c r="P1937" s="1455"/>
      <c r="Q1937" s="1455"/>
    </row>
    <row r="1938" spans="2:17" x14ac:dyDescent="0.25">
      <c r="B1938" s="1493"/>
      <c r="C1938" s="1493" t="s">
        <v>2</v>
      </c>
      <c r="D1938" s="1493"/>
      <c r="E1938" s="562" t="s">
        <v>2912</v>
      </c>
      <c r="F1938" s="1494">
        <v>1420.1</v>
      </c>
      <c r="G1938" s="1489">
        <v>2382.5</v>
      </c>
      <c r="H1938" s="1489">
        <v>2731.4</v>
      </c>
      <c r="I1938" s="1489">
        <v>2731.4</v>
      </c>
      <c r="J1938" s="1489">
        <v>2731.4</v>
      </c>
      <c r="K1938" s="628" t="s">
        <v>2913</v>
      </c>
      <c r="L1938" s="1294" t="s">
        <v>14</v>
      </c>
      <c r="M1938" s="1489">
        <v>100</v>
      </c>
      <c r="N1938" s="1489">
        <v>100</v>
      </c>
      <c r="O1938" s="1489">
        <v>100</v>
      </c>
      <c r="P1938" s="1489">
        <v>100</v>
      </c>
      <c r="Q1938" s="1489">
        <v>100</v>
      </c>
    </row>
    <row r="1939" spans="2:17" ht="30" x14ac:dyDescent="0.25">
      <c r="B1939" s="1493"/>
      <c r="C1939" s="1493" t="s">
        <v>3</v>
      </c>
      <c r="D1939" s="1493"/>
      <c r="E1939" s="562" t="s">
        <v>2914</v>
      </c>
      <c r="F1939" s="1494">
        <v>56074.2</v>
      </c>
      <c r="G1939" s="1489">
        <v>52523.9</v>
      </c>
      <c r="H1939" s="1489">
        <v>56205.4</v>
      </c>
      <c r="I1939" s="1489">
        <v>56205.4</v>
      </c>
      <c r="J1939" s="1489">
        <v>56305.4</v>
      </c>
      <c r="K1939" s="628" t="s">
        <v>2915</v>
      </c>
      <c r="L1939" s="1294" t="s">
        <v>1974</v>
      </c>
      <c r="M1939" s="1491" t="s">
        <v>2916</v>
      </c>
      <c r="N1939" s="1491" t="s">
        <v>2916</v>
      </c>
      <c r="O1939" s="1491" t="s">
        <v>2916</v>
      </c>
      <c r="P1939" s="1491" t="s">
        <v>2916</v>
      </c>
      <c r="Q1939" s="1491" t="s">
        <v>2916</v>
      </c>
    </row>
    <row r="1940" spans="2:17" ht="30" x14ac:dyDescent="0.25">
      <c r="B1940" s="1493"/>
      <c r="C1940" s="1493" t="s">
        <v>4</v>
      </c>
      <c r="D1940" s="1493"/>
      <c r="E1940" s="562" t="s">
        <v>2917</v>
      </c>
      <c r="F1940" s="1494">
        <v>38630.5</v>
      </c>
      <c r="G1940" s="1489">
        <v>51963.6</v>
      </c>
      <c r="H1940" s="1489">
        <v>50348</v>
      </c>
      <c r="I1940" s="1489">
        <v>50348</v>
      </c>
      <c r="J1940" s="1489">
        <v>50515.7</v>
      </c>
      <c r="K1940" s="628" t="s">
        <v>2918</v>
      </c>
      <c r="L1940" s="1294" t="s">
        <v>1974</v>
      </c>
      <c r="M1940" s="1491" t="s">
        <v>2919</v>
      </c>
      <c r="N1940" s="1491" t="s">
        <v>2919</v>
      </c>
      <c r="O1940" s="1491" t="s">
        <v>2920</v>
      </c>
      <c r="P1940" s="1491" t="s">
        <v>2920</v>
      </c>
      <c r="Q1940" s="1491" t="s">
        <v>2920</v>
      </c>
    </row>
    <row r="1941" spans="2:17" x14ac:dyDescent="0.25">
      <c r="B1941" s="1493"/>
      <c r="C1941" s="1493" t="s">
        <v>5</v>
      </c>
      <c r="D1941" s="1493"/>
      <c r="E1941" s="589" t="s">
        <v>2921</v>
      </c>
      <c r="F1941" s="1494">
        <v>5658.5</v>
      </c>
      <c r="G1941" s="1489">
        <v>5775.1</v>
      </c>
      <c r="H1941" s="1489">
        <v>16709.2</v>
      </c>
      <c r="I1941" s="1489">
        <v>16709.2</v>
      </c>
      <c r="J1941" s="1489">
        <v>16759.2</v>
      </c>
      <c r="K1941" s="628" t="s">
        <v>2922</v>
      </c>
      <c r="L1941" s="1294" t="s">
        <v>2923</v>
      </c>
      <c r="M1941" s="1491" t="s">
        <v>2924</v>
      </c>
      <c r="N1941" s="1491" t="s">
        <v>2924</v>
      </c>
      <c r="O1941" s="1491" t="s">
        <v>2924</v>
      </c>
      <c r="P1941" s="1491" t="s">
        <v>2924</v>
      </c>
      <c r="Q1941" s="1491" t="s">
        <v>2924</v>
      </c>
    </row>
    <row r="1942" spans="2:17" ht="30" x14ac:dyDescent="0.25">
      <c r="B1942" s="1493"/>
      <c r="C1942" s="1493" t="s">
        <v>49</v>
      </c>
      <c r="D1942" s="1493"/>
      <c r="E1942" s="562" t="s">
        <v>2925</v>
      </c>
      <c r="F1942" s="1494">
        <v>30818.799999999999</v>
      </c>
      <c r="G1942" s="1489"/>
      <c r="H1942" s="1489">
        <v>0</v>
      </c>
      <c r="I1942" s="1489"/>
      <c r="J1942" s="1489"/>
      <c r="K1942" s="1435" t="s">
        <v>2926</v>
      </c>
      <c r="L1942" s="1294" t="s">
        <v>14</v>
      </c>
      <c r="M1942" s="1489">
        <v>98.5</v>
      </c>
      <c r="N1942" s="1489">
        <v>99</v>
      </c>
      <c r="O1942" s="1489">
        <v>100</v>
      </c>
      <c r="P1942" s="1489">
        <v>100</v>
      </c>
      <c r="Q1942" s="1489">
        <v>100</v>
      </c>
    </row>
    <row r="1943" spans="2:17" ht="30" x14ac:dyDescent="0.25">
      <c r="B1943" s="1493"/>
      <c r="C1943" s="1493" t="s">
        <v>50</v>
      </c>
      <c r="D1943" s="1493"/>
      <c r="E1943" s="562" t="s">
        <v>2927</v>
      </c>
      <c r="F1943" s="1494">
        <v>93095.1</v>
      </c>
      <c r="G1943" s="1489">
        <v>99662.399999999994</v>
      </c>
      <c r="H1943" s="1489">
        <v>102062.39999999999</v>
      </c>
      <c r="I1943" s="1489">
        <v>102062.39999999999</v>
      </c>
      <c r="J1943" s="1489">
        <v>102062.39999999999</v>
      </c>
      <c r="K1943" s="628" t="s">
        <v>2928</v>
      </c>
      <c r="L1943" s="1294" t="s">
        <v>14</v>
      </c>
      <c r="M1943" s="1489">
        <v>99.9</v>
      </c>
      <c r="N1943" s="1489">
        <v>100</v>
      </c>
      <c r="O1943" s="1489">
        <v>100</v>
      </c>
      <c r="P1943" s="1489">
        <v>100</v>
      </c>
      <c r="Q1943" s="1489">
        <v>100</v>
      </c>
    </row>
    <row r="1944" spans="2:17" ht="73.5" x14ac:dyDescent="0.25">
      <c r="B1944" s="1492" t="s">
        <v>98</v>
      </c>
      <c r="C1944" s="1492"/>
      <c r="D1944" s="1492"/>
      <c r="E1944" s="486" t="s">
        <v>2929</v>
      </c>
      <c r="F1944" s="1456">
        <f>SUM(F1945:F1950)</f>
        <v>138425.9</v>
      </c>
      <c r="G1944" s="1456">
        <f>SUM(G1945:G1950)</f>
        <v>157002.70000000001</v>
      </c>
      <c r="H1944" s="1456">
        <f>SUM(H1945:H1950)</f>
        <v>140849.70000000001</v>
      </c>
      <c r="I1944" s="1456">
        <f>SUM(I1945:I1950)</f>
        <v>141549.20000000001</v>
      </c>
      <c r="J1944" s="1456">
        <f>SUM(J1945:J1950)</f>
        <v>140979.70000000001</v>
      </c>
      <c r="K1944" s="1437" t="s">
        <v>2911</v>
      </c>
      <c r="L1944" s="1295"/>
      <c r="M1944" s="1455"/>
      <c r="N1944" s="1455"/>
      <c r="O1944" s="1455"/>
      <c r="P1944" s="1455"/>
      <c r="Q1944" s="1455"/>
    </row>
    <row r="1945" spans="2:17" ht="30" x14ac:dyDescent="0.25">
      <c r="B1945" s="1493"/>
      <c r="C1945" s="1493" t="s">
        <v>2</v>
      </c>
      <c r="D1945" s="1493"/>
      <c r="E1945" s="562" t="s">
        <v>2930</v>
      </c>
      <c r="F1945" s="1494">
        <v>14010.8</v>
      </c>
      <c r="G1945" s="1489">
        <v>16260.8</v>
      </c>
      <c r="H1945" s="1489">
        <v>11407.4</v>
      </c>
      <c r="I1945" s="1489">
        <v>11407.4</v>
      </c>
      <c r="J1945" s="1489">
        <v>11407.4</v>
      </c>
      <c r="K1945" s="628" t="s">
        <v>2918</v>
      </c>
      <c r="L1945" s="1294" t="s">
        <v>1974</v>
      </c>
      <c r="M1945" s="1491" t="s">
        <v>2931</v>
      </c>
      <c r="N1945" s="1491" t="s">
        <v>2932</v>
      </c>
      <c r="O1945" s="1491" t="s">
        <v>2932</v>
      </c>
      <c r="P1945" s="1491" t="s">
        <v>2932</v>
      </c>
      <c r="Q1945" s="1491" t="s">
        <v>2932</v>
      </c>
    </row>
    <row r="1946" spans="2:17" ht="30" x14ac:dyDescent="0.25">
      <c r="B1946" s="1493"/>
      <c r="C1946" s="1493" t="s">
        <v>3</v>
      </c>
      <c r="D1946" s="1493"/>
      <c r="E1946" s="562" t="s">
        <v>2917</v>
      </c>
      <c r="F1946" s="1494">
        <v>16979.599999999999</v>
      </c>
      <c r="G1946" s="1489">
        <v>22106</v>
      </c>
      <c r="H1946" s="1489">
        <v>17720.400000000001</v>
      </c>
      <c r="I1946" s="1489">
        <v>17810.599999999999</v>
      </c>
      <c r="J1946" s="1489">
        <v>17800.400000000001</v>
      </c>
      <c r="K1946" s="628" t="s">
        <v>2918</v>
      </c>
      <c r="L1946" s="1294" t="s">
        <v>1974</v>
      </c>
      <c r="M1946" s="1491" t="s">
        <v>2933</v>
      </c>
      <c r="N1946" s="1491" t="s">
        <v>2916</v>
      </c>
      <c r="O1946" s="1491" t="s">
        <v>2916</v>
      </c>
      <c r="P1946" s="1491" t="s">
        <v>2916</v>
      </c>
      <c r="Q1946" s="1491" t="s">
        <v>2916</v>
      </c>
    </row>
    <row r="1947" spans="2:17" ht="30" x14ac:dyDescent="0.25">
      <c r="B1947" s="1493"/>
      <c r="C1947" s="1493" t="s">
        <v>4</v>
      </c>
      <c r="D1947" s="1493"/>
      <c r="E1947" s="562" t="s">
        <v>2934</v>
      </c>
      <c r="F1947" s="1494">
        <v>1610.7</v>
      </c>
      <c r="G1947" s="1489">
        <v>7631.5</v>
      </c>
      <c r="H1947" s="1489">
        <v>0</v>
      </c>
      <c r="I1947" s="1489"/>
      <c r="J1947" s="1489"/>
      <c r="K1947" s="628" t="s">
        <v>2913</v>
      </c>
      <c r="L1947" s="1294" t="s">
        <v>14</v>
      </c>
      <c r="M1947" s="1489">
        <v>91.5</v>
      </c>
      <c r="N1947" s="1489">
        <v>100</v>
      </c>
      <c r="O1947" s="1489">
        <v>100</v>
      </c>
      <c r="P1947" s="1489">
        <v>100</v>
      </c>
      <c r="Q1947" s="1489">
        <v>100</v>
      </c>
    </row>
    <row r="1948" spans="2:17" ht="30" x14ac:dyDescent="0.25">
      <c r="B1948" s="1493"/>
      <c r="C1948" s="1493" t="s">
        <v>5</v>
      </c>
      <c r="D1948" s="1493"/>
      <c r="E1948" s="562" t="s">
        <v>2935</v>
      </c>
      <c r="F1948" s="1494">
        <v>4178.1000000000004</v>
      </c>
      <c r="G1948" s="1489">
        <v>2625.1</v>
      </c>
      <c r="H1948" s="1489">
        <v>5742.6</v>
      </c>
      <c r="I1948" s="1489">
        <v>5742.6</v>
      </c>
      <c r="J1948" s="1489">
        <v>5792.6</v>
      </c>
      <c r="K1948" s="628" t="s">
        <v>2922</v>
      </c>
      <c r="L1948" s="1294" t="s">
        <v>2923</v>
      </c>
      <c r="M1948" s="1491" t="s">
        <v>2936</v>
      </c>
      <c r="N1948" s="1491" t="s">
        <v>2936</v>
      </c>
      <c r="O1948" s="1491" t="s">
        <v>2937</v>
      </c>
      <c r="P1948" s="1491" t="s">
        <v>2937</v>
      </c>
      <c r="Q1948" s="1491" t="s">
        <v>2937</v>
      </c>
    </row>
    <row r="1949" spans="2:17" ht="30" x14ac:dyDescent="0.25">
      <c r="B1949" s="1493"/>
      <c r="C1949" s="1493" t="s">
        <v>49</v>
      </c>
      <c r="D1949" s="1493"/>
      <c r="E1949" s="562" t="s">
        <v>2925</v>
      </c>
      <c r="F1949" s="1494">
        <v>71834.3</v>
      </c>
      <c r="G1949" s="1489">
        <v>85134.3</v>
      </c>
      <c r="H1949" s="1489">
        <v>82134.3</v>
      </c>
      <c r="I1949" s="1489">
        <v>82743.600000000006</v>
      </c>
      <c r="J1949" s="1489">
        <v>82134.3</v>
      </c>
      <c r="K1949" s="1435" t="s">
        <v>2926</v>
      </c>
      <c r="L1949" s="1294" t="s">
        <v>14</v>
      </c>
      <c r="M1949" s="1489">
        <v>98.5</v>
      </c>
      <c r="N1949" s="1489">
        <v>99</v>
      </c>
      <c r="O1949" s="1489">
        <v>100</v>
      </c>
      <c r="P1949" s="1489">
        <v>100</v>
      </c>
      <c r="Q1949" s="1489">
        <v>100</v>
      </c>
    </row>
    <row r="1950" spans="2:17" ht="30" x14ac:dyDescent="0.25">
      <c r="B1950" s="1493"/>
      <c r="C1950" s="1493" t="s">
        <v>50</v>
      </c>
      <c r="D1950" s="1493"/>
      <c r="E1950" s="562" t="s">
        <v>2938</v>
      </c>
      <c r="F1950" s="1494">
        <v>29812.400000000001</v>
      </c>
      <c r="G1950" s="1489">
        <v>23245</v>
      </c>
      <c r="H1950" s="1489">
        <v>23845</v>
      </c>
      <c r="I1950" s="1489">
        <v>23845</v>
      </c>
      <c r="J1950" s="1489">
        <v>23845</v>
      </c>
      <c r="K1950" s="628" t="s">
        <v>2928</v>
      </c>
      <c r="L1950" s="1294" t="s">
        <v>14</v>
      </c>
      <c r="M1950" s="1489">
        <v>100</v>
      </c>
      <c r="N1950" s="1489">
        <v>100</v>
      </c>
      <c r="O1950" s="1489">
        <v>100</v>
      </c>
      <c r="P1950" s="1489">
        <v>100</v>
      </c>
      <c r="Q1950" s="1489">
        <v>100</v>
      </c>
    </row>
    <row r="1951" spans="2:17" ht="44.25" x14ac:dyDescent="0.25">
      <c r="B1951" s="1492" t="s">
        <v>101</v>
      </c>
      <c r="C1951" s="1492"/>
      <c r="D1951" s="1492"/>
      <c r="E1951" s="582" t="s">
        <v>2939</v>
      </c>
      <c r="F1951" s="1495">
        <v>11263.8</v>
      </c>
      <c r="G1951" s="1456">
        <v>11263.8</v>
      </c>
      <c r="H1951" s="1456">
        <v>11263.8</v>
      </c>
      <c r="I1951" s="1456">
        <v>11263.8</v>
      </c>
      <c r="J1951" s="1456">
        <v>11263.8</v>
      </c>
      <c r="K1951" s="658" t="s">
        <v>2940</v>
      </c>
      <c r="L1951" s="1294" t="s">
        <v>979</v>
      </c>
      <c r="M1951" s="1489">
        <v>37</v>
      </c>
      <c r="N1951" s="1489">
        <v>37</v>
      </c>
      <c r="O1951" s="1489">
        <v>37</v>
      </c>
      <c r="P1951" s="1489">
        <v>37</v>
      </c>
      <c r="Q1951" s="1489">
        <v>37</v>
      </c>
    </row>
    <row r="1952" spans="2:17" ht="30" x14ac:dyDescent="0.25">
      <c r="B1952" s="1493"/>
      <c r="C1952" s="1493" t="s">
        <v>2</v>
      </c>
      <c r="D1952" s="1493"/>
      <c r="E1952" s="562" t="s">
        <v>2941</v>
      </c>
      <c r="F1952" s="1494">
        <v>11263.8</v>
      </c>
      <c r="G1952" s="1494">
        <v>11263.8</v>
      </c>
      <c r="H1952" s="1494">
        <v>11263.8</v>
      </c>
      <c r="I1952" s="1494">
        <v>11263.8</v>
      </c>
      <c r="J1952" s="1494">
        <v>11263.8</v>
      </c>
      <c r="K1952" s="628" t="s">
        <v>2942</v>
      </c>
      <c r="L1952" s="1496" t="s">
        <v>979</v>
      </c>
      <c r="M1952" s="1494">
        <v>37</v>
      </c>
      <c r="N1952" s="1494">
        <v>37</v>
      </c>
      <c r="O1952" s="1494">
        <v>37</v>
      </c>
      <c r="P1952" s="1494">
        <v>37</v>
      </c>
      <c r="Q1952" s="1494">
        <v>37</v>
      </c>
    </row>
    <row r="1953" spans="2:17" x14ac:dyDescent="0.25">
      <c r="B1953" s="1566" t="s">
        <v>291</v>
      </c>
      <c r="C1953" s="1567"/>
      <c r="D1953" s="1567"/>
      <c r="E1953" s="1568"/>
      <c r="F1953" s="1470">
        <f>SUM(F1951+F1944+F1937+F1930)</f>
        <v>396818.39999999997</v>
      </c>
      <c r="G1953" s="1470">
        <f>SUM(G1951+G1944+G1937+G1930)</f>
        <v>396818.4</v>
      </c>
      <c r="H1953" s="1470">
        <f>SUM(H1951+H1944+H1937+H1930)</f>
        <v>396818.4</v>
      </c>
      <c r="I1953" s="1470">
        <f>SUM(I1951+I1944+I1937+I1930)</f>
        <v>397517.9</v>
      </c>
      <c r="J1953" s="1470">
        <f>SUM(J1951+J1944+J1937+J1930)</f>
        <v>397337.1</v>
      </c>
      <c r="K1953" s="1497"/>
      <c r="L1953" s="1497"/>
      <c r="M1953" s="1497"/>
      <c r="N1953" s="1497"/>
      <c r="O1953" s="1497"/>
      <c r="P1953" s="1497"/>
      <c r="Q1953" s="1497"/>
    </row>
    <row r="1954" spans="2:17" ht="15.75" thickBot="1" x14ac:dyDescent="0.3">
      <c r="B1954" s="1658" t="s">
        <v>2943</v>
      </c>
      <c r="C1954" s="1659"/>
      <c r="D1954" s="1659"/>
      <c r="E1954" s="1659"/>
      <c r="F1954" s="1659"/>
      <c r="G1954" s="1659"/>
      <c r="H1954" s="1659"/>
      <c r="I1954" s="1659"/>
      <c r="J1954" s="1659"/>
      <c r="K1954" s="1659"/>
      <c r="L1954" s="1659"/>
      <c r="M1954" s="1659"/>
      <c r="N1954" s="1659"/>
      <c r="O1954" s="1659"/>
      <c r="P1954" s="1659"/>
      <c r="Q1954" s="1659"/>
    </row>
    <row r="1955" spans="2:17" ht="74.25" x14ac:dyDescent="0.25">
      <c r="B1955" s="1483">
        <v>1</v>
      </c>
      <c r="C1955" s="1488"/>
      <c r="D1955" s="1484"/>
      <c r="E1955" s="477" t="s">
        <v>2432</v>
      </c>
      <c r="F1955" s="1485">
        <v>15979.599999999999</v>
      </c>
      <c r="G1955" s="1485">
        <v>15934.7</v>
      </c>
      <c r="H1955" s="1485">
        <v>20150.099999999999</v>
      </c>
      <c r="I1955" s="1485">
        <v>19785.099999999999</v>
      </c>
      <c r="J1955" s="1485">
        <v>20124.7</v>
      </c>
      <c r="K1955" s="658" t="s">
        <v>2905</v>
      </c>
      <c r="L1955" s="1291" t="s">
        <v>14</v>
      </c>
      <c r="M1955" s="1291"/>
      <c r="N1955" s="1291"/>
      <c r="O1955" s="1291"/>
      <c r="P1955" s="1291"/>
      <c r="Q1955" s="1291"/>
    </row>
    <row r="1956" spans="2:17" x14ac:dyDescent="0.25">
      <c r="B1956" s="1498"/>
      <c r="C1956" s="1329">
        <v>1</v>
      </c>
      <c r="D1956" s="1488"/>
      <c r="E1956" s="719" t="s">
        <v>140</v>
      </c>
      <c r="F1956" s="1489">
        <v>2574.1</v>
      </c>
      <c r="G1956" s="1460">
        <v>2574</v>
      </c>
      <c r="H1956" s="1489">
        <v>3717.7</v>
      </c>
      <c r="I1956" s="1489">
        <v>3717.7</v>
      </c>
      <c r="J1956" s="1489">
        <v>3717.7</v>
      </c>
      <c r="K1956" s="628" t="s">
        <v>501</v>
      </c>
      <c r="L1956" s="1294" t="s">
        <v>15</v>
      </c>
      <c r="M1956" s="1295"/>
      <c r="N1956" s="1295"/>
      <c r="O1956" s="1295"/>
      <c r="P1956" s="1295"/>
      <c r="Q1956" s="1295"/>
    </row>
    <row r="1957" spans="2:17" ht="30" x14ac:dyDescent="0.25">
      <c r="B1957" s="1498"/>
      <c r="C1957" s="1490">
        <v>2</v>
      </c>
      <c r="D1957" s="1488"/>
      <c r="E1957" s="494" t="s">
        <v>2657</v>
      </c>
      <c r="F1957" s="1489">
        <v>2869.7</v>
      </c>
      <c r="G1957" s="1460">
        <v>2869.7</v>
      </c>
      <c r="H1957" s="1489">
        <v>4435.6000000000004</v>
      </c>
      <c r="I1957" s="1489">
        <v>4070.6</v>
      </c>
      <c r="J1957" s="1489">
        <v>4410.2</v>
      </c>
      <c r="K1957" s="628" t="s">
        <v>834</v>
      </c>
      <c r="L1957" s="1294" t="s">
        <v>14</v>
      </c>
      <c r="M1957" s="1499">
        <v>1</v>
      </c>
      <c r="N1957" s="1499">
        <v>1</v>
      </c>
      <c r="O1957" s="1499">
        <v>1</v>
      </c>
      <c r="P1957" s="1499">
        <v>1</v>
      </c>
      <c r="Q1957" s="1499">
        <v>1</v>
      </c>
    </row>
    <row r="1958" spans="2:17" ht="30" x14ac:dyDescent="0.25">
      <c r="B1958" s="1498"/>
      <c r="C1958" s="1490">
        <v>3</v>
      </c>
      <c r="D1958" s="1488"/>
      <c r="E1958" s="1387" t="s">
        <v>1212</v>
      </c>
      <c r="F1958" s="1489">
        <v>763</v>
      </c>
      <c r="G1958" s="1460">
        <v>763</v>
      </c>
      <c r="H1958" s="1489">
        <v>1280.7</v>
      </c>
      <c r="I1958" s="1489">
        <v>1280.7</v>
      </c>
      <c r="J1958" s="1489">
        <v>1280.7</v>
      </c>
      <c r="K1958" s="1388" t="s">
        <v>2795</v>
      </c>
      <c r="L1958" s="1294" t="s">
        <v>14</v>
      </c>
      <c r="M1958" s="1499">
        <v>1</v>
      </c>
      <c r="N1958" s="1499">
        <v>1</v>
      </c>
      <c r="O1958" s="1499">
        <v>1</v>
      </c>
      <c r="P1958" s="1499">
        <v>1</v>
      </c>
      <c r="Q1958" s="1499">
        <v>1</v>
      </c>
    </row>
    <row r="1959" spans="2:17" ht="30" x14ac:dyDescent="0.25">
      <c r="B1959" s="1498"/>
      <c r="C1959" s="1490">
        <v>4</v>
      </c>
      <c r="D1959" s="1488"/>
      <c r="E1959" s="1387" t="s">
        <v>241</v>
      </c>
      <c r="F1959" s="1489">
        <v>496.6</v>
      </c>
      <c r="G1959" s="1460">
        <v>496.6</v>
      </c>
      <c r="H1959" s="1489">
        <v>677</v>
      </c>
      <c r="I1959" s="1489">
        <v>677</v>
      </c>
      <c r="J1959" s="1489">
        <v>677</v>
      </c>
      <c r="K1959" s="1388" t="s">
        <v>1431</v>
      </c>
      <c r="L1959" s="1294" t="s">
        <v>2153</v>
      </c>
      <c r="M1959" s="1500"/>
      <c r="N1959" s="1500"/>
      <c r="O1959" s="1500"/>
      <c r="P1959" s="1500"/>
      <c r="Q1959" s="1500"/>
    </row>
    <row r="1960" spans="2:17" ht="45" x14ac:dyDescent="0.25">
      <c r="B1960" s="1498"/>
      <c r="C1960" s="1490">
        <v>5</v>
      </c>
      <c r="D1960" s="1488"/>
      <c r="E1960" s="527" t="s">
        <v>2667</v>
      </c>
      <c r="F1960" s="1489">
        <v>854.7</v>
      </c>
      <c r="G1960" s="1460">
        <v>854.7</v>
      </c>
      <c r="H1960" s="1489">
        <v>892.7</v>
      </c>
      <c r="I1960" s="1489">
        <v>892.7</v>
      </c>
      <c r="J1960" s="1489">
        <v>892.7</v>
      </c>
      <c r="K1960" s="628" t="s">
        <v>2877</v>
      </c>
      <c r="L1960" s="1294" t="s">
        <v>1073</v>
      </c>
      <c r="M1960" s="1295"/>
      <c r="N1960" s="1295"/>
      <c r="O1960" s="1295"/>
      <c r="P1960" s="1295"/>
      <c r="Q1960" s="1295"/>
    </row>
    <row r="1961" spans="2:17" ht="45" x14ac:dyDescent="0.25">
      <c r="B1961" s="1498"/>
      <c r="C1961" s="1459">
        <v>6</v>
      </c>
      <c r="D1961" s="1488"/>
      <c r="E1961" s="1192" t="s">
        <v>2524</v>
      </c>
      <c r="F1961" s="1489">
        <v>8421.5</v>
      </c>
      <c r="G1961" s="1460">
        <v>8376.7000000000007</v>
      </c>
      <c r="H1961" s="1489">
        <v>9146.4</v>
      </c>
      <c r="I1961" s="1489">
        <v>9146.4</v>
      </c>
      <c r="J1961" s="1489">
        <v>9146.4</v>
      </c>
      <c r="K1961" s="628" t="s">
        <v>2467</v>
      </c>
      <c r="L1961" s="1294" t="s">
        <v>14</v>
      </c>
      <c r="M1961" s="1295"/>
      <c r="N1961" s="1295"/>
      <c r="O1961" s="1295"/>
      <c r="P1961" s="1295"/>
      <c r="Q1961" s="1295"/>
    </row>
    <row r="1962" spans="2:17" ht="30" x14ac:dyDescent="0.25">
      <c r="B1962" s="1498"/>
      <c r="C1962" s="1459">
        <v>7</v>
      </c>
      <c r="D1962" s="1488"/>
      <c r="E1962" s="209" t="s">
        <v>2670</v>
      </c>
      <c r="F1962" s="1489"/>
      <c r="G1962" s="1489"/>
      <c r="H1962" s="1489">
        <v>0</v>
      </c>
      <c r="I1962" s="1489"/>
      <c r="J1962" s="1489"/>
      <c r="K1962" s="1294"/>
      <c r="L1962" s="1294"/>
      <c r="M1962" s="1295"/>
      <c r="N1962" s="1295"/>
      <c r="O1962" s="1295"/>
      <c r="P1962" s="1295"/>
      <c r="Q1962" s="1295"/>
    </row>
    <row r="1963" spans="2:17" x14ac:dyDescent="0.25">
      <c r="B1963" s="1498"/>
      <c r="C1963" s="1459">
        <v>8</v>
      </c>
      <c r="D1963" s="1488"/>
      <c r="E1963" s="495" t="s">
        <v>2798</v>
      </c>
      <c r="F1963" s="1489"/>
      <c r="G1963" s="1489"/>
      <c r="H1963" s="1489">
        <v>0</v>
      </c>
      <c r="I1963" s="1489"/>
      <c r="J1963" s="1489"/>
      <c r="K1963" s="1294"/>
      <c r="L1963" s="1294"/>
      <c r="M1963" s="1295"/>
      <c r="N1963" s="1295"/>
      <c r="O1963" s="1295"/>
      <c r="P1963" s="1295"/>
      <c r="Q1963" s="1295"/>
    </row>
    <row r="1964" spans="2:17" ht="102.75" x14ac:dyDescent="0.25">
      <c r="B1964" s="1492" t="s">
        <v>1421</v>
      </c>
      <c r="C1964" s="1493"/>
      <c r="D1964" s="1493"/>
      <c r="E1964" s="582" t="s">
        <v>2944</v>
      </c>
      <c r="F1964" s="1456">
        <v>79005</v>
      </c>
      <c r="G1964" s="1456">
        <v>78799.5</v>
      </c>
      <c r="H1964" s="1456">
        <v>76657.899999999994</v>
      </c>
      <c r="I1964" s="1456">
        <v>76681.2</v>
      </c>
      <c r="J1964" s="1456">
        <v>77140.600000000006</v>
      </c>
      <c r="K1964" s="486" t="s">
        <v>2945</v>
      </c>
      <c r="L1964" s="1294" t="s">
        <v>14</v>
      </c>
      <c r="M1964" s="1499">
        <v>1</v>
      </c>
      <c r="N1964" s="1499">
        <v>1</v>
      </c>
      <c r="O1964" s="1499">
        <v>1</v>
      </c>
      <c r="P1964" s="1499">
        <v>1</v>
      </c>
      <c r="Q1964" s="1499">
        <v>1</v>
      </c>
    </row>
    <row r="1965" spans="2:17" ht="30" x14ac:dyDescent="0.25">
      <c r="B1965" s="1492"/>
      <c r="C1965" s="1493" t="s">
        <v>2</v>
      </c>
      <c r="D1965" s="1493"/>
      <c r="E1965" s="562" t="s">
        <v>2946</v>
      </c>
      <c r="F1965" s="1494">
        <v>67567.5</v>
      </c>
      <c r="G1965" s="1460">
        <v>67402</v>
      </c>
      <c r="H1965" s="1489">
        <v>65415.7</v>
      </c>
      <c r="I1965" s="1489">
        <v>65415</v>
      </c>
      <c r="J1965" s="1489">
        <v>65820.100000000006</v>
      </c>
      <c r="K1965" s="589" t="s">
        <v>2947</v>
      </c>
      <c r="L1965" s="1294" t="s">
        <v>14</v>
      </c>
      <c r="M1965" s="1499">
        <v>0.9</v>
      </c>
      <c r="N1965" s="1499">
        <v>0.9</v>
      </c>
      <c r="O1965" s="1499">
        <v>0.9</v>
      </c>
      <c r="P1965" s="1499">
        <v>0.9</v>
      </c>
      <c r="Q1965" s="1499">
        <v>0.9</v>
      </c>
    </row>
    <row r="1966" spans="2:17" ht="45" x14ac:dyDescent="0.25">
      <c r="B1966" s="1492"/>
      <c r="C1966" s="1493" t="s">
        <v>3</v>
      </c>
      <c r="D1966" s="1493"/>
      <c r="E1966" s="562" t="s">
        <v>2948</v>
      </c>
      <c r="F1966" s="1494">
        <v>11437.5</v>
      </c>
      <c r="G1966" s="1460">
        <v>11397.5</v>
      </c>
      <c r="H1966" s="1489">
        <v>11242.2</v>
      </c>
      <c r="I1966" s="1489">
        <v>11266.2</v>
      </c>
      <c r="J1966" s="1489">
        <v>11320.5</v>
      </c>
      <c r="K1966" s="589" t="s">
        <v>2949</v>
      </c>
      <c r="L1966" s="1294" t="s">
        <v>14</v>
      </c>
      <c r="M1966" s="1499">
        <v>0.95</v>
      </c>
      <c r="N1966" s="1499">
        <v>0.95</v>
      </c>
      <c r="O1966" s="1499">
        <v>0.95</v>
      </c>
      <c r="P1966" s="1499">
        <v>0.95</v>
      </c>
      <c r="Q1966" s="1499">
        <v>0.95</v>
      </c>
    </row>
    <row r="1967" spans="2:17" ht="102.75" x14ac:dyDescent="0.25">
      <c r="B1967" s="1492" t="s">
        <v>1735</v>
      </c>
      <c r="C1967" s="1493"/>
      <c r="D1967" s="1493"/>
      <c r="E1967" s="582" t="s">
        <v>2950</v>
      </c>
      <c r="F1967" s="1456">
        <v>6488.3</v>
      </c>
      <c r="G1967" s="1456">
        <v>6738.7</v>
      </c>
      <c r="H1967" s="1456">
        <v>4664.8999999999996</v>
      </c>
      <c r="I1967" s="1456">
        <v>4672.1000000000004</v>
      </c>
      <c r="J1967" s="1456">
        <v>4688.2</v>
      </c>
      <c r="K1967" s="486" t="s">
        <v>2951</v>
      </c>
      <c r="L1967" s="1294" t="s">
        <v>14</v>
      </c>
      <c r="M1967" s="1499">
        <v>1</v>
      </c>
      <c r="N1967" s="1499">
        <v>1</v>
      </c>
      <c r="O1967" s="1499">
        <v>1</v>
      </c>
      <c r="P1967" s="1499">
        <v>1</v>
      </c>
      <c r="Q1967" s="1499">
        <v>1</v>
      </c>
    </row>
    <row r="1968" spans="2:17" ht="30.75" thickBot="1" x14ac:dyDescent="0.3">
      <c r="B1968" s="1492"/>
      <c r="C1968" s="1493" t="s">
        <v>2</v>
      </c>
      <c r="D1968" s="1493"/>
      <c r="E1968" s="562" t="s">
        <v>2952</v>
      </c>
      <c r="F1968" s="1494">
        <v>6488.3</v>
      </c>
      <c r="G1968" s="1501">
        <v>6738.7</v>
      </c>
      <c r="H1968" s="1489">
        <v>4664.8999999999996</v>
      </c>
      <c r="I1968" s="1489">
        <v>4672.1000000000004</v>
      </c>
      <c r="J1968" s="1489">
        <v>4688.2</v>
      </c>
      <c r="K1968" s="856" t="s">
        <v>2953</v>
      </c>
      <c r="L1968" s="1294" t="s">
        <v>14</v>
      </c>
      <c r="M1968" s="1499">
        <v>0.8</v>
      </c>
      <c r="N1968" s="1499">
        <v>0.8</v>
      </c>
      <c r="O1968" s="1499">
        <v>0.8</v>
      </c>
      <c r="P1968" s="1499">
        <v>0.8</v>
      </c>
      <c r="Q1968" s="1499">
        <v>0.8</v>
      </c>
    </row>
    <row r="1969" spans="2:17" ht="15.75" thickBot="1" x14ac:dyDescent="0.3">
      <c r="B1969" s="1566" t="s">
        <v>291</v>
      </c>
      <c r="C1969" s="1567"/>
      <c r="D1969" s="1567"/>
      <c r="E1969" s="1568"/>
      <c r="F1969" s="1502">
        <f>SUM(F1967+F1964+F1955)</f>
        <v>101472.9</v>
      </c>
      <c r="G1969" s="1502">
        <f>SUM(G1967+G1964+G1955)</f>
        <v>101472.9</v>
      </c>
      <c r="H1969" s="1502">
        <f>SUM(H1967+H1964+H1955)</f>
        <v>101472.9</v>
      </c>
      <c r="I1969" s="1502">
        <f>SUM(I1967+I1964+I1955)</f>
        <v>101138.4</v>
      </c>
      <c r="J1969" s="1502">
        <f>SUM(J1967+J1964+J1955)</f>
        <v>101953.5</v>
      </c>
      <c r="K1969" s="1503"/>
      <c r="L1969" s="1587"/>
      <c r="M1969" s="1587"/>
      <c r="N1969" s="1587"/>
      <c r="O1969" s="1587"/>
      <c r="P1969" s="1587"/>
      <c r="Q1969" s="1588"/>
    </row>
    <row r="1970" spans="2:17" ht="15.75" thickBot="1" x14ac:dyDescent="0.3">
      <c r="B1970" s="1589" t="s">
        <v>2954</v>
      </c>
      <c r="C1970" s="1590"/>
      <c r="D1970" s="1590"/>
      <c r="E1970" s="1590"/>
      <c r="F1970" s="1590"/>
      <c r="G1970" s="1590"/>
      <c r="H1970" s="1590"/>
      <c r="I1970" s="1590"/>
      <c r="J1970" s="1590"/>
      <c r="K1970" s="1590"/>
      <c r="L1970" s="1590"/>
      <c r="M1970" s="1590"/>
      <c r="N1970" s="1590"/>
      <c r="O1970" s="1590"/>
      <c r="P1970" s="1590"/>
      <c r="Q1970" s="1591"/>
    </row>
    <row r="1971" spans="2:17" ht="74.25" x14ac:dyDescent="0.25">
      <c r="B1971" s="1126">
        <v>1</v>
      </c>
      <c r="C1971" s="422"/>
      <c r="D1971" s="981"/>
      <c r="E1971" s="477" t="s">
        <v>2432</v>
      </c>
      <c r="F1971" s="627">
        <f>F1972+F1973+F1974+F1975+F1976+F1977+F1978</f>
        <v>7044.2</v>
      </c>
      <c r="G1971" s="627">
        <f>G1972+G1973+G1974+G1975+G1976+G1977+G1978</f>
        <v>7044.2</v>
      </c>
      <c r="H1971" s="627">
        <f>H1972+H1973+H1974+H1975+H1977</f>
        <v>7246.5</v>
      </c>
      <c r="I1971" s="627">
        <f>I1972+I1973+I1974+I1975+I1977</f>
        <v>7346.5</v>
      </c>
      <c r="J1971" s="627">
        <f>J1972+J1973+J1974+J1975+J1977</f>
        <v>7446.5</v>
      </c>
      <c r="K1971" s="658" t="s">
        <v>2905</v>
      </c>
      <c r="L1971" s="635" t="s">
        <v>14</v>
      </c>
      <c r="M1971" s="635">
        <v>48</v>
      </c>
      <c r="N1971" s="635">
        <v>48</v>
      </c>
      <c r="O1971" s="635">
        <v>48</v>
      </c>
      <c r="P1971" s="635">
        <v>48</v>
      </c>
      <c r="Q1971" s="635">
        <v>48</v>
      </c>
    </row>
    <row r="1972" spans="2:17" ht="30" x14ac:dyDescent="0.25">
      <c r="B1972" s="1249"/>
      <c r="C1972" s="1129">
        <v>1</v>
      </c>
      <c r="D1972" s="422"/>
      <c r="E1972" s="719" t="s">
        <v>140</v>
      </c>
      <c r="F1972" s="557">
        <v>1602</v>
      </c>
      <c r="G1972" s="557">
        <v>1602</v>
      </c>
      <c r="H1972" s="557">
        <v>1549.2</v>
      </c>
      <c r="I1972" s="557">
        <v>1549.2</v>
      </c>
      <c r="J1972" s="557">
        <v>1549.2</v>
      </c>
      <c r="K1972" s="495" t="s">
        <v>2955</v>
      </c>
      <c r="L1972" s="511" t="s">
        <v>14</v>
      </c>
      <c r="M1972" s="511">
        <v>98</v>
      </c>
      <c r="N1972" s="511">
        <v>98</v>
      </c>
      <c r="O1972" s="511">
        <v>98</v>
      </c>
      <c r="P1972" s="511">
        <v>98</v>
      </c>
      <c r="Q1972" s="511">
        <v>98</v>
      </c>
    </row>
    <row r="1973" spans="2:17" ht="30" x14ac:dyDescent="0.25">
      <c r="B1973" s="1249"/>
      <c r="C1973" s="423">
        <v>2</v>
      </c>
      <c r="D1973" s="422"/>
      <c r="E1973" s="494" t="s">
        <v>2666</v>
      </c>
      <c r="F1973" s="557">
        <v>1221</v>
      </c>
      <c r="G1973" s="557">
        <v>1221</v>
      </c>
      <c r="H1973" s="557">
        <v>1162.3</v>
      </c>
      <c r="I1973" s="557">
        <v>1162.3</v>
      </c>
      <c r="J1973" s="557">
        <v>1162.3</v>
      </c>
      <c r="K1973" s="628" t="s">
        <v>834</v>
      </c>
      <c r="L1973" s="511" t="s">
        <v>14</v>
      </c>
      <c r="M1973" s="511">
        <v>0</v>
      </c>
      <c r="N1973" s="511">
        <v>0</v>
      </c>
      <c r="O1973" s="511">
        <v>0</v>
      </c>
      <c r="P1973" s="511">
        <v>0</v>
      </c>
      <c r="Q1973" s="511">
        <v>0</v>
      </c>
    </row>
    <row r="1974" spans="2:17" ht="30" x14ac:dyDescent="0.25">
      <c r="B1974" s="1249"/>
      <c r="C1974" s="423">
        <v>3</v>
      </c>
      <c r="D1974" s="422"/>
      <c r="E1974" s="1387" t="s">
        <v>1212</v>
      </c>
      <c r="F1974" s="557">
        <v>445.6</v>
      </c>
      <c r="G1974" s="557">
        <v>445.6</v>
      </c>
      <c r="H1974" s="557">
        <v>466</v>
      </c>
      <c r="I1974" s="557">
        <v>466</v>
      </c>
      <c r="J1974" s="557">
        <v>466</v>
      </c>
      <c r="K1974" s="1504" t="s">
        <v>2956</v>
      </c>
      <c r="L1974" s="511" t="s">
        <v>14</v>
      </c>
      <c r="M1974" s="511">
        <v>100</v>
      </c>
      <c r="N1974" s="511">
        <v>100</v>
      </c>
      <c r="O1974" s="511">
        <v>100</v>
      </c>
      <c r="P1974" s="511">
        <v>100</v>
      </c>
      <c r="Q1974" s="511">
        <v>100</v>
      </c>
    </row>
    <row r="1975" spans="2:17" ht="30" x14ac:dyDescent="0.25">
      <c r="B1975" s="1249"/>
      <c r="C1975" s="423">
        <v>4</v>
      </c>
      <c r="D1975" s="422"/>
      <c r="E1975" s="1387" t="s">
        <v>241</v>
      </c>
      <c r="F1975" s="557">
        <v>367</v>
      </c>
      <c r="G1975" s="557">
        <v>367</v>
      </c>
      <c r="H1975" s="557">
        <v>352</v>
      </c>
      <c r="I1975" s="557">
        <v>352</v>
      </c>
      <c r="J1975" s="557">
        <v>352</v>
      </c>
      <c r="K1975" s="628" t="s">
        <v>2957</v>
      </c>
      <c r="L1975" s="511" t="s">
        <v>14</v>
      </c>
      <c r="M1975" s="511">
        <v>100</v>
      </c>
      <c r="N1975" s="511">
        <v>100</v>
      </c>
      <c r="O1975" s="511">
        <v>100</v>
      </c>
      <c r="P1975" s="511">
        <v>100</v>
      </c>
      <c r="Q1975" s="511">
        <v>100</v>
      </c>
    </row>
    <row r="1976" spans="2:17" ht="30" x14ac:dyDescent="0.25">
      <c r="B1976" s="1249"/>
      <c r="C1976" s="423">
        <v>5</v>
      </c>
      <c r="D1976" s="422"/>
      <c r="E1976" s="1190" t="s">
        <v>2958</v>
      </c>
      <c r="F1976" s="430"/>
      <c r="G1976" s="430"/>
      <c r="H1976" s="557">
        <v>0</v>
      </c>
      <c r="I1976" s="430"/>
      <c r="J1976" s="557"/>
      <c r="K1976" s="628"/>
      <c r="L1976" s="511" t="s">
        <v>16</v>
      </c>
      <c r="M1976" s="511">
        <v>0</v>
      </c>
      <c r="N1976" s="511">
        <v>0</v>
      </c>
      <c r="O1976" s="511">
        <v>0</v>
      </c>
      <c r="P1976" s="511">
        <v>0</v>
      </c>
      <c r="Q1976" s="511">
        <v>0</v>
      </c>
    </row>
    <row r="1977" spans="2:17" ht="45" x14ac:dyDescent="0.25">
      <c r="B1977" s="1249"/>
      <c r="C1977" s="424">
        <v>6</v>
      </c>
      <c r="D1977" s="422"/>
      <c r="E1977" s="1192" t="s">
        <v>2524</v>
      </c>
      <c r="F1977" s="557">
        <v>3408.6</v>
      </c>
      <c r="G1977" s="557">
        <v>3408.6</v>
      </c>
      <c r="H1977" s="557">
        <v>3717</v>
      </c>
      <c r="I1977" s="557">
        <v>3817</v>
      </c>
      <c r="J1977" s="557">
        <v>3917</v>
      </c>
      <c r="K1977" s="628" t="s">
        <v>1786</v>
      </c>
      <c r="L1977" s="511" t="s">
        <v>14</v>
      </c>
      <c r="M1977" s="511">
        <v>58</v>
      </c>
      <c r="N1977" s="511">
        <v>58</v>
      </c>
      <c r="O1977" s="511">
        <v>58</v>
      </c>
      <c r="P1977" s="511">
        <v>58</v>
      </c>
      <c r="Q1977" s="511">
        <v>58</v>
      </c>
    </row>
    <row r="1978" spans="2:17" ht="30" x14ac:dyDescent="0.25">
      <c r="B1978" s="1249"/>
      <c r="C1978" s="424">
        <v>7</v>
      </c>
      <c r="D1978" s="422"/>
      <c r="E1978" s="209" t="s">
        <v>2670</v>
      </c>
      <c r="F1978" s="430"/>
      <c r="G1978" s="430"/>
      <c r="H1978" s="557">
        <v>0</v>
      </c>
      <c r="I1978" s="430"/>
      <c r="J1978" s="557"/>
      <c r="K1978" s="628"/>
      <c r="L1978" s="511"/>
      <c r="M1978" s="583"/>
      <c r="N1978" s="583"/>
      <c r="O1978" s="583"/>
      <c r="P1978" s="583"/>
      <c r="Q1978" s="583"/>
    </row>
    <row r="1979" spans="2:17" x14ac:dyDescent="0.25">
      <c r="B1979" s="1249"/>
      <c r="C1979" s="424">
        <v>8</v>
      </c>
      <c r="D1979" s="422"/>
      <c r="E1979" s="495" t="s">
        <v>2798</v>
      </c>
      <c r="F1979" s="430"/>
      <c r="G1979" s="430"/>
      <c r="H1979" s="557">
        <v>0</v>
      </c>
      <c r="I1979" s="430"/>
      <c r="J1979" s="557"/>
      <c r="K1979" s="628"/>
      <c r="L1979" s="511"/>
      <c r="M1979" s="583"/>
      <c r="N1979" s="583"/>
      <c r="O1979" s="583"/>
      <c r="P1979" s="583"/>
      <c r="Q1979" s="583"/>
    </row>
    <row r="1980" spans="2:17" ht="60" x14ac:dyDescent="0.25">
      <c r="B1980" s="898" t="s">
        <v>91</v>
      </c>
      <c r="C1980" s="618"/>
      <c r="D1980" s="1505"/>
      <c r="E1980" s="658" t="s">
        <v>2959</v>
      </c>
      <c r="F1980" s="430">
        <f>F1981+F1982+F1983</f>
        <v>27891</v>
      </c>
      <c r="G1980" s="430">
        <f>G1981+G1982+G1983</f>
        <v>27891</v>
      </c>
      <c r="H1980" s="430">
        <f>H1981+H1982+H1983</f>
        <v>27688.7</v>
      </c>
      <c r="I1980" s="430">
        <v>27688.7</v>
      </c>
      <c r="J1980" s="430">
        <f>J1981+J1982+J1983</f>
        <v>27994.7</v>
      </c>
      <c r="K1980" s="495" t="s">
        <v>2960</v>
      </c>
      <c r="L1980" s="511" t="s">
        <v>2923</v>
      </c>
      <c r="M1980" s="495" t="s">
        <v>2961</v>
      </c>
      <c r="N1980" s="495" t="s">
        <v>2961</v>
      </c>
      <c r="O1980" s="495" t="s">
        <v>2961</v>
      </c>
      <c r="P1980" s="495" t="s">
        <v>2961</v>
      </c>
      <c r="Q1980" s="495" t="s">
        <v>2961</v>
      </c>
    </row>
    <row r="1981" spans="2:17" ht="30" x14ac:dyDescent="0.25">
      <c r="B1981" s="425"/>
      <c r="C1981" s="618" t="s">
        <v>2</v>
      </c>
      <c r="D1981" s="1506"/>
      <c r="E1981" s="495" t="s">
        <v>2962</v>
      </c>
      <c r="F1981" s="559">
        <v>6121.7</v>
      </c>
      <c r="G1981" s="559">
        <v>6121.7</v>
      </c>
      <c r="H1981" s="559">
        <v>5805.7</v>
      </c>
      <c r="I1981" s="557">
        <v>5805.7</v>
      </c>
      <c r="J1981" s="557">
        <v>5960.7</v>
      </c>
      <c r="K1981" s="495" t="s">
        <v>2963</v>
      </c>
      <c r="L1981" s="511" t="s">
        <v>2923</v>
      </c>
      <c r="M1981" s="495" t="s">
        <v>2964</v>
      </c>
      <c r="N1981" s="495" t="s">
        <v>2964</v>
      </c>
      <c r="O1981" s="495" t="s">
        <v>2964</v>
      </c>
      <c r="P1981" s="495" t="s">
        <v>2964</v>
      </c>
      <c r="Q1981" s="495" t="s">
        <v>2964</v>
      </c>
    </row>
    <row r="1982" spans="2:17" ht="30" x14ac:dyDescent="0.25">
      <c r="B1982" s="425"/>
      <c r="C1982" s="618" t="s">
        <v>3</v>
      </c>
      <c r="D1982" s="1506"/>
      <c r="E1982" s="495" t="s">
        <v>2965</v>
      </c>
      <c r="F1982" s="559">
        <v>1024.7</v>
      </c>
      <c r="G1982" s="559">
        <v>1024.7</v>
      </c>
      <c r="H1982" s="559">
        <v>1113</v>
      </c>
      <c r="I1982" s="559">
        <v>1113</v>
      </c>
      <c r="J1982" s="559">
        <v>1113</v>
      </c>
      <c r="K1982" s="495" t="s">
        <v>2966</v>
      </c>
      <c r="L1982" s="511" t="s">
        <v>2923</v>
      </c>
      <c r="M1982" s="511" t="s">
        <v>2967</v>
      </c>
      <c r="N1982" s="511" t="s">
        <v>2967</v>
      </c>
      <c r="O1982" s="511" t="s">
        <v>2967</v>
      </c>
      <c r="P1982" s="511" t="s">
        <v>2967</v>
      </c>
      <c r="Q1982" s="511" t="s">
        <v>2967</v>
      </c>
    </row>
    <row r="1983" spans="2:17" ht="30" x14ac:dyDescent="0.25">
      <c r="B1983" s="425"/>
      <c r="C1983" s="618" t="s">
        <v>4</v>
      </c>
      <c r="D1983" s="1506"/>
      <c r="E1983" s="495" t="s">
        <v>2968</v>
      </c>
      <c r="F1983" s="559">
        <v>20744.599999999999</v>
      </c>
      <c r="G1983" s="559">
        <v>20744.599999999999</v>
      </c>
      <c r="H1983" s="559">
        <v>20770</v>
      </c>
      <c r="I1983" s="559">
        <v>20770</v>
      </c>
      <c r="J1983" s="559">
        <v>20921</v>
      </c>
      <c r="K1983" s="495" t="s">
        <v>2969</v>
      </c>
      <c r="L1983" s="644" t="s">
        <v>14</v>
      </c>
      <c r="M1983" s="641" t="s">
        <v>2970</v>
      </c>
      <c r="N1983" s="641" t="s">
        <v>2970</v>
      </c>
      <c r="O1983" s="641" t="s">
        <v>2970</v>
      </c>
      <c r="P1983" s="641" t="s">
        <v>2970</v>
      </c>
      <c r="Q1983" s="641" t="s">
        <v>2970</v>
      </c>
    </row>
    <row r="1984" spans="2:17" x14ac:dyDescent="0.25">
      <c r="B1984" s="1566" t="s">
        <v>291</v>
      </c>
      <c r="C1984" s="1567"/>
      <c r="D1984" s="1567"/>
      <c r="E1984" s="1568"/>
      <c r="F1984" s="934">
        <f>F1980+F1971</f>
        <v>34935.199999999997</v>
      </c>
      <c r="G1984" s="934">
        <f>G1980+G1971</f>
        <v>34935.199999999997</v>
      </c>
      <c r="H1984" s="934">
        <f>H1980+H1971</f>
        <v>34935.199999999997</v>
      </c>
      <c r="I1984" s="934">
        <f>I1980+I1971</f>
        <v>35035.199999999997</v>
      </c>
      <c r="J1984" s="934">
        <f>J1980+J1971</f>
        <v>35441.199999999997</v>
      </c>
      <c r="K1984" s="822"/>
      <c r="L1984" s="1572"/>
      <c r="M1984" s="1572"/>
      <c r="N1984" s="1572"/>
      <c r="O1984" s="1572"/>
      <c r="P1984" s="1572"/>
      <c r="Q1984" s="1572"/>
    </row>
    <row r="1985" spans="2:17" x14ac:dyDescent="0.25">
      <c r="B1985" s="1573" t="s">
        <v>2971</v>
      </c>
      <c r="C1985" s="1573"/>
      <c r="D1985" s="1573"/>
      <c r="E1985" s="1573"/>
      <c r="F1985" s="1573"/>
      <c r="G1985" s="1573"/>
      <c r="H1985" s="1573"/>
      <c r="I1985" s="1573"/>
      <c r="J1985" s="1573"/>
      <c r="K1985" s="1573"/>
      <c r="L1985" s="1573"/>
      <c r="M1985" s="1573"/>
      <c r="N1985" s="1573"/>
      <c r="O1985" s="1573"/>
      <c r="P1985" s="1573"/>
      <c r="Q1985" s="1573"/>
    </row>
    <row r="1986" spans="2:17" ht="57" x14ac:dyDescent="0.25">
      <c r="B1986" s="1507">
        <v>1</v>
      </c>
      <c r="C1986" s="213"/>
      <c r="D1986" s="213"/>
      <c r="E1986" s="1508" t="s">
        <v>2972</v>
      </c>
      <c r="F1986" s="227">
        <f>SUM(F1987:F1991)</f>
        <v>14819.5</v>
      </c>
      <c r="G1986" s="227">
        <v>14984</v>
      </c>
      <c r="H1986" s="227">
        <f>H1987+H1988+H1989+H1990+H1991</f>
        <v>10689.6</v>
      </c>
      <c r="I1986" s="227">
        <v>10730.4</v>
      </c>
      <c r="J1986" s="227">
        <v>10730.4</v>
      </c>
      <c r="K1986" s="658" t="s">
        <v>2905</v>
      </c>
      <c r="L1986" s="454" t="s">
        <v>14</v>
      </c>
      <c r="M1986" s="454">
        <v>33.700000000000003</v>
      </c>
      <c r="N1986" s="454">
        <v>33.700000000000003</v>
      </c>
      <c r="O1986" s="454">
        <v>33.700000000000003</v>
      </c>
      <c r="P1986" s="454">
        <v>33.700000000000003</v>
      </c>
      <c r="Q1986" s="454">
        <v>33.700000000000003</v>
      </c>
    </row>
    <row r="1987" spans="2:17" x14ac:dyDescent="0.25">
      <c r="B1987" s="343"/>
      <c r="C1987" s="691">
        <v>1</v>
      </c>
      <c r="D1987" s="213"/>
      <c r="E1987" s="719" t="s">
        <v>140</v>
      </c>
      <c r="F1987" s="226">
        <v>2510.6999999999998</v>
      </c>
      <c r="G1987" s="226">
        <v>2488.9</v>
      </c>
      <c r="H1987" s="226">
        <f>120+20.4+86.4+1242+214.2+645.6</f>
        <v>2328.6</v>
      </c>
      <c r="I1987" s="226"/>
      <c r="J1987" s="226"/>
      <c r="K1987" s="628" t="s">
        <v>501</v>
      </c>
      <c r="L1987" s="210" t="s">
        <v>15</v>
      </c>
      <c r="M1987" s="210">
        <v>0.92</v>
      </c>
      <c r="N1987" s="210">
        <v>0.92</v>
      </c>
      <c r="O1987" s="210">
        <v>0.92</v>
      </c>
      <c r="P1987" s="210">
        <v>0.92</v>
      </c>
      <c r="Q1987" s="210">
        <v>0.92</v>
      </c>
    </row>
    <row r="1988" spans="2:17" ht="30" x14ac:dyDescent="0.25">
      <c r="B1988" s="343"/>
      <c r="C1988" s="324">
        <v>2</v>
      </c>
      <c r="D1988" s="213"/>
      <c r="E1988" s="494" t="s">
        <v>2666</v>
      </c>
      <c r="F1988" s="421">
        <v>9049</v>
      </c>
      <c r="G1988" s="421">
        <v>9214.7000000000007</v>
      </c>
      <c r="H1988" s="421">
        <f>70+11.9+30+713+121.2+857.3+634.2+1332.2+54.3</f>
        <v>3824.1000000000004</v>
      </c>
      <c r="I1988" s="421"/>
      <c r="J1988" s="421"/>
      <c r="K1988" s="628" t="s">
        <v>834</v>
      </c>
      <c r="L1988" s="210" t="s">
        <v>14</v>
      </c>
      <c r="M1988" s="210">
        <v>100</v>
      </c>
      <c r="N1988" s="210">
        <v>100</v>
      </c>
      <c r="O1988" s="210">
        <v>100</v>
      </c>
      <c r="P1988" s="210">
        <v>100</v>
      </c>
      <c r="Q1988" s="210">
        <v>100</v>
      </c>
    </row>
    <row r="1989" spans="2:17" ht="30" x14ac:dyDescent="0.25">
      <c r="B1989" s="343"/>
      <c r="C1989" s="324">
        <v>3</v>
      </c>
      <c r="D1989" s="213"/>
      <c r="E1989" s="1387" t="s">
        <v>1212</v>
      </c>
      <c r="F1989" s="226">
        <v>422.1</v>
      </c>
      <c r="G1989" s="226">
        <v>675</v>
      </c>
      <c r="H1989" s="226">
        <f>30+5.1+377.7+64.2</f>
        <v>477</v>
      </c>
      <c r="I1989" s="226"/>
      <c r="J1989" s="226"/>
      <c r="K1989" s="1388" t="s">
        <v>2795</v>
      </c>
      <c r="L1989" s="210" t="s">
        <v>14</v>
      </c>
      <c r="M1989" s="210"/>
      <c r="N1989" s="210"/>
      <c r="O1989" s="210"/>
      <c r="P1989" s="210"/>
      <c r="Q1989" s="210"/>
    </row>
    <row r="1990" spans="2:17" ht="30" x14ac:dyDescent="0.25">
      <c r="B1990" s="343"/>
      <c r="C1990" s="324">
        <v>4</v>
      </c>
      <c r="D1990" s="213"/>
      <c r="E1990" s="1387" t="s">
        <v>241</v>
      </c>
      <c r="F1990" s="226">
        <v>798.9</v>
      </c>
      <c r="G1990" s="226">
        <v>798.9</v>
      </c>
      <c r="H1990" s="226">
        <v>854.2</v>
      </c>
      <c r="I1990" s="226"/>
      <c r="J1990" s="226"/>
      <c r="K1990" s="1388" t="s">
        <v>1431</v>
      </c>
      <c r="L1990" s="210" t="s">
        <v>2153</v>
      </c>
      <c r="M1990" s="210"/>
      <c r="N1990" s="210"/>
      <c r="O1990" s="210"/>
      <c r="P1990" s="210"/>
      <c r="Q1990" s="210"/>
    </row>
    <row r="1991" spans="2:17" ht="45" x14ac:dyDescent="0.25">
      <c r="B1991" s="343"/>
      <c r="C1991" s="1255">
        <v>6</v>
      </c>
      <c r="D1991" s="213"/>
      <c r="E1991" s="1192" t="s">
        <v>2524</v>
      </c>
      <c r="F1991" s="226">
        <v>2038.8</v>
      </c>
      <c r="G1991" s="226">
        <v>1806.5</v>
      </c>
      <c r="H1991" s="226">
        <f>270+47.2+90+1717.5+291.9+789.1</f>
        <v>3205.7</v>
      </c>
      <c r="I1991" s="226"/>
      <c r="J1991" s="226"/>
      <c r="K1991" s="628" t="s">
        <v>1786</v>
      </c>
      <c r="L1991" s="210" t="s">
        <v>14</v>
      </c>
      <c r="M1991" s="210">
        <v>16</v>
      </c>
      <c r="N1991" s="210">
        <v>16</v>
      </c>
      <c r="O1991" s="210">
        <v>16</v>
      </c>
      <c r="P1991" s="210">
        <v>16</v>
      </c>
      <c r="Q1991" s="210">
        <v>16</v>
      </c>
    </row>
    <row r="1992" spans="2:17" ht="44.25" x14ac:dyDescent="0.25">
      <c r="B1992" s="217" t="s">
        <v>91</v>
      </c>
      <c r="C1992" s="218"/>
      <c r="D1992" s="218"/>
      <c r="E1992" s="1195" t="s">
        <v>2973</v>
      </c>
      <c r="F1992" s="221">
        <f>SUM(F1993:F1993)</f>
        <v>25843.8</v>
      </c>
      <c r="G1992" s="221">
        <f>SUM(G1993:G1993)</f>
        <v>25687.1</v>
      </c>
      <c r="H1992" s="221">
        <f>H1993</f>
        <v>49360.7</v>
      </c>
      <c r="I1992" s="221">
        <v>30055.1</v>
      </c>
      <c r="J1992" s="221">
        <v>30132.9</v>
      </c>
      <c r="K1992" s="1509" t="s">
        <v>2974</v>
      </c>
      <c r="L1992" s="210" t="s">
        <v>14</v>
      </c>
      <c r="M1992" s="210">
        <v>100</v>
      </c>
      <c r="N1992" s="210">
        <v>100</v>
      </c>
      <c r="O1992" s="210">
        <v>100</v>
      </c>
      <c r="P1992" s="210">
        <v>100</v>
      </c>
      <c r="Q1992" s="210">
        <v>100</v>
      </c>
    </row>
    <row r="1993" spans="2:17" ht="30" x14ac:dyDescent="0.25">
      <c r="B1993" s="218"/>
      <c r="C1993" s="344" t="s">
        <v>2</v>
      </c>
      <c r="D1993" s="218"/>
      <c r="E1993" s="1198" t="s">
        <v>2975</v>
      </c>
      <c r="F1993" s="229">
        <v>25843.8</v>
      </c>
      <c r="G1993" s="229">
        <v>25687.1</v>
      </c>
      <c r="H1993" s="229">
        <v>49360.7</v>
      </c>
      <c r="I1993" s="229">
        <v>30055.1</v>
      </c>
      <c r="J1993" s="229">
        <v>30132.9</v>
      </c>
      <c r="K1993" s="1510" t="s">
        <v>2976</v>
      </c>
      <c r="L1993" s="211" t="s">
        <v>2977</v>
      </c>
      <c r="M1993" s="1511">
        <v>9500</v>
      </c>
      <c r="N1993" s="1511">
        <v>9500</v>
      </c>
      <c r="O1993" s="1511">
        <v>9500</v>
      </c>
      <c r="P1993" s="1511">
        <v>9500</v>
      </c>
      <c r="Q1993" s="1511">
        <v>9600</v>
      </c>
    </row>
    <row r="1994" spans="2:17" x14ac:dyDescent="0.25">
      <c r="B1994" s="1566" t="s">
        <v>291</v>
      </c>
      <c r="C1994" s="1567"/>
      <c r="D1994" s="1567"/>
      <c r="E1994" s="1568"/>
      <c r="F1994" s="685">
        <f>F1986+F1992</f>
        <v>40663.300000000003</v>
      </c>
      <c r="G1994" s="685">
        <f>G1986+G1992</f>
        <v>40671.1</v>
      </c>
      <c r="H1994" s="685">
        <f>H1986+H1992</f>
        <v>60050.299999999996</v>
      </c>
      <c r="I1994" s="685">
        <f>I1986+I1992</f>
        <v>40785.5</v>
      </c>
      <c r="J1994" s="685">
        <f>J1986+J1992</f>
        <v>40863.300000000003</v>
      </c>
      <c r="K1994" s="827"/>
      <c r="L1994" s="1592"/>
      <c r="M1994" s="1592"/>
      <c r="N1994" s="1592"/>
      <c r="O1994" s="1592"/>
      <c r="P1994" s="1592"/>
      <c r="Q1994" s="1592"/>
    </row>
    <row r="1995" spans="2:17" x14ac:dyDescent="0.25">
      <c r="B1995" s="1573" t="s">
        <v>2978</v>
      </c>
      <c r="C1995" s="1573"/>
      <c r="D1995" s="1573"/>
      <c r="E1995" s="1573"/>
      <c r="F1995" s="1573"/>
      <c r="G1995" s="1573"/>
      <c r="H1995" s="1573"/>
      <c r="I1995" s="1573"/>
      <c r="J1995" s="1573"/>
      <c r="K1995" s="1573"/>
      <c r="L1995" s="1573"/>
      <c r="M1995" s="1573"/>
      <c r="N1995" s="1573"/>
      <c r="O1995" s="1573"/>
      <c r="P1995" s="1573"/>
      <c r="Q1995" s="1573"/>
    </row>
    <row r="1996" spans="2:17" ht="74.25" x14ac:dyDescent="0.25">
      <c r="B1996" s="1512" t="s">
        <v>102</v>
      </c>
      <c r="C1996" s="1513"/>
      <c r="D1996" s="1514"/>
      <c r="E1996" s="477" t="s">
        <v>2432</v>
      </c>
      <c r="F1996" s="1515">
        <f>F1997+F1998+F1999</f>
        <v>1784.8999999999999</v>
      </c>
      <c r="G1996" s="1515">
        <f>G1997+G1998+G1999</f>
        <v>3092.3</v>
      </c>
      <c r="H1996" s="1515">
        <f>H1997+H1998+H1999</f>
        <v>3092.3</v>
      </c>
      <c r="I1996" s="1515">
        <f>I1997+I1998+I1999</f>
        <v>3617.6</v>
      </c>
      <c r="J1996" s="1515">
        <f>J1997+J1998+J1999</f>
        <v>3617.6</v>
      </c>
      <c r="K1996" s="1516"/>
      <c r="L1996" s="1517"/>
      <c r="M1996" s="1517"/>
      <c r="N1996" s="1513"/>
      <c r="O1996" s="1513"/>
      <c r="P1996" s="1513"/>
      <c r="Q1996" s="1513"/>
    </row>
    <row r="1997" spans="2:17" x14ac:dyDescent="0.25">
      <c r="B1997" s="1518"/>
      <c r="C1997" s="1519" t="s">
        <v>2</v>
      </c>
      <c r="D1997" s="1520"/>
      <c r="E1997" s="719" t="s">
        <v>140</v>
      </c>
      <c r="F1997" s="1521">
        <v>506.8</v>
      </c>
      <c r="G1997" s="1521">
        <v>691.8</v>
      </c>
      <c r="H1997" s="1521">
        <v>691.8</v>
      </c>
      <c r="I1997" s="1521">
        <v>1420.7</v>
      </c>
      <c r="J1997" s="1521">
        <v>1420.7</v>
      </c>
      <c r="K1997" s="589" t="s">
        <v>501</v>
      </c>
      <c r="L1997" s="1517" t="s">
        <v>14</v>
      </c>
      <c r="M1997" s="1517">
        <v>100</v>
      </c>
      <c r="N1997" s="1517">
        <v>100</v>
      </c>
      <c r="O1997" s="1517">
        <v>100</v>
      </c>
      <c r="P1997" s="1517">
        <v>100</v>
      </c>
      <c r="Q1997" s="1517">
        <v>100</v>
      </c>
    </row>
    <row r="1998" spans="2:17" ht="30" x14ac:dyDescent="0.25">
      <c r="B1998" s="1518"/>
      <c r="C1998" s="1519" t="s">
        <v>3</v>
      </c>
      <c r="D1998" s="1520"/>
      <c r="E1998" s="494" t="s">
        <v>2666</v>
      </c>
      <c r="F1998" s="1521">
        <v>1167</v>
      </c>
      <c r="G1998" s="1521">
        <v>487.3</v>
      </c>
      <c r="H1998" s="1521">
        <v>487.3</v>
      </c>
      <c r="I1998" s="1521">
        <v>800</v>
      </c>
      <c r="J1998" s="1521">
        <v>800</v>
      </c>
      <c r="K1998" s="628" t="s">
        <v>834</v>
      </c>
      <c r="L1998" s="511" t="s">
        <v>14</v>
      </c>
      <c r="M1998" s="1160">
        <v>100</v>
      </c>
      <c r="N1998" s="1160">
        <v>100</v>
      </c>
      <c r="O1998" s="1160">
        <v>100</v>
      </c>
      <c r="P1998" s="1160">
        <v>100</v>
      </c>
      <c r="Q1998" s="1160">
        <v>100</v>
      </c>
    </row>
    <row r="1999" spans="2:17" ht="30" x14ac:dyDescent="0.25">
      <c r="B1999" s="1518"/>
      <c r="C1999" s="1519" t="s">
        <v>4</v>
      </c>
      <c r="D1999" s="1520"/>
      <c r="E1999" s="1192" t="s">
        <v>2524</v>
      </c>
      <c r="F1999" s="1521">
        <v>111.1</v>
      </c>
      <c r="G1999" s="1521">
        <v>1913.2</v>
      </c>
      <c r="H1999" s="1521">
        <v>1913.2</v>
      </c>
      <c r="I1999" s="1521">
        <v>1396.9</v>
      </c>
      <c r="J1999" s="1521">
        <v>1396.9</v>
      </c>
      <c r="K1999" s="628" t="s">
        <v>2979</v>
      </c>
      <c r="L1999" s="511" t="s">
        <v>14</v>
      </c>
      <c r="M1999" s="1160">
        <v>100</v>
      </c>
      <c r="N1999" s="1160">
        <v>100</v>
      </c>
      <c r="O1999" s="1160">
        <v>100</v>
      </c>
      <c r="P1999" s="1160">
        <v>100</v>
      </c>
      <c r="Q1999" s="1160">
        <v>100</v>
      </c>
    </row>
    <row r="2000" spans="2:17" ht="72" x14ac:dyDescent="0.25">
      <c r="B2000" s="1594" t="s">
        <v>91</v>
      </c>
      <c r="C2000" s="1596"/>
      <c r="D2000" s="1654"/>
      <c r="E2000" s="1522" t="s">
        <v>2980</v>
      </c>
      <c r="F2000" s="1585"/>
      <c r="G2000" s="1585">
        <f>G2002+G2003+G2004+G2005+G2006+G2007+G2008</f>
        <v>15954.600000000002</v>
      </c>
      <c r="H2000" s="1585">
        <f>H2002+H2003+H2004+H2005+H2006+H2007+H2008</f>
        <v>15954.600000000002</v>
      </c>
      <c r="I2000" s="1585">
        <f>I2002+I2003+I2004+I2005+I2006+I2007+I2008</f>
        <v>15445.9</v>
      </c>
      <c r="J2000" s="1585">
        <f>J2002+J2003+J2004+J2005+J2006+J2007+J2008</f>
        <v>15483.1</v>
      </c>
      <c r="K2000" s="1593"/>
      <c r="L2000" s="1593"/>
      <c r="M2000" s="1657"/>
      <c r="N2000" s="1593"/>
      <c r="O2000" s="1593"/>
      <c r="P2000" s="1593"/>
      <c r="Q2000" s="426"/>
    </row>
    <row r="2001" spans="2:17" ht="60" x14ac:dyDescent="0.25">
      <c r="B2001" s="1595"/>
      <c r="C2001" s="1596"/>
      <c r="D2001" s="1654"/>
      <c r="E2001" s="1523" t="s">
        <v>2981</v>
      </c>
      <c r="F2001" s="1586"/>
      <c r="G2001" s="1586"/>
      <c r="H2001" s="1586"/>
      <c r="I2001" s="1586"/>
      <c r="J2001" s="1586"/>
      <c r="K2001" s="1593"/>
      <c r="L2001" s="1593"/>
      <c r="M2001" s="1657"/>
      <c r="N2001" s="1593"/>
      <c r="O2001" s="1593"/>
      <c r="P2001" s="1593"/>
      <c r="Q2001" s="427"/>
    </row>
    <row r="2002" spans="2:17" x14ac:dyDescent="0.25">
      <c r="B2002" s="1524"/>
      <c r="C2002" s="1525" t="s">
        <v>2</v>
      </c>
      <c r="D2002" s="1526"/>
      <c r="E2002" s="1527" t="s">
        <v>2982</v>
      </c>
      <c r="F2002" s="1521"/>
      <c r="G2002" s="1521">
        <v>6389.2</v>
      </c>
      <c r="H2002" s="1521">
        <v>6389.2</v>
      </c>
      <c r="I2002" s="1521">
        <v>6256.1</v>
      </c>
      <c r="J2002" s="1521">
        <v>6293.7</v>
      </c>
      <c r="K2002" s="628" t="s">
        <v>2983</v>
      </c>
      <c r="L2002" s="511" t="s">
        <v>1073</v>
      </c>
      <c r="M2002" s="511">
        <v>20000</v>
      </c>
      <c r="N2002" s="511">
        <v>50000</v>
      </c>
      <c r="O2002" s="511">
        <v>60000</v>
      </c>
      <c r="P2002" s="511">
        <v>30000</v>
      </c>
      <c r="Q2002" s="511">
        <v>30000</v>
      </c>
    </row>
    <row r="2003" spans="2:17" ht="90" x14ac:dyDescent="0.25">
      <c r="B2003" s="1513"/>
      <c r="C2003" s="1519" t="s">
        <v>3</v>
      </c>
      <c r="D2003" s="1528"/>
      <c r="E2003" s="1524" t="s">
        <v>2984</v>
      </c>
      <c r="F2003" s="1521"/>
      <c r="G2003" s="1521">
        <v>2904</v>
      </c>
      <c r="H2003" s="1521">
        <v>2904</v>
      </c>
      <c r="I2003" s="1521">
        <v>2700</v>
      </c>
      <c r="J2003" s="1521">
        <v>2700</v>
      </c>
      <c r="K2003" s="1529" t="s">
        <v>2985</v>
      </c>
      <c r="L2003" s="511" t="s">
        <v>1073</v>
      </c>
      <c r="M2003" s="487">
        <v>25000</v>
      </c>
      <c r="N2003" s="487">
        <v>25000</v>
      </c>
      <c r="O2003" s="487">
        <v>5000</v>
      </c>
      <c r="P2003" s="487">
        <v>25000</v>
      </c>
      <c r="Q2003" s="487">
        <v>25000</v>
      </c>
    </row>
    <row r="2004" spans="2:17" ht="45" x14ac:dyDescent="0.25">
      <c r="B2004" s="1513"/>
      <c r="C2004" s="1519" t="s">
        <v>4</v>
      </c>
      <c r="D2004" s="1528"/>
      <c r="E2004" s="1530" t="s">
        <v>2986</v>
      </c>
      <c r="F2004" s="1521"/>
      <c r="G2004" s="1521">
        <v>2079</v>
      </c>
      <c r="H2004" s="1521">
        <v>2079</v>
      </c>
      <c r="I2004" s="1521">
        <v>1900</v>
      </c>
      <c r="J2004" s="1521">
        <v>1900</v>
      </c>
      <c r="K2004" s="1529" t="s">
        <v>2987</v>
      </c>
      <c r="L2004" s="511" t="s">
        <v>1073</v>
      </c>
      <c r="M2004" s="914">
        <v>10000</v>
      </c>
      <c r="N2004" s="557">
        <v>20000</v>
      </c>
      <c r="O2004" s="557">
        <v>20000</v>
      </c>
      <c r="P2004" s="557">
        <v>30000</v>
      </c>
      <c r="Q2004" s="557">
        <v>30000</v>
      </c>
    </row>
    <row r="2005" spans="2:17" ht="60" x14ac:dyDescent="0.25">
      <c r="B2005" s="1513"/>
      <c r="C2005" s="1519" t="s">
        <v>5</v>
      </c>
      <c r="D2005" s="1528"/>
      <c r="E2005" s="1530" t="s">
        <v>2988</v>
      </c>
      <c r="F2005" s="1521"/>
      <c r="G2005" s="1521">
        <v>2297.6</v>
      </c>
      <c r="H2005" s="1521">
        <v>2297.6</v>
      </c>
      <c r="I2005" s="1521">
        <v>2200</v>
      </c>
      <c r="J2005" s="1521">
        <v>2200</v>
      </c>
      <c r="K2005" s="495" t="s">
        <v>2989</v>
      </c>
      <c r="L2005" s="511" t="s">
        <v>1073</v>
      </c>
      <c r="M2005" s="330">
        <v>1</v>
      </c>
      <c r="N2005" s="330">
        <v>2</v>
      </c>
      <c r="O2005" s="330">
        <v>2</v>
      </c>
      <c r="P2005" s="330">
        <v>2</v>
      </c>
      <c r="Q2005" s="330">
        <v>2</v>
      </c>
    </row>
    <row r="2006" spans="2:17" ht="90" x14ac:dyDescent="0.25">
      <c r="B2006" s="1513"/>
      <c r="C2006" s="1519" t="s">
        <v>49</v>
      </c>
      <c r="D2006" s="1528"/>
      <c r="E2006" s="1530" t="s">
        <v>2990</v>
      </c>
      <c r="F2006" s="1521"/>
      <c r="G2006" s="1521">
        <v>1472.5</v>
      </c>
      <c r="H2006" s="1521">
        <v>1472.5</v>
      </c>
      <c r="I2006" s="1521">
        <v>1000</v>
      </c>
      <c r="J2006" s="1521">
        <v>1000</v>
      </c>
      <c r="K2006" s="495" t="s">
        <v>2991</v>
      </c>
      <c r="L2006" s="511" t="s">
        <v>14</v>
      </c>
      <c r="M2006" s="557">
        <v>80</v>
      </c>
      <c r="N2006" s="557">
        <v>100</v>
      </c>
      <c r="O2006" s="557">
        <v>100</v>
      </c>
      <c r="P2006" s="557">
        <v>100</v>
      </c>
      <c r="Q2006" s="557">
        <v>100</v>
      </c>
    </row>
    <row r="2007" spans="2:17" ht="30" x14ac:dyDescent="0.25">
      <c r="B2007" s="1513"/>
      <c r="C2007" s="1519" t="s">
        <v>50</v>
      </c>
      <c r="D2007" s="1528"/>
      <c r="E2007" s="1524" t="s">
        <v>2992</v>
      </c>
      <c r="F2007" s="1521"/>
      <c r="G2007" s="1521">
        <v>531.1</v>
      </c>
      <c r="H2007" s="1521">
        <v>531.1</v>
      </c>
      <c r="I2007" s="1521">
        <v>800</v>
      </c>
      <c r="J2007" s="1521">
        <v>800.6</v>
      </c>
      <c r="K2007" s="628" t="s">
        <v>2983</v>
      </c>
      <c r="L2007" s="511" t="s">
        <v>1073</v>
      </c>
      <c r="M2007" s="1163">
        <v>20000</v>
      </c>
      <c r="N2007" s="1163">
        <v>50000</v>
      </c>
      <c r="O2007" s="1163">
        <v>60000</v>
      </c>
      <c r="P2007" s="1163">
        <v>50000</v>
      </c>
      <c r="Q2007" s="1163">
        <v>50000</v>
      </c>
    </row>
    <row r="2008" spans="2:17" ht="75" x14ac:dyDescent="0.25">
      <c r="B2008" s="1513"/>
      <c r="C2008" s="1519" t="s">
        <v>51</v>
      </c>
      <c r="D2008" s="1528"/>
      <c r="E2008" s="1524" t="s">
        <v>2993</v>
      </c>
      <c r="F2008" s="1521"/>
      <c r="G2008" s="1521">
        <v>281.2</v>
      </c>
      <c r="H2008" s="1521">
        <v>281.2</v>
      </c>
      <c r="I2008" s="1521">
        <v>589.79999999999995</v>
      </c>
      <c r="J2008" s="1521">
        <v>588.79999999999995</v>
      </c>
      <c r="K2008" s="1531" t="s">
        <v>2994</v>
      </c>
      <c r="L2008" s="1180" t="s">
        <v>14</v>
      </c>
      <c r="M2008" s="1180">
        <v>60</v>
      </c>
      <c r="N2008" s="1180">
        <v>100</v>
      </c>
      <c r="O2008" s="1180">
        <v>100</v>
      </c>
      <c r="P2008" s="1180">
        <v>100</v>
      </c>
      <c r="Q2008" s="1180">
        <v>100</v>
      </c>
    </row>
    <row r="2009" spans="2:17" x14ac:dyDescent="0.25">
      <c r="B2009" s="1566" t="s">
        <v>291</v>
      </c>
      <c r="C2009" s="1567"/>
      <c r="D2009" s="1567"/>
      <c r="E2009" s="1568"/>
      <c r="F2009" s="1532">
        <f>F1996+F2000</f>
        <v>1784.8999999999999</v>
      </c>
      <c r="G2009" s="1532">
        <f>G1996+G2000</f>
        <v>19046.900000000001</v>
      </c>
      <c r="H2009" s="1532">
        <f>H1996+H2000</f>
        <v>19046.900000000001</v>
      </c>
      <c r="I2009" s="1532">
        <f>I1996+I2000</f>
        <v>19063.5</v>
      </c>
      <c r="J2009" s="1532">
        <f>J1996+J2000</f>
        <v>19100.7</v>
      </c>
      <c r="K2009" s="847"/>
      <c r="L2009" s="134"/>
      <c r="M2009" s="920"/>
      <c r="N2009" s="920"/>
      <c r="O2009" s="832"/>
      <c r="P2009" s="920"/>
      <c r="Q2009" s="920"/>
    </row>
    <row r="2010" spans="2:17" x14ac:dyDescent="0.25">
      <c r="B2010" s="1589" t="s">
        <v>2995</v>
      </c>
      <c r="C2010" s="1590"/>
      <c r="D2010" s="1590"/>
      <c r="E2010" s="1590"/>
      <c r="F2010" s="1570"/>
      <c r="G2010" s="1570"/>
      <c r="H2010" s="1570"/>
      <c r="I2010" s="1570"/>
      <c r="J2010" s="1570"/>
      <c r="K2010" s="1570"/>
      <c r="L2010" s="1570"/>
      <c r="M2010" s="1570"/>
      <c r="N2010" s="1570"/>
      <c r="O2010" s="1570"/>
      <c r="P2010" s="1570"/>
      <c r="Q2010" s="1570"/>
    </row>
    <row r="2011" spans="2:17" ht="74.25" x14ac:dyDescent="0.25">
      <c r="B2011" s="1512" t="s">
        <v>102</v>
      </c>
      <c r="C2011" s="1513"/>
      <c r="D2011" s="1514"/>
      <c r="E2011" s="477" t="s">
        <v>2432</v>
      </c>
      <c r="F2011" s="1515"/>
      <c r="G2011" s="1515"/>
      <c r="H2011" s="1515">
        <f>H2012+H2013</f>
        <v>7059.1</v>
      </c>
      <c r="I2011" s="1515"/>
      <c r="J2011" s="1515"/>
      <c r="K2011" s="1516"/>
      <c r="L2011" s="1517"/>
      <c r="M2011" s="1517"/>
      <c r="N2011" s="1513"/>
      <c r="O2011" s="1513"/>
      <c r="P2011" s="1513"/>
      <c r="Q2011" s="1513"/>
    </row>
    <row r="2012" spans="2:17" ht="30" x14ac:dyDescent="0.25">
      <c r="B2012" s="1518"/>
      <c r="C2012" s="1525" t="s">
        <v>3</v>
      </c>
      <c r="D2012" s="1514"/>
      <c r="E2012" s="494" t="s">
        <v>2666</v>
      </c>
      <c r="F2012" s="1521"/>
      <c r="G2012" s="1521"/>
      <c r="H2012" s="1521">
        <f>864.6+149.2+2200+155.3+48.5+1900</f>
        <v>5317.6</v>
      </c>
      <c r="I2012" s="1521"/>
      <c r="J2012" s="1521"/>
      <c r="K2012" s="1524"/>
      <c r="L2012" s="511"/>
      <c r="M2012" s="1160"/>
      <c r="N2012" s="1160"/>
      <c r="O2012" s="1160"/>
      <c r="P2012" s="1160"/>
      <c r="Q2012" s="1160"/>
    </row>
    <row r="2013" spans="2:17" ht="30" x14ac:dyDescent="0.25">
      <c r="B2013" s="1518"/>
      <c r="C2013" s="1519" t="s">
        <v>4</v>
      </c>
      <c r="D2013" s="1514"/>
      <c r="E2013" s="1192" t="s">
        <v>2996</v>
      </c>
      <c r="F2013" s="1521"/>
      <c r="G2013" s="1521"/>
      <c r="H2013" s="1521">
        <f>331.5+57.2+650+51.7+16.1+635</f>
        <v>1741.5</v>
      </c>
      <c r="I2013" s="1521"/>
      <c r="J2013" s="1521"/>
      <c r="K2013" s="628"/>
      <c r="L2013" s="511"/>
      <c r="M2013" s="1160"/>
      <c r="N2013" s="1160"/>
      <c r="O2013" s="1160"/>
      <c r="P2013" s="1160"/>
      <c r="Q2013" s="1160"/>
    </row>
    <row r="2014" spans="2:17" x14ac:dyDescent="0.25">
      <c r="B2014" s="1594" t="s">
        <v>91</v>
      </c>
      <c r="C2014" s="1653"/>
      <c r="D2014" s="1654"/>
      <c r="E2014" s="1655" t="s">
        <v>2997</v>
      </c>
      <c r="F2014" s="1585"/>
      <c r="G2014" s="1585"/>
      <c r="H2014" s="1585">
        <f>H2016</f>
        <v>28885.8</v>
      </c>
      <c r="I2014" s="1585"/>
      <c r="J2014" s="1585"/>
      <c r="K2014" s="1593"/>
      <c r="L2014" s="1593"/>
      <c r="M2014" s="1657"/>
      <c r="N2014" s="1593"/>
      <c r="O2014" s="1593"/>
      <c r="P2014" s="1593"/>
      <c r="Q2014" s="426"/>
    </row>
    <row r="2015" spans="2:17" x14ac:dyDescent="0.25">
      <c r="B2015" s="1595"/>
      <c r="C2015" s="1653"/>
      <c r="D2015" s="1654"/>
      <c r="E2015" s="1656"/>
      <c r="F2015" s="1586"/>
      <c r="G2015" s="1586"/>
      <c r="H2015" s="1586"/>
      <c r="I2015" s="1586"/>
      <c r="J2015" s="1586"/>
      <c r="K2015" s="1593"/>
      <c r="L2015" s="1593"/>
      <c r="M2015" s="1657"/>
      <c r="N2015" s="1593"/>
      <c r="O2015" s="1593"/>
      <c r="P2015" s="1593"/>
      <c r="Q2015" s="427"/>
    </row>
    <row r="2016" spans="2:17" ht="90" x14ac:dyDescent="0.25">
      <c r="B2016" s="1524"/>
      <c r="C2016" s="1519" t="s">
        <v>2</v>
      </c>
      <c r="D2016" s="1526"/>
      <c r="E2016" s="1533" t="s">
        <v>2998</v>
      </c>
      <c r="F2016" s="1521"/>
      <c r="G2016" s="1521"/>
      <c r="H2016" s="1521">
        <f>6098.3+1051.9+10483.4+828.5+258.7+10165</f>
        <v>28885.8</v>
      </c>
      <c r="I2016" s="1521"/>
      <c r="J2016" s="1521"/>
      <c r="K2016" s="628"/>
      <c r="L2016" s="511"/>
      <c r="M2016" s="511"/>
      <c r="N2016" s="511"/>
      <c r="O2016" s="511"/>
      <c r="P2016" s="511"/>
      <c r="Q2016" s="511"/>
    </row>
    <row r="2017" spans="2:17" x14ac:dyDescent="0.25">
      <c r="B2017" s="1564" t="s">
        <v>291</v>
      </c>
      <c r="C2017" s="1564"/>
      <c r="D2017" s="1564"/>
      <c r="E2017" s="1564"/>
      <c r="F2017" s="1532">
        <f>F2011+F2014</f>
        <v>0</v>
      </c>
      <c r="G2017" s="1532">
        <f>G2011+G2014</f>
        <v>0</v>
      </c>
      <c r="H2017" s="1532">
        <f>H2011+H2014</f>
        <v>35944.9</v>
      </c>
      <c r="I2017" s="1532">
        <f>I2011+I2014</f>
        <v>0</v>
      </c>
      <c r="J2017" s="1532">
        <f>J2011+J2014</f>
        <v>0</v>
      </c>
      <c r="K2017" s="847"/>
      <c r="L2017" s="134"/>
      <c r="M2017" s="920"/>
      <c r="N2017" s="920"/>
      <c r="O2017" s="832"/>
      <c r="P2017" s="920"/>
      <c r="Q2017" s="920"/>
    </row>
    <row r="2019" spans="2:17" x14ac:dyDescent="0.25">
      <c r="H2019" s="88">
        <f>H39+H44+H49+H55+H89+H117+H144+H169+H218+H232+H240+H263+H280+H299+H341+H355+H364+H431+H532+H555+H627+H645+H663+H670+H740+H776+H839+H856+H861+H992+H1013+H1066+H1073+H1088+H1095+H1131+H1150+H1165+H1182+H1197+H1216+H1230+H1326+H1352+H1455+H1506+H1524+H1558+H1573+H1593+H1635+H1650+H1669+H1689+H1714+H1727+H1736+H1741+H1747+H1761+H1792+H1814+H1830+H1843+H1857+H1871+H1875+H1895+H1899+H1917+H1923+H1927+H1953+H1969+H1984+H1994+H2009+H2017</f>
        <v>151482071.53</v>
      </c>
    </row>
    <row r="2021" spans="2:17" x14ac:dyDescent="0.25">
      <c r="G2021" s="88" t="s">
        <v>2999</v>
      </c>
      <c r="H2021" s="88">
        <v>151482071.53</v>
      </c>
      <c r="I2021" s="88">
        <v>179722488.90000001</v>
      </c>
      <c r="J2021" s="88">
        <v>12848636.040000003</v>
      </c>
    </row>
    <row r="2022" spans="2:17" x14ac:dyDescent="0.25">
      <c r="I2022" s="88">
        <v>15391781.330000002</v>
      </c>
    </row>
    <row r="2024" spans="2:17" x14ac:dyDescent="0.25">
      <c r="H2024" s="88">
        <f>H2021-H2019</f>
        <v>0</v>
      </c>
    </row>
  </sheetData>
  <mergeCells count="2738">
    <mergeCell ref="A6:F6"/>
    <mergeCell ref="P771:P772"/>
    <mergeCell ref="Q771:Q772"/>
    <mergeCell ref="B776:E776"/>
    <mergeCell ref="B68:B84"/>
    <mergeCell ref="B771:B772"/>
    <mergeCell ref="C771:C772"/>
    <mergeCell ref="D771:D772"/>
    <mergeCell ref="E771:E772"/>
    <mergeCell ref="F771:F772"/>
    <mergeCell ref="G771:G772"/>
    <mergeCell ref="H771:H772"/>
    <mergeCell ref="I771:I772"/>
    <mergeCell ref="J771:J772"/>
    <mergeCell ref="B769:B770"/>
    <mergeCell ref="C769:C770"/>
    <mergeCell ref="D769:D770"/>
    <mergeCell ref="E769:E770"/>
    <mergeCell ref="F769:F770"/>
    <mergeCell ref="G769:G770"/>
    <mergeCell ref="H769:H770"/>
    <mergeCell ref="I769:I770"/>
    <mergeCell ref="J769:J770"/>
    <mergeCell ref="B758:B768"/>
    <mergeCell ref="C758:C768"/>
    <mergeCell ref="D758:D768"/>
    <mergeCell ref="E758:E768"/>
    <mergeCell ref="F758:F768"/>
    <mergeCell ref="G758:G768"/>
    <mergeCell ref="H758:H768"/>
    <mergeCell ref="I758:I768"/>
    <mergeCell ref="J758:J768"/>
    <mergeCell ref="K771:K772"/>
    <mergeCell ref="L771:L772"/>
    <mergeCell ref="M771:M772"/>
    <mergeCell ref="N771:N772"/>
    <mergeCell ref="O771:O772"/>
    <mergeCell ref="B749:B751"/>
    <mergeCell ref="C749:C751"/>
    <mergeCell ref="D749:D751"/>
    <mergeCell ref="E749:E751"/>
    <mergeCell ref="F749:F751"/>
    <mergeCell ref="G749:G751"/>
    <mergeCell ref="H749:H751"/>
    <mergeCell ref="I749:I751"/>
    <mergeCell ref="J749:J751"/>
    <mergeCell ref="B755:B756"/>
    <mergeCell ref="C755:C756"/>
    <mergeCell ref="D755:D756"/>
    <mergeCell ref="E755:E756"/>
    <mergeCell ref="F755:F756"/>
    <mergeCell ref="G755:G756"/>
    <mergeCell ref="H755:H756"/>
    <mergeCell ref="I755:I756"/>
    <mergeCell ref="J755:J756"/>
    <mergeCell ref="B744:B745"/>
    <mergeCell ref="C744:C745"/>
    <mergeCell ref="D744:D745"/>
    <mergeCell ref="E744:E745"/>
    <mergeCell ref="F744:F745"/>
    <mergeCell ref="G744:G745"/>
    <mergeCell ref="H744:H745"/>
    <mergeCell ref="I744:I745"/>
    <mergeCell ref="J744:J745"/>
    <mergeCell ref="B747:B748"/>
    <mergeCell ref="C747:C748"/>
    <mergeCell ref="D747:D748"/>
    <mergeCell ref="E747:E748"/>
    <mergeCell ref="F747:F748"/>
    <mergeCell ref="G747:G748"/>
    <mergeCell ref="H747:H748"/>
    <mergeCell ref="I747:I748"/>
    <mergeCell ref="J747:J748"/>
    <mergeCell ref="K737:K738"/>
    <mergeCell ref="L737:L738"/>
    <mergeCell ref="M737:M738"/>
    <mergeCell ref="N737:N738"/>
    <mergeCell ref="O737:O738"/>
    <mergeCell ref="P737:P738"/>
    <mergeCell ref="Q737:Q738"/>
    <mergeCell ref="A740:E740"/>
    <mergeCell ref="A741:Q741"/>
    <mergeCell ref="B737:B738"/>
    <mergeCell ref="C737:C738"/>
    <mergeCell ref="D737:D738"/>
    <mergeCell ref="E737:E738"/>
    <mergeCell ref="F737:F738"/>
    <mergeCell ref="G737:G738"/>
    <mergeCell ref="H737:H738"/>
    <mergeCell ref="I737:I738"/>
    <mergeCell ref="J737:J738"/>
    <mergeCell ref="B728:B731"/>
    <mergeCell ref="C728:C731"/>
    <mergeCell ref="D728:D731"/>
    <mergeCell ref="E728:E731"/>
    <mergeCell ref="F728:F731"/>
    <mergeCell ref="G728:G731"/>
    <mergeCell ref="H728:H731"/>
    <mergeCell ref="I728:I731"/>
    <mergeCell ref="J728:J731"/>
    <mergeCell ref="B732:B733"/>
    <mergeCell ref="C732:C733"/>
    <mergeCell ref="D732:D733"/>
    <mergeCell ref="E732:E733"/>
    <mergeCell ref="F732:F733"/>
    <mergeCell ref="G732:G733"/>
    <mergeCell ref="H732:H733"/>
    <mergeCell ref="I732:I733"/>
    <mergeCell ref="J732:J733"/>
    <mergeCell ref="K723:K724"/>
    <mergeCell ref="L723:L724"/>
    <mergeCell ref="M723:M724"/>
    <mergeCell ref="N723:N724"/>
    <mergeCell ref="O723:O724"/>
    <mergeCell ref="P723:P724"/>
    <mergeCell ref="Q723:Q724"/>
    <mergeCell ref="B726:B727"/>
    <mergeCell ref="C726:C727"/>
    <mergeCell ref="D726:D727"/>
    <mergeCell ref="E726:E727"/>
    <mergeCell ref="F726:F727"/>
    <mergeCell ref="G726:G727"/>
    <mergeCell ref="H726:H727"/>
    <mergeCell ref="I726:I727"/>
    <mergeCell ref="J726:J727"/>
    <mergeCell ref="K726:K727"/>
    <mergeCell ref="L726:L727"/>
    <mergeCell ref="M726:M727"/>
    <mergeCell ref="N726:N727"/>
    <mergeCell ref="O726:O727"/>
    <mergeCell ref="P726:P727"/>
    <mergeCell ref="Q726:Q727"/>
    <mergeCell ref="B723:B724"/>
    <mergeCell ref="C723:C724"/>
    <mergeCell ref="D723:D724"/>
    <mergeCell ref="E723:E724"/>
    <mergeCell ref="F723:F724"/>
    <mergeCell ref="G723:G724"/>
    <mergeCell ref="H723:H724"/>
    <mergeCell ref="I723:I724"/>
    <mergeCell ref="J723:J724"/>
    <mergeCell ref="B721:B722"/>
    <mergeCell ref="C721:C722"/>
    <mergeCell ref="D721:D722"/>
    <mergeCell ref="E721:E722"/>
    <mergeCell ref="F721:F722"/>
    <mergeCell ref="G721:G722"/>
    <mergeCell ref="H721:H722"/>
    <mergeCell ref="I721:I722"/>
    <mergeCell ref="J721:J722"/>
    <mergeCell ref="K716:K717"/>
    <mergeCell ref="L716:L717"/>
    <mergeCell ref="M716:M717"/>
    <mergeCell ref="N716:N717"/>
    <mergeCell ref="O716:O717"/>
    <mergeCell ref="P716:P717"/>
    <mergeCell ref="Q716:Q717"/>
    <mergeCell ref="B719:B720"/>
    <mergeCell ref="C719:C720"/>
    <mergeCell ref="D719:D720"/>
    <mergeCell ref="E719:E720"/>
    <mergeCell ref="F719:F720"/>
    <mergeCell ref="G719:G720"/>
    <mergeCell ref="H719:H720"/>
    <mergeCell ref="I719:I720"/>
    <mergeCell ref="J719:J720"/>
    <mergeCell ref="B713:B717"/>
    <mergeCell ref="C713:C717"/>
    <mergeCell ref="D713:D717"/>
    <mergeCell ref="E713:E717"/>
    <mergeCell ref="F713:F717"/>
    <mergeCell ref="G713:G717"/>
    <mergeCell ref="H713:H717"/>
    <mergeCell ref="I713:I717"/>
    <mergeCell ref="B706:B707"/>
    <mergeCell ref="C706:C707"/>
    <mergeCell ref="D706:D707"/>
    <mergeCell ref="E706:E707"/>
    <mergeCell ref="F706:F707"/>
    <mergeCell ref="G706:G707"/>
    <mergeCell ref="H706:H707"/>
    <mergeCell ref="I706:I707"/>
    <mergeCell ref="J706:J707"/>
    <mergeCell ref="J713:J717"/>
    <mergeCell ref="B708:B709"/>
    <mergeCell ref="C708:C709"/>
    <mergeCell ref="D708:D709"/>
    <mergeCell ref="E708:E709"/>
    <mergeCell ref="F708:F709"/>
    <mergeCell ref="G708:G709"/>
    <mergeCell ref="H708:H709"/>
    <mergeCell ref="I708:I709"/>
    <mergeCell ref="J708:J709"/>
    <mergeCell ref="P698:P701"/>
    <mergeCell ref="Q698:Q701"/>
    <mergeCell ref="B702:B703"/>
    <mergeCell ref="C702:C703"/>
    <mergeCell ref="D702:D703"/>
    <mergeCell ref="E702:E703"/>
    <mergeCell ref="F702:F703"/>
    <mergeCell ref="H702:J703"/>
    <mergeCell ref="K702:K703"/>
    <mergeCell ref="L702:L703"/>
    <mergeCell ref="M702:M703"/>
    <mergeCell ref="N702:N703"/>
    <mergeCell ref="O702:O703"/>
    <mergeCell ref="P702:P703"/>
    <mergeCell ref="Q702:Q703"/>
    <mergeCell ref="B698:B701"/>
    <mergeCell ref="C698:C701"/>
    <mergeCell ref="D698:D701"/>
    <mergeCell ref="E698:E701"/>
    <mergeCell ref="B690:B693"/>
    <mergeCell ref="C690:C693"/>
    <mergeCell ref="D690:D693"/>
    <mergeCell ref="E690:E693"/>
    <mergeCell ref="F690:F693"/>
    <mergeCell ref="G690:G693"/>
    <mergeCell ref="F698:F701"/>
    <mergeCell ref="G698:G701"/>
    <mergeCell ref="H698:H701"/>
    <mergeCell ref="I698:I701"/>
    <mergeCell ref="J698:J701"/>
    <mergeCell ref="K690:K692"/>
    <mergeCell ref="M690:M692"/>
    <mergeCell ref="N690:N692"/>
    <mergeCell ref="O690:O692"/>
    <mergeCell ref="H690:H693"/>
    <mergeCell ref="I690:I693"/>
    <mergeCell ref="J690:J693"/>
    <mergeCell ref="K698:K701"/>
    <mergeCell ref="L698:L701"/>
    <mergeCell ref="M698:M701"/>
    <mergeCell ref="N698:N701"/>
    <mergeCell ref="O698:O701"/>
    <mergeCell ref="K682:K683"/>
    <mergeCell ref="L682:L683"/>
    <mergeCell ref="M682:M683"/>
    <mergeCell ref="N682:N683"/>
    <mergeCell ref="O682:O683"/>
    <mergeCell ref="P682:P683"/>
    <mergeCell ref="Q682:Q683"/>
    <mergeCell ref="K688:K689"/>
    <mergeCell ref="L688:L689"/>
    <mergeCell ref="M688:M689"/>
    <mergeCell ref="N688:N689"/>
    <mergeCell ref="O688:O689"/>
    <mergeCell ref="P688:P689"/>
    <mergeCell ref="Q688:Q689"/>
    <mergeCell ref="P690:P692"/>
    <mergeCell ref="Q690:Q692"/>
    <mergeCell ref="B695:B696"/>
    <mergeCell ref="C695:C696"/>
    <mergeCell ref="D695:D696"/>
    <mergeCell ref="E695:E696"/>
    <mergeCell ref="F695:F696"/>
    <mergeCell ref="G695:G696"/>
    <mergeCell ref="H695:H696"/>
    <mergeCell ref="I695:I696"/>
    <mergeCell ref="J695:J696"/>
    <mergeCell ref="K695:K696"/>
    <mergeCell ref="L695:L696"/>
    <mergeCell ref="M695:M696"/>
    <mergeCell ref="N695:N696"/>
    <mergeCell ref="O695:O696"/>
    <mergeCell ref="P695:P696"/>
    <mergeCell ref="Q695:Q696"/>
    <mergeCell ref="B673:B678"/>
    <mergeCell ref="C673:C678"/>
    <mergeCell ref="D673:D678"/>
    <mergeCell ref="E673:E678"/>
    <mergeCell ref="F673:F678"/>
    <mergeCell ref="G673:G678"/>
    <mergeCell ref="H673:H678"/>
    <mergeCell ref="I673:I678"/>
    <mergeCell ref="J673:J678"/>
    <mergeCell ref="B682:B689"/>
    <mergeCell ref="C682:C689"/>
    <mergeCell ref="D682:D689"/>
    <mergeCell ref="E682:E689"/>
    <mergeCell ref="F682:F689"/>
    <mergeCell ref="G682:G689"/>
    <mergeCell ref="H682:H689"/>
    <mergeCell ref="I682:I689"/>
    <mergeCell ref="J682:J689"/>
    <mergeCell ref="B634:B635"/>
    <mergeCell ref="C634:C635"/>
    <mergeCell ref="D634:D635"/>
    <mergeCell ref="E634:E635"/>
    <mergeCell ref="F634:F635"/>
    <mergeCell ref="G634:G635"/>
    <mergeCell ref="H634:H635"/>
    <mergeCell ref="I634:I635"/>
    <mergeCell ref="J634:J635"/>
    <mergeCell ref="B645:F645"/>
    <mergeCell ref="A646:Q646"/>
    <mergeCell ref="A663:E663"/>
    <mergeCell ref="L663:Q663"/>
    <mergeCell ref="A664:Q664"/>
    <mergeCell ref="A665:Q665"/>
    <mergeCell ref="A670:E670"/>
    <mergeCell ref="A671:Q671"/>
    <mergeCell ref="K418:K419"/>
    <mergeCell ref="G476:G479"/>
    <mergeCell ref="H476:H479"/>
    <mergeCell ref="D471:D475"/>
    <mergeCell ref="E471:E475"/>
    <mergeCell ref="D476:D479"/>
    <mergeCell ref="E476:E479"/>
    <mergeCell ref="B628:Q628"/>
    <mergeCell ref="B631:B632"/>
    <mergeCell ref="C631:C632"/>
    <mergeCell ref="D631:D632"/>
    <mergeCell ref="E631:E632"/>
    <mergeCell ref="F631:F632"/>
    <mergeCell ref="G631:G632"/>
    <mergeCell ref="H631:H632"/>
    <mergeCell ref="I631:I632"/>
    <mergeCell ref="J631:J632"/>
    <mergeCell ref="L599:Q600"/>
    <mergeCell ref="F623:F624"/>
    <mergeCell ref="C613:C614"/>
    <mergeCell ref="D617:D619"/>
    <mergeCell ref="F617:F619"/>
    <mergeCell ref="I476:I479"/>
    <mergeCell ref="J476:J479"/>
    <mergeCell ref="L615:Q616"/>
    <mergeCell ref="C615:C616"/>
    <mergeCell ref="C599:C600"/>
    <mergeCell ref="L582:Q583"/>
    <mergeCell ref="F471:F475"/>
    <mergeCell ref="F476:F479"/>
    <mergeCell ref="B533:R533"/>
    <mergeCell ref="G623:G624"/>
    <mergeCell ref="L621:Q622"/>
    <mergeCell ref="C621:C622"/>
    <mergeCell ref="I623:I624"/>
    <mergeCell ref="J623:J624"/>
    <mergeCell ref="B617:B619"/>
    <mergeCell ref="K621:K622"/>
    <mergeCell ref="C617:C619"/>
    <mergeCell ref="F615:F616"/>
    <mergeCell ref="B615:B616"/>
    <mergeCell ref="I617:I619"/>
    <mergeCell ref="F595:F598"/>
    <mergeCell ref="I595:I598"/>
    <mergeCell ref="G462:G465"/>
    <mergeCell ref="H462:H465"/>
    <mergeCell ref="F458:F461"/>
    <mergeCell ref="H458:H461"/>
    <mergeCell ref="G433:G434"/>
    <mergeCell ref="H433:H434"/>
    <mergeCell ref="B441:B443"/>
    <mergeCell ref="C441:C443"/>
    <mergeCell ref="D441:D443"/>
    <mergeCell ref="B445:B446"/>
    <mergeCell ref="C445:C446"/>
    <mergeCell ref="I456:I457"/>
    <mergeCell ref="J456:J457"/>
    <mergeCell ref="D448:D450"/>
    <mergeCell ref="C452:C455"/>
    <mergeCell ref="D452:D455"/>
    <mergeCell ref="F452:F455"/>
    <mergeCell ref="G452:G455"/>
    <mergeCell ref="H452:H455"/>
    <mergeCell ref="F433:F434"/>
    <mergeCell ref="J452:J455"/>
    <mergeCell ref="I438:I439"/>
    <mergeCell ref="F438:F439"/>
    <mergeCell ref="D445:D446"/>
    <mergeCell ref="E445:E446"/>
    <mergeCell ref="E448:E450"/>
    <mergeCell ref="F448:F450"/>
    <mergeCell ref="I448:I450"/>
    <mergeCell ref="H456:H457"/>
    <mergeCell ref="D456:D457"/>
    <mergeCell ref="E456:E457"/>
    <mergeCell ref="F456:F457"/>
    <mergeCell ref="J383:J384"/>
    <mergeCell ref="J386:J388"/>
    <mergeCell ref="B383:B384"/>
    <mergeCell ref="E383:E384"/>
    <mergeCell ref="B386:B387"/>
    <mergeCell ref="B392:B393"/>
    <mergeCell ref="J445:J446"/>
    <mergeCell ref="G392:G396"/>
    <mergeCell ref="D398:D399"/>
    <mergeCell ref="G398:G404"/>
    <mergeCell ref="D394:D396"/>
    <mergeCell ref="E392:E393"/>
    <mergeCell ref="E394:E396"/>
    <mergeCell ref="F392:F396"/>
    <mergeCell ref="E386:E387"/>
    <mergeCell ref="D386:D387"/>
    <mergeCell ref="C386:C387"/>
    <mergeCell ref="C398:C399"/>
    <mergeCell ref="H441:H443"/>
    <mergeCell ref="H383:H384"/>
    <mergeCell ref="I425:I426"/>
    <mergeCell ref="A473:A475"/>
    <mergeCell ref="A468:A472"/>
    <mergeCell ref="A532:E532"/>
    <mergeCell ref="E452:E455"/>
    <mergeCell ref="G456:G457"/>
    <mergeCell ref="E433:E434"/>
    <mergeCell ref="G448:G450"/>
    <mergeCell ref="I490:I491"/>
    <mergeCell ref="C476:C479"/>
    <mergeCell ref="H438:H439"/>
    <mergeCell ref="I452:I455"/>
    <mergeCell ref="F441:F443"/>
    <mergeCell ref="G441:G443"/>
    <mergeCell ref="B433:B434"/>
    <mergeCell ref="C433:C434"/>
    <mergeCell ref="D433:D434"/>
    <mergeCell ref="B448:B450"/>
    <mergeCell ref="B458:B461"/>
    <mergeCell ref="A458:A461"/>
    <mergeCell ref="A450:A451"/>
    <mergeCell ref="A443:A444"/>
    <mergeCell ref="A446:A448"/>
    <mergeCell ref="C462:C465"/>
    <mergeCell ref="A456:A457"/>
    <mergeCell ref="A452:A455"/>
    <mergeCell ref="I392:I396"/>
    <mergeCell ref="I383:I384"/>
    <mergeCell ref="B94:B95"/>
    <mergeCell ref="C94:C95"/>
    <mergeCell ref="D94:D95"/>
    <mergeCell ref="F160:F161"/>
    <mergeCell ref="J418:J419"/>
    <mergeCell ref="F418:F419"/>
    <mergeCell ref="E406:E408"/>
    <mergeCell ref="B375:B376"/>
    <mergeCell ref="E225:E227"/>
    <mergeCell ref="C223:C224"/>
    <mergeCell ref="D223:D224"/>
    <mergeCell ref="B127:B132"/>
    <mergeCell ref="B160:B161"/>
    <mergeCell ref="C160:C161"/>
    <mergeCell ref="D160:D161"/>
    <mergeCell ref="E160:E161"/>
    <mergeCell ref="E223:E224"/>
    <mergeCell ref="C321:C322"/>
    <mergeCell ref="E321:E322"/>
    <mergeCell ref="G321:G322"/>
    <mergeCell ref="G160:G161"/>
    <mergeCell ref="H375:H376"/>
    <mergeCell ref="F372:F373"/>
    <mergeCell ref="G372:G373"/>
    <mergeCell ref="H372:H373"/>
    <mergeCell ref="J377:J380"/>
    <mergeCell ref="C383:C384"/>
    <mergeCell ref="D383:D384"/>
    <mergeCell ref="C237:C238"/>
    <mergeCell ref="E375:E376"/>
    <mergeCell ref="F386:F388"/>
    <mergeCell ref="G386:G388"/>
    <mergeCell ref="C85:C86"/>
    <mergeCell ref="D85:D86"/>
    <mergeCell ref="E85:E86"/>
    <mergeCell ref="M199:M201"/>
    <mergeCell ref="C422:C424"/>
    <mergeCell ref="K420:K421"/>
    <mergeCell ref="L420:L421"/>
    <mergeCell ref="G225:G227"/>
    <mergeCell ref="H392:H396"/>
    <mergeCell ref="A356:Q356"/>
    <mergeCell ref="C375:C376"/>
    <mergeCell ref="D328:D329"/>
    <mergeCell ref="C225:C227"/>
    <mergeCell ref="L355:Q355"/>
    <mergeCell ref="E401:E403"/>
    <mergeCell ref="F420:F424"/>
    <mergeCell ref="N420:N421"/>
    <mergeCell ref="O420:O421"/>
    <mergeCell ref="P420:P421"/>
    <mergeCell ref="Q420:Q421"/>
    <mergeCell ref="G406:G410"/>
    <mergeCell ref="H406:H410"/>
    <mergeCell ref="B394:B396"/>
    <mergeCell ref="B398:B399"/>
    <mergeCell ref="B401:B403"/>
    <mergeCell ref="D330:D334"/>
    <mergeCell ref="B355:E355"/>
    <mergeCell ref="B364:E364"/>
    <mergeCell ref="A89:E89"/>
    <mergeCell ref="B87:B88"/>
    <mergeCell ref="C87:C88"/>
    <mergeCell ref="D87:D88"/>
    <mergeCell ref="K182:K184"/>
    <mergeCell ref="N234:N235"/>
    <mergeCell ref="A118:Q118"/>
    <mergeCell ref="A117:E117"/>
    <mergeCell ref="A169:E169"/>
    <mergeCell ref="A145:Q145"/>
    <mergeCell ref="B156:B157"/>
    <mergeCell ref="C156:C157"/>
    <mergeCell ref="A144:E144"/>
    <mergeCell ref="G223:G224"/>
    <mergeCell ref="H327:H335"/>
    <mergeCell ref="J327:J335"/>
    <mergeCell ref="D230:D231"/>
    <mergeCell ref="E230:E231"/>
    <mergeCell ref="A170:Q170"/>
    <mergeCell ref="K199:K201"/>
    <mergeCell ref="C76:C84"/>
    <mergeCell ref="D76:D84"/>
    <mergeCell ref="E76:E84"/>
    <mergeCell ref="B85:B86"/>
    <mergeCell ref="F76:F84"/>
    <mergeCell ref="B321:B322"/>
    <mergeCell ref="C306:C309"/>
    <mergeCell ref="A218:E218"/>
    <mergeCell ref="B225:B227"/>
    <mergeCell ref="B230:B231"/>
    <mergeCell ref="D156:D157"/>
    <mergeCell ref="E156:E157"/>
    <mergeCell ref="J225:J227"/>
    <mergeCell ref="A90:Q90"/>
    <mergeCell ref="F321:F322"/>
    <mergeCell ref="E87:E88"/>
    <mergeCell ref="H76:H84"/>
    <mergeCell ref="E37:E38"/>
    <mergeCell ref="A44:E44"/>
    <mergeCell ref="C69:C75"/>
    <mergeCell ref="D69:D75"/>
    <mergeCell ref="E69:E75"/>
    <mergeCell ref="H70:H75"/>
    <mergeCell ref="I76:I84"/>
    <mergeCell ref="A11:Q11"/>
    <mergeCell ref="F51:F52"/>
    <mergeCell ref="C51:C52"/>
    <mergeCell ref="E51:E52"/>
    <mergeCell ref="G51:G52"/>
    <mergeCell ref="A55:E55"/>
    <mergeCell ref="A50:Q50"/>
    <mergeCell ref="A45:Q45"/>
    <mergeCell ref="A49:E49"/>
    <mergeCell ref="J25:J26"/>
    <mergeCell ref="C30:C31"/>
    <mergeCell ref="D30:D31"/>
    <mergeCell ref="J34:J36"/>
    <mergeCell ref="C34:C36"/>
    <mergeCell ref="D34:D36"/>
    <mergeCell ref="E34:E36"/>
    <mergeCell ref="L39:Q39"/>
    <mergeCell ref="A39:E39"/>
    <mergeCell ref="A40:E40"/>
    <mergeCell ref="G37:G38"/>
    <mergeCell ref="C37:C38"/>
    <mergeCell ref="D37:D38"/>
    <mergeCell ref="E30:E31"/>
    <mergeCell ref="K70:K75"/>
    <mergeCell ref="H623:H624"/>
    <mergeCell ref="A627:E627"/>
    <mergeCell ref="F621:F622"/>
    <mergeCell ref="G438:G439"/>
    <mergeCell ref="B422:B424"/>
    <mergeCell ref="E458:E461"/>
    <mergeCell ref="G458:G461"/>
    <mergeCell ref="B462:B465"/>
    <mergeCell ref="G471:G475"/>
    <mergeCell ref="H471:H475"/>
    <mergeCell ref="C490:C491"/>
    <mergeCell ref="D490:D491"/>
    <mergeCell ref="B476:B479"/>
    <mergeCell ref="D462:D465"/>
    <mergeCell ref="D418:D419"/>
    <mergeCell ref="C418:C419"/>
    <mergeCell ref="F425:F426"/>
    <mergeCell ref="B621:B622"/>
    <mergeCell ref="G617:G619"/>
    <mergeCell ref="H617:H619"/>
    <mergeCell ref="A431:E431"/>
    <mergeCell ref="A432:Q432"/>
    <mergeCell ref="G425:G426"/>
    <mergeCell ref="J621:J622"/>
    <mergeCell ref="A434:A435"/>
    <mergeCell ref="M420:M421"/>
    <mergeCell ref="J420:J424"/>
    <mergeCell ref="E418:E419"/>
    <mergeCell ref="D422:D424"/>
    <mergeCell ref="G418:G419"/>
    <mergeCell ref="H420:H424"/>
    <mergeCell ref="H425:H426"/>
    <mergeCell ref="J599:J600"/>
    <mergeCell ref="G582:G583"/>
    <mergeCell ref="H582:H583"/>
    <mergeCell ref="I582:I583"/>
    <mergeCell ref="J582:J583"/>
    <mergeCell ref="K485:Q485"/>
    <mergeCell ref="J448:J450"/>
    <mergeCell ref="L473:L475"/>
    <mergeCell ref="J438:J439"/>
    <mergeCell ref="J425:J426"/>
    <mergeCell ref="I420:I424"/>
    <mergeCell ref="J398:J404"/>
    <mergeCell ref="I398:I404"/>
    <mergeCell ref="I406:I410"/>
    <mergeCell ref="F406:F410"/>
    <mergeCell ref="E586:E587"/>
    <mergeCell ref="D582:D583"/>
    <mergeCell ref="G586:G587"/>
    <mergeCell ref="E441:E443"/>
    <mergeCell ref="D438:D439"/>
    <mergeCell ref="H398:H404"/>
    <mergeCell ref="H448:H450"/>
    <mergeCell ref="D401:D403"/>
    <mergeCell ref="D406:D408"/>
    <mergeCell ref="E398:E399"/>
    <mergeCell ref="G420:G424"/>
    <mergeCell ref="I458:I461"/>
    <mergeCell ref="I462:I465"/>
    <mergeCell ref="J462:J465"/>
    <mergeCell ref="I471:I475"/>
    <mergeCell ref="J471:J475"/>
    <mergeCell ref="J490:J491"/>
    <mergeCell ref="B605:B606"/>
    <mergeCell ref="J569:J570"/>
    <mergeCell ref="I591:I592"/>
    <mergeCell ref="E567:E568"/>
    <mergeCell ref="D586:D587"/>
    <mergeCell ref="C586:C587"/>
    <mergeCell ref="B565:B566"/>
    <mergeCell ref="C567:C568"/>
    <mergeCell ref="B586:B587"/>
    <mergeCell ref="J617:J619"/>
    <mergeCell ref="G615:G616"/>
    <mergeCell ref="H615:H616"/>
    <mergeCell ref="I615:I616"/>
    <mergeCell ref="J615:J616"/>
    <mergeCell ref="K615:K616"/>
    <mergeCell ref="G608:G612"/>
    <mergeCell ref="H608:H612"/>
    <mergeCell ref="I608:I612"/>
    <mergeCell ref="H613:H614"/>
    <mergeCell ref="I613:I614"/>
    <mergeCell ref="J608:J612"/>
    <mergeCell ref="J613:J614"/>
    <mergeCell ref="G595:G598"/>
    <mergeCell ref="F599:F600"/>
    <mergeCell ref="J595:J598"/>
    <mergeCell ref="F608:F612"/>
    <mergeCell ref="K599:K600"/>
    <mergeCell ref="G605:G606"/>
    <mergeCell ref="H605:H606"/>
    <mergeCell ref="I605:I606"/>
    <mergeCell ref="J577:J578"/>
    <mergeCell ref="J605:J606"/>
    <mergeCell ref="B591:B592"/>
    <mergeCell ref="D595:D598"/>
    <mergeCell ref="E595:E598"/>
    <mergeCell ref="C605:C606"/>
    <mergeCell ref="D605:D606"/>
    <mergeCell ref="E605:E606"/>
    <mergeCell ref="H599:H600"/>
    <mergeCell ref="D621:D622"/>
    <mergeCell ref="I621:I622"/>
    <mergeCell ref="C608:C612"/>
    <mergeCell ref="E617:E619"/>
    <mergeCell ref="G621:G622"/>
    <mergeCell ref="H621:H622"/>
    <mergeCell ref="D608:D612"/>
    <mergeCell ref="I599:I600"/>
    <mergeCell ref="E608:E612"/>
    <mergeCell ref="G599:G600"/>
    <mergeCell ref="C595:C598"/>
    <mergeCell ref="G613:G614"/>
    <mergeCell ref="H591:H592"/>
    <mergeCell ref="D591:D592"/>
    <mergeCell ref="B595:B598"/>
    <mergeCell ref="D615:D616"/>
    <mergeCell ref="D599:D600"/>
    <mergeCell ref="F605:F606"/>
    <mergeCell ref="C591:C592"/>
    <mergeCell ref="D613:D614"/>
    <mergeCell ref="E613:E614"/>
    <mergeCell ref="F613:F614"/>
    <mergeCell ref="B613:B614"/>
    <mergeCell ref="B599:B600"/>
    <mergeCell ref="B608:B612"/>
    <mergeCell ref="H565:H566"/>
    <mergeCell ref="J557:J558"/>
    <mergeCell ref="G557:G558"/>
    <mergeCell ref="H557:H558"/>
    <mergeCell ref="J560:J564"/>
    <mergeCell ref="A280:E280"/>
    <mergeCell ref="G234:G235"/>
    <mergeCell ref="J458:J461"/>
    <mergeCell ref="D458:D461"/>
    <mergeCell ref="B555:E555"/>
    <mergeCell ref="E438:E439"/>
    <mergeCell ref="E422:E424"/>
    <mergeCell ref="I433:I434"/>
    <mergeCell ref="J433:J434"/>
    <mergeCell ref="J30:J31"/>
    <mergeCell ref="I37:I38"/>
    <mergeCell ref="H34:H36"/>
    <mergeCell ref="H321:H322"/>
    <mergeCell ref="A56:Q56"/>
    <mergeCell ref="A51:A52"/>
    <mergeCell ref="L51:L52"/>
    <mergeCell ref="H51:H52"/>
    <mergeCell ref="I51:I52"/>
    <mergeCell ref="J51:J52"/>
    <mergeCell ref="I34:I36"/>
    <mergeCell ref="H30:H31"/>
    <mergeCell ref="J37:J38"/>
    <mergeCell ref="K51:K52"/>
    <mergeCell ref="F37:F38"/>
    <mergeCell ref="B41:B43"/>
    <mergeCell ref="H37:H38"/>
    <mergeCell ref="D51:D52"/>
    <mergeCell ref="B418:B419"/>
    <mergeCell ref="H418:H419"/>
    <mergeCell ref="I418:I419"/>
    <mergeCell ref="R9:T9"/>
    <mergeCell ref="A8:A10"/>
    <mergeCell ref="C8:C10"/>
    <mergeCell ref="D8:D10"/>
    <mergeCell ref="E8:E10"/>
    <mergeCell ref="B8:B10"/>
    <mergeCell ref="N8:Q9"/>
    <mergeCell ref="K8:K10"/>
    <mergeCell ref="L8:L10"/>
    <mergeCell ref="M8:M9"/>
    <mergeCell ref="F9:J9"/>
    <mergeCell ref="F8:J8"/>
    <mergeCell ref="R10:T10"/>
    <mergeCell ref="F25:F26"/>
    <mergeCell ref="G25:G26"/>
    <mergeCell ref="H25:H26"/>
    <mergeCell ref="I25:I26"/>
    <mergeCell ref="C25:C26"/>
    <mergeCell ref="B46:B48"/>
    <mergeCell ref="B51:B54"/>
    <mergeCell ref="F30:F31"/>
    <mergeCell ref="F34:F36"/>
    <mergeCell ref="G34:G36"/>
    <mergeCell ref="G30:G31"/>
    <mergeCell ref="D25:D26"/>
    <mergeCell ref="J392:J396"/>
    <mergeCell ref="E25:E26"/>
    <mergeCell ref="I30:I31"/>
    <mergeCell ref="G76:G84"/>
    <mergeCell ref="A556:Q556"/>
    <mergeCell ref="H586:H587"/>
    <mergeCell ref="I586:I587"/>
    <mergeCell ref="F586:F587"/>
    <mergeCell ref="F567:F568"/>
    <mergeCell ref="A341:E341"/>
    <mergeCell ref="C406:C408"/>
    <mergeCell ref="D392:D393"/>
    <mergeCell ref="C394:C396"/>
    <mergeCell ref="B379:B380"/>
    <mergeCell ref="C392:C393"/>
    <mergeCell ref="F375:F376"/>
    <mergeCell ref="C379:C380"/>
    <mergeCell ref="D379:D380"/>
    <mergeCell ref="G375:G376"/>
    <mergeCell ref="C401:C403"/>
    <mergeCell ref="E462:E465"/>
    <mergeCell ref="F462:F465"/>
    <mergeCell ref="B452:B455"/>
    <mergeCell ref="C448:C450"/>
    <mergeCell ref="B456:B457"/>
    <mergeCell ref="C456:C457"/>
    <mergeCell ref="B582:B583"/>
    <mergeCell ref="F383:F384"/>
    <mergeCell ref="G383:G384"/>
    <mergeCell ref="E379:E380"/>
    <mergeCell ref="H445:H446"/>
    <mergeCell ref="I445:I446"/>
    <mergeCell ref="J565:J566"/>
    <mergeCell ref="D375:D376"/>
    <mergeCell ref="I377:I380"/>
    <mergeCell ref="B406:B408"/>
    <mergeCell ref="I567:I568"/>
    <mergeCell ref="E328:E329"/>
    <mergeCell ref="D234:D235"/>
    <mergeCell ref="F565:F566"/>
    <mergeCell ref="I569:I570"/>
    <mergeCell ref="J567:J568"/>
    <mergeCell ref="K492:Q492"/>
    <mergeCell ref="K495:Q495"/>
    <mergeCell ref="K532:Q532"/>
    <mergeCell ref="B569:B570"/>
    <mergeCell ref="E372:E373"/>
    <mergeCell ref="B372:B373"/>
    <mergeCell ref="B304:B305"/>
    <mergeCell ref="B306:B309"/>
    <mergeCell ref="C328:C329"/>
    <mergeCell ref="B490:B491"/>
    <mergeCell ref="G318:G319"/>
    <mergeCell ref="B438:B439"/>
    <mergeCell ref="D237:D238"/>
    <mergeCell ref="J372:J373"/>
    <mergeCell ref="D321:D322"/>
    <mergeCell ref="I318:I319"/>
    <mergeCell ref="I321:I322"/>
    <mergeCell ref="B328:B329"/>
    <mergeCell ref="A365:Q365"/>
    <mergeCell ref="J406:J410"/>
    <mergeCell ref="L555:Q555"/>
    <mergeCell ref="L557:Q558"/>
    <mergeCell ref="B567:B568"/>
    <mergeCell ref="G490:G491"/>
    <mergeCell ref="H490:H491"/>
    <mergeCell ref="A496:E496"/>
    <mergeCell ref="A495:E495"/>
    <mergeCell ref="D565:D566"/>
    <mergeCell ref="B560:B564"/>
    <mergeCell ref="K582:K583"/>
    <mergeCell ref="G567:G568"/>
    <mergeCell ref="H567:H568"/>
    <mergeCell ref="I565:I566"/>
    <mergeCell ref="L569:Q570"/>
    <mergeCell ref="I557:I558"/>
    <mergeCell ref="C560:C564"/>
    <mergeCell ref="D560:D564"/>
    <mergeCell ref="C565:C566"/>
    <mergeCell ref="C582:C583"/>
    <mergeCell ref="K375:K376"/>
    <mergeCell ref="K569:K570"/>
    <mergeCell ref="K557:K558"/>
    <mergeCell ref="B557:B558"/>
    <mergeCell ref="C557:C558"/>
    <mergeCell ref="D557:D558"/>
    <mergeCell ref="C471:C475"/>
    <mergeCell ref="C569:C570"/>
    <mergeCell ref="D569:D570"/>
    <mergeCell ref="E565:E566"/>
    <mergeCell ref="G565:G566"/>
    <mergeCell ref="G560:G564"/>
    <mergeCell ref="G445:G446"/>
    <mergeCell ref="C458:C461"/>
    <mergeCell ref="B471:B475"/>
    <mergeCell ref="I441:I443"/>
    <mergeCell ref="D567:D568"/>
    <mergeCell ref="H569:H570"/>
    <mergeCell ref="F569:F570"/>
    <mergeCell ref="I372:I373"/>
    <mergeCell ref="I375:I376"/>
    <mergeCell ref="B330:B334"/>
    <mergeCell ref="L240:P240"/>
    <mergeCell ref="L280:Q280"/>
    <mergeCell ref="D306:D309"/>
    <mergeCell ref="F234:F235"/>
    <mergeCell ref="I234:I235"/>
    <mergeCell ref="J321:J322"/>
    <mergeCell ref="I327:I335"/>
    <mergeCell ref="D304:D305"/>
    <mergeCell ref="J318:J319"/>
    <mergeCell ref="L299:Q299"/>
    <mergeCell ref="E304:E305"/>
    <mergeCell ref="E306:E309"/>
    <mergeCell ref="F306:F309"/>
    <mergeCell ref="A300:Q300"/>
    <mergeCell ref="O234:O235"/>
    <mergeCell ref="H234:H235"/>
    <mergeCell ref="B240:E240"/>
    <mergeCell ref="A241:Q241"/>
    <mergeCell ref="A263:E263"/>
    <mergeCell ref="H306:H309"/>
    <mergeCell ref="I306:I309"/>
    <mergeCell ref="J306:J309"/>
    <mergeCell ref="G306:G309"/>
    <mergeCell ref="F318:F319"/>
    <mergeCell ref="L341:Q341"/>
    <mergeCell ref="P234:P235"/>
    <mergeCell ref="Q234:Q235"/>
    <mergeCell ref="B237:B238"/>
    <mergeCell ref="G304:G305"/>
    <mergeCell ref="A264:Q264"/>
    <mergeCell ref="A281:Q281"/>
    <mergeCell ref="L234:L235"/>
    <mergeCell ref="C234:C235"/>
    <mergeCell ref="H304:H305"/>
    <mergeCell ref="E94:E95"/>
    <mergeCell ref="F230:F231"/>
    <mergeCell ref="N213:N214"/>
    <mergeCell ref="H160:H161"/>
    <mergeCell ref="I160:I161"/>
    <mergeCell ref="G230:G231"/>
    <mergeCell ref="H230:H231"/>
    <mergeCell ref="I230:I231"/>
    <mergeCell ref="J230:J231"/>
    <mergeCell ref="H223:H224"/>
    <mergeCell ref="L199:L201"/>
    <mergeCell ref="I223:I224"/>
    <mergeCell ref="J223:J224"/>
    <mergeCell ref="I225:I227"/>
    <mergeCell ref="B234:B235"/>
    <mergeCell ref="K234:K235"/>
    <mergeCell ref="J234:J235"/>
    <mergeCell ref="F225:F227"/>
    <mergeCell ref="D225:D227"/>
    <mergeCell ref="F223:F224"/>
    <mergeCell ref="A232:E232"/>
    <mergeCell ref="L232:Q232"/>
    <mergeCell ref="J160:J161"/>
    <mergeCell ref="B233:R233"/>
    <mergeCell ref="K172:K173"/>
    <mergeCell ref="C230:C231"/>
    <mergeCell ref="C304:C305"/>
    <mergeCell ref="J76:J84"/>
    <mergeCell ref="F85:F86"/>
    <mergeCell ref="G85:G86"/>
    <mergeCell ref="H85:H86"/>
    <mergeCell ref="I85:I86"/>
    <mergeCell ref="J85:J86"/>
    <mergeCell ref="F87:F88"/>
    <mergeCell ref="G87:G88"/>
    <mergeCell ref="H87:H88"/>
    <mergeCell ref="I87:I88"/>
    <mergeCell ref="J87:J88"/>
    <mergeCell ref="B223:B224"/>
    <mergeCell ref="K213:K214"/>
    <mergeCell ref="L213:L214"/>
    <mergeCell ref="M213:M214"/>
    <mergeCell ref="H386:H388"/>
    <mergeCell ref="I386:I388"/>
    <mergeCell ref="F377:F380"/>
    <mergeCell ref="G377:G380"/>
    <mergeCell ref="H377:H380"/>
    <mergeCell ref="H318:H319"/>
    <mergeCell ref="F327:F335"/>
    <mergeCell ref="G327:G335"/>
    <mergeCell ref="C330:C334"/>
    <mergeCell ref="E330:E334"/>
    <mergeCell ref="A342:Q342"/>
    <mergeCell ref="J375:J376"/>
    <mergeCell ref="N199:N201"/>
    <mergeCell ref="H225:H227"/>
    <mergeCell ref="I304:I305"/>
    <mergeCell ref="J304:J305"/>
    <mergeCell ref="F304:F305"/>
    <mergeCell ref="J787:J789"/>
    <mergeCell ref="L1:Q4"/>
    <mergeCell ref="A777:Q777"/>
    <mergeCell ref="B784:B786"/>
    <mergeCell ref="C784:C786"/>
    <mergeCell ref="D784:D786"/>
    <mergeCell ref="E784:E786"/>
    <mergeCell ref="F784:F786"/>
    <mergeCell ref="G784:G786"/>
    <mergeCell ref="H784:H786"/>
    <mergeCell ref="I784:I786"/>
    <mergeCell ref="J784:J786"/>
    <mergeCell ref="C438:C439"/>
    <mergeCell ref="J441:J443"/>
    <mergeCell ref="H595:H598"/>
    <mergeCell ref="G569:G570"/>
    <mergeCell ref="G591:G592"/>
    <mergeCell ref="J586:J587"/>
    <mergeCell ref="E591:E592"/>
    <mergeCell ref="F591:F592"/>
    <mergeCell ref="F582:F583"/>
    <mergeCell ref="I577:I578"/>
    <mergeCell ref="H560:H564"/>
    <mergeCell ref="F557:F558"/>
    <mergeCell ref="J591:J592"/>
    <mergeCell ref="I560:I564"/>
    <mergeCell ref="F445:F446"/>
    <mergeCell ref="E490:E491"/>
    <mergeCell ref="F490:F491"/>
    <mergeCell ref="E560:E564"/>
    <mergeCell ref="F560:F564"/>
    <mergeCell ref="B499:Q499"/>
    <mergeCell ref="F790:F791"/>
    <mergeCell ref="B792:B793"/>
    <mergeCell ref="C792:C793"/>
    <mergeCell ref="D792:D793"/>
    <mergeCell ref="E792:E793"/>
    <mergeCell ref="F792:F793"/>
    <mergeCell ref="G792:G793"/>
    <mergeCell ref="H792:H793"/>
    <mergeCell ref="I792:I793"/>
    <mergeCell ref="B787:B789"/>
    <mergeCell ref="C787:C789"/>
    <mergeCell ref="D787:D789"/>
    <mergeCell ref="E787:E789"/>
    <mergeCell ref="F787:F789"/>
    <mergeCell ref="G787:G789"/>
    <mergeCell ref="H787:H789"/>
    <mergeCell ref="I787:I789"/>
    <mergeCell ref="B796:B797"/>
    <mergeCell ref="C796:C797"/>
    <mergeCell ref="D796:D797"/>
    <mergeCell ref="E796:E797"/>
    <mergeCell ref="F796:F797"/>
    <mergeCell ref="G796:G797"/>
    <mergeCell ref="H796:H797"/>
    <mergeCell ref="I796:I797"/>
    <mergeCell ref="J796:J797"/>
    <mergeCell ref="J792:J793"/>
    <mergeCell ref="B794:B795"/>
    <mergeCell ref="C794:C795"/>
    <mergeCell ref="D794:D795"/>
    <mergeCell ref="E794:E795"/>
    <mergeCell ref="F794:F795"/>
    <mergeCell ref="G794:G795"/>
    <mergeCell ref="H794:H795"/>
    <mergeCell ref="I794:I795"/>
    <mergeCell ref="J794:J795"/>
    <mergeCell ref="B805:B807"/>
    <mergeCell ref="C805:C807"/>
    <mergeCell ref="D805:D807"/>
    <mergeCell ref="E805:E807"/>
    <mergeCell ref="F805:F807"/>
    <mergeCell ref="G805:G807"/>
    <mergeCell ref="H805:H807"/>
    <mergeCell ref="I805:I807"/>
    <mergeCell ref="J805:J807"/>
    <mergeCell ref="B802:B803"/>
    <mergeCell ref="C802:C803"/>
    <mergeCell ref="D802:D803"/>
    <mergeCell ref="E802:E803"/>
    <mergeCell ref="F802:F803"/>
    <mergeCell ref="G802:G803"/>
    <mergeCell ref="H802:H803"/>
    <mergeCell ref="I802:I803"/>
    <mergeCell ref="J802:J803"/>
    <mergeCell ref="J816:J817"/>
    <mergeCell ref="B812:B814"/>
    <mergeCell ref="C812:C814"/>
    <mergeCell ref="D812:D814"/>
    <mergeCell ref="E812:E814"/>
    <mergeCell ref="F812:F814"/>
    <mergeCell ref="G812:G814"/>
    <mergeCell ref="H812:H814"/>
    <mergeCell ref="I812:I814"/>
    <mergeCell ref="J812:J814"/>
    <mergeCell ref="B808:B811"/>
    <mergeCell ref="C808:C811"/>
    <mergeCell ref="D808:D811"/>
    <mergeCell ref="E808:E811"/>
    <mergeCell ref="F808:F811"/>
    <mergeCell ref="G808:G811"/>
    <mergeCell ref="H808:H811"/>
    <mergeCell ref="I808:I811"/>
    <mergeCell ref="J808:J811"/>
    <mergeCell ref="F827:F829"/>
    <mergeCell ref="B831:B832"/>
    <mergeCell ref="C831:C832"/>
    <mergeCell ref="D831:D832"/>
    <mergeCell ref="E831:E832"/>
    <mergeCell ref="F831:F832"/>
    <mergeCell ref="G831:G832"/>
    <mergeCell ref="H831:H832"/>
    <mergeCell ref="I831:I832"/>
    <mergeCell ref="B816:B817"/>
    <mergeCell ref="C816:C817"/>
    <mergeCell ref="D816:D817"/>
    <mergeCell ref="E816:E817"/>
    <mergeCell ref="F816:F817"/>
    <mergeCell ref="G816:G817"/>
    <mergeCell ref="H816:H817"/>
    <mergeCell ref="I816:I817"/>
    <mergeCell ref="B861:E861"/>
    <mergeCell ref="A862:Q862"/>
    <mergeCell ref="B865:B875"/>
    <mergeCell ref="C865:C875"/>
    <mergeCell ref="D865:D875"/>
    <mergeCell ref="E865:E875"/>
    <mergeCell ref="F865:F875"/>
    <mergeCell ref="G865:G875"/>
    <mergeCell ref="H865:H875"/>
    <mergeCell ref="I865:I875"/>
    <mergeCell ref="J865:J875"/>
    <mergeCell ref="J831:J832"/>
    <mergeCell ref="F836:F837"/>
    <mergeCell ref="G836:G837"/>
    <mergeCell ref="A839:E839"/>
    <mergeCell ref="A840:Q840"/>
    <mergeCell ref="A856:E856"/>
    <mergeCell ref="B857:Q857"/>
    <mergeCell ref="B859:B860"/>
    <mergeCell ref="C859:C860"/>
    <mergeCell ref="D859:D860"/>
    <mergeCell ref="E859:E860"/>
    <mergeCell ref="F859:F860"/>
    <mergeCell ref="G859:G860"/>
    <mergeCell ref="H859:H860"/>
    <mergeCell ref="I859:I860"/>
    <mergeCell ref="J859:J860"/>
    <mergeCell ref="B886:B891"/>
    <mergeCell ref="C886:C891"/>
    <mergeCell ref="D886:D891"/>
    <mergeCell ref="E886:E891"/>
    <mergeCell ref="F886:F891"/>
    <mergeCell ref="G886:G891"/>
    <mergeCell ref="H886:H891"/>
    <mergeCell ref="I886:I891"/>
    <mergeCell ref="J886:J891"/>
    <mergeCell ref="B876:B885"/>
    <mergeCell ref="C876:C885"/>
    <mergeCell ref="D876:D885"/>
    <mergeCell ref="E876:E885"/>
    <mergeCell ref="F876:F885"/>
    <mergeCell ref="G876:G885"/>
    <mergeCell ref="H876:H885"/>
    <mergeCell ref="I876:I885"/>
    <mergeCell ref="J876:J885"/>
    <mergeCell ref="B899:B900"/>
    <mergeCell ref="C899:C900"/>
    <mergeCell ref="D899:D900"/>
    <mergeCell ref="E899:E900"/>
    <mergeCell ref="F899:F900"/>
    <mergeCell ref="G899:G900"/>
    <mergeCell ref="H899:H900"/>
    <mergeCell ref="I899:I900"/>
    <mergeCell ref="J899:J900"/>
    <mergeCell ref="B894:B898"/>
    <mergeCell ref="C894:C898"/>
    <mergeCell ref="D894:D898"/>
    <mergeCell ref="E894:E898"/>
    <mergeCell ref="F894:F898"/>
    <mergeCell ref="G894:G898"/>
    <mergeCell ref="H894:H898"/>
    <mergeCell ref="I894:I898"/>
    <mergeCell ref="J894:J898"/>
    <mergeCell ref="B907:B908"/>
    <mergeCell ref="C907:C908"/>
    <mergeCell ref="D907:D908"/>
    <mergeCell ref="E907:E908"/>
    <mergeCell ref="F907:F908"/>
    <mergeCell ref="G907:G908"/>
    <mergeCell ref="H907:H908"/>
    <mergeCell ref="I907:I908"/>
    <mergeCell ref="J907:J908"/>
    <mergeCell ref="B901:B906"/>
    <mergeCell ref="C901:C906"/>
    <mergeCell ref="D901:D906"/>
    <mergeCell ref="E901:E906"/>
    <mergeCell ref="F901:F906"/>
    <mergeCell ref="G901:G906"/>
    <mergeCell ref="H901:H906"/>
    <mergeCell ref="I901:I906"/>
    <mergeCell ref="J901:J906"/>
    <mergeCell ref="Q909:Q913"/>
    <mergeCell ref="K917:K918"/>
    <mergeCell ref="L917:L918"/>
    <mergeCell ref="M917:M918"/>
    <mergeCell ref="N917:N918"/>
    <mergeCell ref="O917:O918"/>
    <mergeCell ref="P917:P918"/>
    <mergeCell ref="Q917:Q918"/>
    <mergeCell ref="B909:B918"/>
    <mergeCell ref="C909:C918"/>
    <mergeCell ref="D909:D918"/>
    <mergeCell ref="E909:E918"/>
    <mergeCell ref="F909:F918"/>
    <mergeCell ref="G909:G918"/>
    <mergeCell ref="H909:H918"/>
    <mergeCell ref="I909:I918"/>
    <mergeCell ref="J909:J918"/>
    <mergeCell ref="I922:I926"/>
    <mergeCell ref="J922:J926"/>
    <mergeCell ref="B919:B921"/>
    <mergeCell ref="C919:C921"/>
    <mergeCell ref="D919:D921"/>
    <mergeCell ref="E919:E921"/>
    <mergeCell ref="F919:F921"/>
    <mergeCell ref="G919:G921"/>
    <mergeCell ref="H919:H921"/>
    <mergeCell ref="I919:I921"/>
    <mergeCell ref="J919:J921"/>
    <mergeCell ref="K909:K913"/>
    <mergeCell ref="L909:L913"/>
    <mergeCell ref="M909:M913"/>
    <mergeCell ref="N909:N913"/>
    <mergeCell ref="O909:O913"/>
    <mergeCell ref="P909:P913"/>
    <mergeCell ref="B934:B935"/>
    <mergeCell ref="C934:C935"/>
    <mergeCell ref="D934:D935"/>
    <mergeCell ref="E934:E935"/>
    <mergeCell ref="F934:F935"/>
    <mergeCell ref="G934:G935"/>
    <mergeCell ref="H934:H935"/>
    <mergeCell ref="I934:I935"/>
    <mergeCell ref="J934:J935"/>
    <mergeCell ref="K925:K926"/>
    <mergeCell ref="L925:L926"/>
    <mergeCell ref="M925:M926"/>
    <mergeCell ref="N925:N926"/>
    <mergeCell ref="O925:O926"/>
    <mergeCell ref="P925:P926"/>
    <mergeCell ref="Q925:Q926"/>
    <mergeCell ref="B928:B933"/>
    <mergeCell ref="C928:C933"/>
    <mergeCell ref="D928:D933"/>
    <mergeCell ref="E928:E933"/>
    <mergeCell ref="F928:F933"/>
    <mergeCell ref="G928:G933"/>
    <mergeCell ref="H928:H933"/>
    <mergeCell ref="I928:I933"/>
    <mergeCell ref="J928:J933"/>
    <mergeCell ref="B922:B925"/>
    <mergeCell ref="C922:C926"/>
    <mergeCell ref="D922:D926"/>
    <mergeCell ref="E922:E926"/>
    <mergeCell ref="F922:F926"/>
    <mergeCell ref="G922:G926"/>
    <mergeCell ref="H922:H926"/>
    <mergeCell ref="B942:B943"/>
    <mergeCell ref="C942:C943"/>
    <mergeCell ref="D942:D943"/>
    <mergeCell ref="E942:E943"/>
    <mergeCell ref="F942:F943"/>
    <mergeCell ref="G942:G943"/>
    <mergeCell ref="H942:H943"/>
    <mergeCell ref="I942:I943"/>
    <mergeCell ref="J942:J943"/>
    <mergeCell ref="B936:B941"/>
    <mergeCell ref="C936:C941"/>
    <mergeCell ref="D936:D941"/>
    <mergeCell ref="E936:E941"/>
    <mergeCell ref="F936:F941"/>
    <mergeCell ref="G936:G941"/>
    <mergeCell ref="H936:H941"/>
    <mergeCell ref="I936:I941"/>
    <mergeCell ref="J936:J941"/>
    <mergeCell ref="B948:B953"/>
    <mergeCell ref="C948:C953"/>
    <mergeCell ref="D948:D953"/>
    <mergeCell ref="E948:E953"/>
    <mergeCell ref="F948:F953"/>
    <mergeCell ref="G948:G953"/>
    <mergeCell ref="H948:H953"/>
    <mergeCell ref="I948:I953"/>
    <mergeCell ref="J948:J953"/>
    <mergeCell ref="B944:B947"/>
    <mergeCell ref="C944:C947"/>
    <mergeCell ref="D944:D947"/>
    <mergeCell ref="E944:E947"/>
    <mergeCell ref="F944:F947"/>
    <mergeCell ref="G944:G947"/>
    <mergeCell ref="H944:H947"/>
    <mergeCell ref="I944:I947"/>
    <mergeCell ref="J944:J947"/>
    <mergeCell ref="B959:B961"/>
    <mergeCell ref="C959:C961"/>
    <mergeCell ref="D959:D961"/>
    <mergeCell ref="E959:E961"/>
    <mergeCell ref="F959:F961"/>
    <mergeCell ref="G959:G961"/>
    <mergeCell ref="H959:H961"/>
    <mergeCell ref="I959:I961"/>
    <mergeCell ref="J959:J961"/>
    <mergeCell ref="B954:B958"/>
    <mergeCell ref="C954:C958"/>
    <mergeCell ref="D954:D958"/>
    <mergeCell ref="E954:E958"/>
    <mergeCell ref="F954:F958"/>
    <mergeCell ref="G954:G958"/>
    <mergeCell ref="H954:H958"/>
    <mergeCell ref="I954:I958"/>
    <mergeCell ref="J954:J958"/>
    <mergeCell ref="B972:B975"/>
    <mergeCell ref="C972:C975"/>
    <mergeCell ref="D972:D975"/>
    <mergeCell ref="E972:E975"/>
    <mergeCell ref="F972:F975"/>
    <mergeCell ref="G972:G975"/>
    <mergeCell ref="H972:H975"/>
    <mergeCell ref="I972:I975"/>
    <mergeCell ref="J972:J975"/>
    <mergeCell ref="N962:Q964"/>
    <mergeCell ref="B966:B968"/>
    <mergeCell ref="C966:C968"/>
    <mergeCell ref="D966:D968"/>
    <mergeCell ref="E966:E968"/>
    <mergeCell ref="F966:F968"/>
    <mergeCell ref="G966:G968"/>
    <mergeCell ref="H966:H968"/>
    <mergeCell ref="I966:I968"/>
    <mergeCell ref="J966:J968"/>
    <mergeCell ref="B962:B964"/>
    <mergeCell ref="C962:C964"/>
    <mergeCell ref="D962:D964"/>
    <mergeCell ref="E962:E964"/>
    <mergeCell ref="F962:F964"/>
    <mergeCell ref="G962:G964"/>
    <mergeCell ref="H962:H964"/>
    <mergeCell ref="I962:I964"/>
    <mergeCell ref="J962:J964"/>
    <mergeCell ref="M989:Q989"/>
    <mergeCell ref="B990:B991"/>
    <mergeCell ref="C990:C991"/>
    <mergeCell ref="D990:D991"/>
    <mergeCell ref="E990:E991"/>
    <mergeCell ref="F990:F991"/>
    <mergeCell ref="G990:G991"/>
    <mergeCell ref="H990:H991"/>
    <mergeCell ref="I990:I991"/>
    <mergeCell ref="J990:J991"/>
    <mergeCell ref="B976:B987"/>
    <mergeCell ref="C976:C987"/>
    <mergeCell ref="D976:D987"/>
    <mergeCell ref="E976:E987"/>
    <mergeCell ref="F976:F987"/>
    <mergeCell ref="G976:G987"/>
    <mergeCell ref="H976:H987"/>
    <mergeCell ref="I976:I987"/>
    <mergeCell ref="J976:J987"/>
    <mergeCell ref="B999:B1004"/>
    <mergeCell ref="C999:C1004"/>
    <mergeCell ref="D999:D1004"/>
    <mergeCell ref="E999:E1004"/>
    <mergeCell ref="F999:F1004"/>
    <mergeCell ref="G999:G1004"/>
    <mergeCell ref="H999:H1004"/>
    <mergeCell ref="I999:I1004"/>
    <mergeCell ref="J999:J1004"/>
    <mergeCell ref="B992:E992"/>
    <mergeCell ref="L992:Q992"/>
    <mergeCell ref="B993:Q993"/>
    <mergeCell ref="B994:B997"/>
    <mergeCell ref="C994:C997"/>
    <mergeCell ref="D994:D997"/>
    <mergeCell ref="E994:E997"/>
    <mergeCell ref="F994:F997"/>
    <mergeCell ref="G994:G997"/>
    <mergeCell ref="H994:H997"/>
    <mergeCell ref="I994:I997"/>
    <mergeCell ref="J994:J997"/>
    <mergeCell ref="B1014:Q1014"/>
    <mergeCell ref="B1020:B1021"/>
    <mergeCell ref="C1020:C1021"/>
    <mergeCell ref="D1020:D1021"/>
    <mergeCell ref="E1020:E1021"/>
    <mergeCell ref="F1020:F1021"/>
    <mergeCell ref="G1020:G1021"/>
    <mergeCell ref="H1020:H1021"/>
    <mergeCell ref="I1020:I1021"/>
    <mergeCell ref="J1020:J1021"/>
    <mergeCell ref="K1009:K1010"/>
    <mergeCell ref="L1009:L1010"/>
    <mergeCell ref="M1009:M1010"/>
    <mergeCell ref="N1009:N1010"/>
    <mergeCell ref="O1009:O1010"/>
    <mergeCell ref="P1009:P1010"/>
    <mergeCell ref="Q1009:Q1010"/>
    <mergeCell ref="B1013:E1013"/>
    <mergeCell ref="L1013:Q1013"/>
    <mergeCell ref="B1024:B1025"/>
    <mergeCell ref="C1024:C1025"/>
    <mergeCell ref="D1024:D1025"/>
    <mergeCell ref="E1024:E1025"/>
    <mergeCell ref="F1024:F1025"/>
    <mergeCell ref="G1024:G1025"/>
    <mergeCell ref="H1024:H1025"/>
    <mergeCell ref="I1024:I1025"/>
    <mergeCell ref="J1024:J1025"/>
    <mergeCell ref="B1022:B1023"/>
    <mergeCell ref="C1022:C1023"/>
    <mergeCell ref="D1022:D1023"/>
    <mergeCell ref="E1022:E1023"/>
    <mergeCell ref="F1022:F1023"/>
    <mergeCell ref="G1022:G1023"/>
    <mergeCell ref="H1022:H1023"/>
    <mergeCell ref="I1022:I1023"/>
    <mergeCell ref="J1022:J1023"/>
    <mergeCell ref="B1030:B1032"/>
    <mergeCell ref="C1030:C1032"/>
    <mergeCell ref="D1030:D1032"/>
    <mergeCell ref="E1030:E1032"/>
    <mergeCell ref="F1030:F1032"/>
    <mergeCell ref="G1030:G1032"/>
    <mergeCell ref="H1030:H1032"/>
    <mergeCell ref="I1030:I1032"/>
    <mergeCell ref="J1030:J1032"/>
    <mergeCell ref="B1027:B1029"/>
    <mergeCell ref="C1027:C1029"/>
    <mergeCell ref="D1027:D1029"/>
    <mergeCell ref="E1027:E1029"/>
    <mergeCell ref="F1027:F1029"/>
    <mergeCell ref="G1027:G1029"/>
    <mergeCell ref="H1027:H1029"/>
    <mergeCell ref="I1027:I1029"/>
    <mergeCell ref="J1027:J1029"/>
    <mergeCell ref="B1039:B1042"/>
    <mergeCell ref="C1039:C1042"/>
    <mergeCell ref="D1039:D1042"/>
    <mergeCell ref="E1039:E1042"/>
    <mergeCell ref="F1039:F1042"/>
    <mergeCell ref="G1039:G1042"/>
    <mergeCell ref="H1039:H1042"/>
    <mergeCell ref="I1039:I1042"/>
    <mergeCell ref="J1039:J1042"/>
    <mergeCell ref="B1034:B1037"/>
    <mergeCell ref="C1034:C1037"/>
    <mergeCell ref="D1034:D1037"/>
    <mergeCell ref="E1034:E1037"/>
    <mergeCell ref="F1034:F1037"/>
    <mergeCell ref="G1034:G1037"/>
    <mergeCell ref="H1034:H1037"/>
    <mergeCell ref="I1034:I1037"/>
    <mergeCell ref="J1034:J1037"/>
    <mergeCell ref="B1050:B1052"/>
    <mergeCell ref="C1050:C1052"/>
    <mergeCell ref="D1050:D1052"/>
    <mergeCell ref="E1050:E1052"/>
    <mergeCell ref="F1050:F1052"/>
    <mergeCell ref="G1050:G1052"/>
    <mergeCell ref="H1050:H1052"/>
    <mergeCell ref="I1050:I1052"/>
    <mergeCell ref="J1050:J1052"/>
    <mergeCell ref="B1046:B1047"/>
    <mergeCell ref="C1046:C1047"/>
    <mergeCell ref="D1046:D1047"/>
    <mergeCell ref="E1046:E1047"/>
    <mergeCell ref="F1046:F1047"/>
    <mergeCell ref="G1046:G1047"/>
    <mergeCell ref="H1046:H1047"/>
    <mergeCell ref="I1046:I1047"/>
    <mergeCell ref="J1046:J1047"/>
    <mergeCell ref="B1059:B1061"/>
    <mergeCell ref="C1059:C1061"/>
    <mergeCell ref="D1059:D1061"/>
    <mergeCell ref="E1059:E1061"/>
    <mergeCell ref="F1059:F1061"/>
    <mergeCell ref="G1059:G1061"/>
    <mergeCell ref="H1059:H1061"/>
    <mergeCell ref="I1059:I1061"/>
    <mergeCell ref="J1059:J1061"/>
    <mergeCell ref="B1054:B1056"/>
    <mergeCell ref="C1054:C1056"/>
    <mergeCell ref="D1054:D1056"/>
    <mergeCell ref="E1054:E1056"/>
    <mergeCell ref="F1054:F1056"/>
    <mergeCell ref="G1054:G1056"/>
    <mergeCell ref="H1054:H1056"/>
    <mergeCell ref="I1054:I1056"/>
    <mergeCell ref="J1054:J1056"/>
    <mergeCell ref="B1091:B1094"/>
    <mergeCell ref="C1091:C1094"/>
    <mergeCell ref="D1091:D1094"/>
    <mergeCell ref="E1091:E1094"/>
    <mergeCell ref="F1091:F1094"/>
    <mergeCell ref="G1091:G1094"/>
    <mergeCell ref="H1091:H1094"/>
    <mergeCell ref="I1091:I1094"/>
    <mergeCell ref="J1091:J1094"/>
    <mergeCell ref="B1066:E1066"/>
    <mergeCell ref="B1067:Q1067"/>
    <mergeCell ref="B1068:Q1068"/>
    <mergeCell ref="B1073:E1073"/>
    <mergeCell ref="L1073:Q1073"/>
    <mergeCell ref="B1074:Q1074"/>
    <mergeCell ref="B1088:E1088"/>
    <mergeCell ref="L1088:Q1088"/>
    <mergeCell ref="B1089:Q1089"/>
    <mergeCell ref="B1095:E1095"/>
    <mergeCell ref="L1095:Q1095"/>
    <mergeCell ref="B1096:Q1096"/>
    <mergeCell ref="B1108:B1109"/>
    <mergeCell ref="C1108:C1109"/>
    <mergeCell ref="D1108:D1109"/>
    <mergeCell ref="E1108:E1109"/>
    <mergeCell ref="F1108:F1109"/>
    <mergeCell ref="G1108:G1109"/>
    <mergeCell ref="H1108:H1109"/>
    <mergeCell ref="I1108:I1109"/>
    <mergeCell ref="J1108:J1109"/>
    <mergeCell ref="K1108:K1109"/>
    <mergeCell ref="L1108:L1109"/>
    <mergeCell ref="M1108:M1109"/>
    <mergeCell ref="N1108:N1109"/>
    <mergeCell ref="O1108:O1109"/>
    <mergeCell ref="P1108:P1109"/>
    <mergeCell ref="Q1108:Q1109"/>
    <mergeCell ref="B1115:B1118"/>
    <mergeCell ref="C1115:C1118"/>
    <mergeCell ref="D1115:D1118"/>
    <mergeCell ref="E1115:E1118"/>
    <mergeCell ref="F1115:F1118"/>
    <mergeCell ref="G1115:G1118"/>
    <mergeCell ref="H1115:H1118"/>
    <mergeCell ref="I1115:I1118"/>
    <mergeCell ref="J1115:J1118"/>
    <mergeCell ref="B1111:B1114"/>
    <mergeCell ref="C1111:C1114"/>
    <mergeCell ref="D1111:D1114"/>
    <mergeCell ref="E1111:E1114"/>
    <mergeCell ref="F1111:F1114"/>
    <mergeCell ref="G1111:G1114"/>
    <mergeCell ref="H1111:H1114"/>
    <mergeCell ref="I1111:I1114"/>
    <mergeCell ref="J1111:J1114"/>
    <mergeCell ref="B1123:B1125"/>
    <mergeCell ref="C1123:C1125"/>
    <mergeCell ref="D1123:D1125"/>
    <mergeCell ref="E1123:E1125"/>
    <mergeCell ref="F1123:F1125"/>
    <mergeCell ref="G1123:G1125"/>
    <mergeCell ref="H1123:H1125"/>
    <mergeCell ref="I1123:I1125"/>
    <mergeCell ref="J1123:J1125"/>
    <mergeCell ref="B1120:B1122"/>
    <mergeCell ref="C1120:C1122"/>
    <mergeCell ref="D1120:D1122"/>
    <mergeCell ref="E1120:E1122"/>
    <mergeCell ref="F1120:F1122"/>
    <mergeCell ref="G1120:G1122"/>
    <mergeCell ref="H1120:H1122"/>
    <mergeCell ref="I1120:I1122"/>
    <mergeCell ref="J1120:J1122"/>
    <mergeCell ref="K1127:K1128"/>
    <mergeCell ref="B1129:B1130"/>
    <mergeCell ref="C1129:C1130"/>
    <mergeCell ref="D1129:D1130"/>
    <mergeCell ref="E1129:E1130"/>
    <mergeCell ref="F1129:F1130"/>
    <mergeCell ref="G1129:G1130"/>
    <mergeCell ref="H1129:H1130"/>
    <mergeCell ref="I1129:I1130"/>
    <mergeCell ref="J1129:J1130"/>
    <mergeCell ref="K1129:K1130"/>
    <mergeCell ref="B1127:B1128"/>
    <mergeCell ref="C1127:C1128"/>
    <mergeCell ref="D1127:D1128"/>
    <mergeCell ref="E1127:E1128"/>
    <mergeCell ref="F1127:F1128"/>
    <mergeCell ref="G1127:G1128"/>
    <mergeCell ref="H1127:H1128"/>
    <mergeCell ref="I1127:I1128"/>
    <mergeCell ref="J1127:J1128"/>
    <mergeCell ref="B1144:B1145"/>
    <mergeCell ref="C1144:C1145"/>
    <mergeCell ref="D1144:D1145"/>
    <mergeCell ref="E1144:E1145"/>
    <mergeCell ref="F1144:F1145"/>
    <mergeCell ref="G1144:G1145"/>
    <mergeCell ref="H1144:H1145"/>
    <mergeCell ref="I1144:I1145"/>
    <mergeCell ref="J1144:J1145"/>
    <mergeCell ref="B1131:E1131"/>
    <mergeCell ref="B1132:Q1132"/>
    <mergeCell ref="B1142:B1143"/>
    <mergeCell ref="C1142:C1143"/>
    <mergeCell ref="D1142:D1143"/>
    <mergeCell ref="E1142:E1143"/>
    <mergeCell ref="F1142:F1143"/>
    <mergeCell ref="G1142:G1143"/>
    <mergeCell ref="H1142:H1143"/>
    <mergeCell ref="I1142:I1143"/>
    <mergeCell ref="J1142:J1143"/>
    <mergeCell ref="K1146:K1147"/>
    <mergeCell ref="L1146:L1147"/>
    <mergeCell ref="M1146:M1147"/>
    <mergeCell ref="N1146:N1147"/>
    <mergeCell ref="O1146:O1147"/>
    <mergeCell ref="P1146:P1147"/>
    <mergeCell ref="Q1146:Q1147"/>
    <mergeCell ref="B1148:B1149"/>
    <mergeCell ref="C1148:C1149"/>
    <mergeCell ref="D1148:D1149"/>
    <mergeCell ref="E1148:E1149"/>
    <mergeCell ref="F1148:F1149"/>
    <mergeCell ref="G1148:G1149"/>
    <mergeCell ref="H1148:H1149"/>
    <mergeCell ref="I1148:I1149"/>
    <mergeCell ref="J1148:J1149"/>
    <mergeCell ref="K1148:K1149"/>
    <mergeCell ref="L1148:L1149"/>
    <mergeCell ref="M1148:M1149"/>
    <mergeCell ref="N1148:N1149"/>
    <mergeCell ref="O1148:O1149"/>
    <mergeCell ref="P1148:P1149"/>
    <mergeCell ref="Q1148:Q1149"/>
    <mergeCell ref="B1146:B1147"/>
    <mergeCell ref="C1146:C1147"/>
    <mergeCell ref="D1146:D1147"/>
    <mergeCell ref="E1146:E1147"/>
    <mergeCell ref="F1146:F1147"/>
    <mergeCell ref="G1146:G1147"/>
    <mergeCell ref="H1146:H1147"/>
    <mergeCell ref="I1146:I1147"/>
    <mergeCell ref="J1146:J1147"/>
    <mergeCell ref="B1165:E1165"/>
    <mergeCell ref="L1165:Q1165"/>
    <mergeCell ref="B1166:Q1166"/>
    <mergeCell ref="B1176:B1177"/>
    <mergeCell ref="C1176:C1177"/>
    <mergeCell ref="D1176:D1177"/>
    <mergeCell ref="E1176:E1177"/>
    <mergeCell ref="F1176:F1177"/>
    <mergeCell ref="G1176:G1177"/>
    <mergeCell ref="H1176:H1177"/>
    <mergeCell ref="I1176:I1177"/>
    <mergeCell ref="J1176:J1177"/>
    <mergeCell ref="B1150:E1150"/>
    <mergeCell ref="L1150:Q1150"/>
    <mergeCell ref="B1151:Q1151"/>
    <mergeCell ref="B1158:B1159"/>
    <mergeCell ref="C1158:C1159"/>
    <mergeCell ref="D1158:D1159"/>
    <mergeCell ref="E1158:E1159"/>
    <mergeCell ref="F1158:F1159"/>
    <mergeCell ref="G1158:G1159"/>
    <mergeCell ref="H1158:H1159"/>
    <mergeCell ref="I1158:I1159"/>
    <mergeCell ref="J1158:J1159"/>
    <mergeCell ref="K1158:K1159"/>
    <mergeCell ref="L1158:L1159"/>
    <mergeCell ref="M1158:M1159"/>
    <mergeCell ref="N1158:N1159"/>
    <mergeCell ref="O1158:O1159"/>
    <mergeCell ref="P1158:P1159"/>
    <mergeCell ref="Q1158:Q1159"/>
    <mergeCell ref="L1180:L1181"/>
    <mergeCell ref="B1182:E1182"/>
    <mergeCell ref="L1182:Q1182"/>
    <mergeCell ref="B1183:Q1183"/>
    <mergeCell ref="B1184:B1185"/>
    <mergeCell ref="C1184:C1185"/>
    <mergeCell ref="D1184:D1185"/>
    <mergeCell ref="E1184:E1185"/>
    <mergeCell ref="F1184:F1185"/>
    <mergeCell ref="G1184:G1185"/>
    <mergeCell ref="H1184:H1185"/>
    <mergeCell ref="I1184:I1185"/>
    <mergeCell ref="J1184:J1185"/>
    <mergeCell ref="B1180:B1181"/>
    <mergeCell ref="C1180:C1181"/>
    <mergeCell ref="D1180:D1181"/>
    <mergeCell ref="E1180:E1181"/>
    <mergeCell ref="F1180:F1181"/>
    <mergeCell ref="G1180:G1181"/>
    <mergeCell ref="H1180:H1181"/>
    <mergeCell ref="I1180:I1181"/>
    <mergeCell ref="J1180:J1181"/>
    <mergeCell ref="B1189:B1191"/>
    <mergeCell ref="C1189:C1191"/>
    <mergeCell ref="D1189:D1191"/>
    <mergeCell ref="E1189:E1191"/>
    <mergeCell ref="F1189:F1191"/>
    <mergeCell ref="G1189:G1191"/>
    <mergeCell ref="H1189:H1191"/>
    <mergeCell ref="I1189:I1191"/>
    <mergeCell ref="J1189:J1191"/>
    <mergeCell ref="B1186:B1188"/>
    <mergeCell ref="C1186:C1188"/>
    <mergeCell ref="D1186:D1188"/>
    <mergeCell ref="E1186:E1188"/>
    <mergeCell ref="F1186:F1188"/>
    <mergeCell ref="G1186:G1188"/>
    <mergeCell ref="H1186:H1188"/>
    <mergeCell ref="I1186:I1188"/>
    <mergeCell ref="J1186:J1188"/>
    <mergeCell ref="B1192:B1193"/>
    <mergeCell ref="D1192:D1193"/>
    <mergeCell ref="E1192:E1193"/>
    <mergeCell ref="F1192:F1193"/>
    <mergeCell ref="G1192:G1193"/>
    <mergeCell ref="H1192:H1193"/>
    <mergeCell ref="I1192:I1193"/>
    <mergeCell ref="J1192:J1193"/>
    <mergeCell ref="B1194:B1195"/>
    <mergeCell ref="C1194:C1195"/>
    <mergeCell ref="D1194:D1195"/>
    <mergeCell ref="E1194:E1195"/>
    <mergeCell ref="F1194:F1195"/>
    <mergeCell ref="G1194:G1195"/>
    <mergeCell ref="H1194:H1195"/>
    <mergeCell ref="I1194:I1195"/>
    <mergeCell ref="J1194:J1195"/>
    <mergeCell ref="L1206:L1208"/>
    <mergeCell ref="M1206:M1208"/>
    <mergeCell ref="L1214:Q1214"/>
    <mergeCell ref="B1216:E1216"/>
    <mergeCell ref="B1217:Q1217"/>
    <mergeCell ref="M1221:M1222"/>
    <mergeCell ref="N1221:N1222"/>
    <mergeCell ref="O1221:O1222"/>
    <mergeCell ref="P1221:P1222"/>
    <mergeCell ref="Q1221:Q1222"/>
    <mergeCell ref="B1197:E1197"/>
    <mergeCell ref="L1197:Q1197"/>
    <mergeCell ref="B1198:Q1198"/>
    <mergeCell ref="B1203:B1204"/>
    <mergeCell ref="C1203:C1204"/>
    <mergeCell ref="D1203:D1204"/>
    <mergeCell ref="F1203:F1204"/>
    <mergeCell ref="G1203:G1204"/>
    <mergeCell ref="H1203:H1204"/>
    <mergeCell ref="I1203:I1204"/>
    <mergeCell ref="J1203:J1204"/>
    <mergeCell ref="B1243:B1249"/>
    <mergeCell ref="C1243:C1249"/>
    <mergeCell ref="D1243:D1249"/>
    <mergeCell ref="E1243:E1249"/>
    <mergeCell ref="F1243:F1249"/>
    <mergeCell ref="G1243:G1249"/>
    <mergeCell ref="H1243:H1249"/>
    <mergeCell ref="I1243:I1249"/>
    <mergeCell ref="J1243:J1249"/>
    <mergeCell ref="B1230:E1230"/>
    <mergeCell ref="L1230:Q1230"/>
    <mergeCell ref="B1231:Q1231"/>
    <mergeCell ref="B1241:B1242"/>
    <mergeCell ref="C1241:C1242"/>
    <mergeCell ref="D1241:D1242"/>
    <mergeCell ref="E1241:E1242"/>
    <mergeCell ref="F1241:F1242"/>
    <mergeCell ref="G1241:G1242"/>
    <mergeCell ref="H1241:H1242"/>
    <mergeCell ref="I1241:I1242"/>
    <mergeCell ref="J1241:J1242"/>
    <mergeCell ref="B1255:B1257"/>
    <mergeCell ref="C1255:C1257"/>
    <mergeCell ref="D1255:D1257"/>
    <mergeCell ref="E1255:E1257"/>
    <mergeCell ref="F1255:F1257"/>
    <mergeCell ref="G1255:G1257"/>
    <mergeCell ref="H1255:H1257"/>
    <mergeCell ref="I1255:I1257"/>
    <mergeCell ref="J1255:J1257"/>
    <mergeCell ref="B1250:B1254"/>
    <mergeCell ref="C1250:C1254"/>
    <mergeCell ref="D1250:D1254"/>
    <mergeCell ref="E1250:E1254"/>
    <mergeCell ref="F1250:F1254"/>
    <mergeCell ref="G1250:G1254"/>
    <mergeCell ref="H1250:H1254"/>
    <mergeCell ref="I1250:I1254"/>
    <mergeCell ref="J1250:J1254"/>
    <mergeCell ref="B1264:B1265"/>
    <mergeCell ref="C1264:C1265"/>
    <mergeCell ref="D1264:D1265"/>
    <mergeCell ref="E1264:E1265"/>
    <mergeCell ref="F1264:F1265"/>
    <mergeCell ref="G1264:G1265"/>
    <mergeCell ref="H1264:H1265"/>
    <mergeCell ref="I1264:I1265"/>
    <mergeCell ref="J1264:J1265"/>
    <mergeCell ref="B1258:B1261"/>
    <mergeCell ref="C1258:C1261"/>
    <mergeCell ref="D1258:D1261"/>
    <mergeCell ref="E1258:E1261"/>
    <mergeCell ref="F1258:F1261"/>
    <mergeCell ref="G1258:G1261"/>
    <mergeCell ref="H1258:H1261"/>
    <mergeCell ref="I1258:I1261"/>
    <mergeCell ref="J1258:J1261"/>
    <mergeCell ref="B1271:B1272"/>
    <mergeCell ref="C1271:C1272"/>
    <mergeCell ref="D1271:D1272"/>
    <mergeCell ref="E1271:E1272"/>
    <mergeCell ref="F1271:F1272"/>
    <mergeCell ref="G1271:G1272"/>
    <mergeCell ref="H1271:H1272"/>
    <mergeCell ref="I1271:I1272"/>
    <mergeCell ref="J1271:J1272"/>
    <mergeCell ref="B1267:B1269"/>
    <mergeCell ref="C1267:C1269"/>
    <mergeCell ref="D1267:D1269"/>
    <mergeCell ref="E1267:E1269"/>
    <mergeCell ref="F1267:F1269"/>
    <mergeCell ref="G1267:G1269"/>
    <mergeCell ref="H1267:H1269"/>
    <mergeCell ref="I1267:I1269"/>
    <mergeCell ref="J1267:J1269"/>
    <mergeCell ref="B1283:B1286"/>
    <mergeCell ref="C1283:C1286"/>
    <mergeCell ref="D1283:D1286"/>
    <mergeCell ref="E1283:E1286"/>
    <mergeCell ref="F1283:F1286"/>
    <mergeCell ref="G1283:G1286"/>
    <mergeCell ref="H1283:H1286"/>
    <mergeCell ref="I1283:I1286"/>
    <mergeCell ref="J1283:J1286"/>
    <mergeCell ref="B1279:B1282"/>
    <mergeCell ref="C1279:C1282"/>
    <mergeCell ref="D1279:D1282"/>
    <mergeCell ref="E1279:E1282"/>
    <mergeCell ref="F1279:F1282"/>
    <mergeCell ref="G1279:G1282"/>
    <mergeCell ref="H1279:H1282"/>
    <mergeCell ref="I1279:I1282"/>
    <mergeCell ref="J1279:J1282"/>
    <mergeCell ref="B1292:B1294"/>
    <mergeCell ref="C1292:C1294"/>
    <mergeCell ref="D1292:D1294"/>
    <mergeCell ref="E1292:E1294"/>
    <mergeCell ref="F1292:F1294"/>
    <mergeCell ref="G1292:G1294"/>
    <mergeCell ref="H1292:H1294"/>
    <mergeCell ref="I1292:I1294"/>
    <mergeCell ref="J1292:J1294"/>
    <mergeCell ref="B1287:B1290"/>
    <mergeCell ref="C1287:C1290"/>
    <mergeCell ref="D1287:D1290"/>
    <mergeCell ref="E1287:E1290"/>
    <mergeCell ref="F1287:F1290"/>
    <mergeCell ref="G1287:G1290"/>
    <mergeCell ref="H1287:H1290"/>
    <mergeCell ref="I1287:I1290"/>
    <mergeCell ref="J1287:J1290"/>
    <mergeCell ref="B1302:B1306"/>
    <mergeCell ref="C1302:C1306"/>
    <mergeCell ref="D1302:D1306"/>
    <mergeCell ref="E1302:E1306"/>
    <mergeCell ref="F1302:F1306"/>
    <mergeCell ref="G1302:G1306"/>
    <mergeCell ref="H1302:H1306"/>
    <mergeCell ref="I1302:I1306"/>
    <mergeCell ref="J1302:J1306"/>
    <mergeCell ref="B1295:B1301"/>
    <mergeCell ref="C1295:C1301"/>
    <mergeCell ref="D1295:D1301"/>
    <mergeCell ref="E1295:E1301"/>
    <mergeCell ref="F1295:F1301"/>
    <mergeCell ref="G1295:G1301"/>
    <mergeCell ref="H1295:H1301"/>
    <mergeCell ref="I1295:I1301"/>
    <mergeCell ref="J1295:J1301"/>
    <mergeCell ref="B1312:B1315"/>
    <mergeCell ref="C1312:C1315"/>
    <mergeCell ref="D1312:D1315"/>
    <mergeCell ref="E1312:E1315"/>
    <mergeCell ref="F1312:F1315"/>
    <mergeCell ref="G1312:G1315"/>
    <mergeCell ref="H1312:H1315"/>
    <mergeCell ref="I1312:I1315"/>
    <mergeCell ref="J1312:J1315"/>
    <mergeCell ref="B1308:B1311"/>
    <mergeCell ref="C1308:C1311"/>
    <mergeCell ref="D1308:D1311"/>
    <mergeCell ref="E1308:E1311"/>
    <mergeCell ref="F1308:F1311"/>
    <mergeCell ref="G1308:G1311"/>
    <mergeCell ref="H1308:H1311"/>
    <mergeCell ref="I1308:I1311"/>
    <mergeCell ref="J1308:J1311"/>
    <mergeCell ref="I1360:I1361"/>
    <mergeCell ref="J1360:J1361"/>
    <mergeCell ref="B1326:E1326"/>
    <mergeCell ref="B1327:Q1327"/>
    <mergeCell ref="B1352:E1352"/>
    <mergeCell ref="L1352:Q1352"/>
    <mergeCell ref="B1353:Q1353"/>
    <mergeCell ref="B1358:B1359"/>
    <mergeCell ref="C1358:C1359"/>
    <mergeCell ref="D1358:D1359"/>
    <mergeCell ref="E1358:E1359"/>
    <mergeCell ref="F1358:F1359"/>
    <mergeCell ref="G1358:G1359"/>
    <mergeCell ref="H1358:H1359"/>
    <mergeCell ref="I1358:I1359"/>
    <mergeCell ref="J1358:J1359"/>
    <mergeCell ref="B1316:B1322"/>
    <mergeCell ref="C1316:C1322"/>
    <mergeCell ref="D1316:D1322"/>
    <mergeCell ref="E1316:E1322"/>
    <mergeCell ref="F1316:F1322"/>
    <mergeCell ref="G1316:G1322"/>
    <mergeCell ref="H1316:H1322"/>
    <mergeCell ref="I1316:I1322"/>
    <mergeCell ref="J1316:J1322"/>
    <mergeCell ref="B1369:B1376"/>
    <mergeCell ref="C1369:C1376"/>
    <mergeCell ref="D1369:D1376"/>
    <mergeCell ref="E1369:E1376"/>
    <mergeCell ref="F1369:F1376"/>
    <mergeCell ref="G1369:G1376"/>
    <mergeCell ref="H1369:H1376"/>
    <mergeCell ref="I1369:I1376"/>
    <mergeCell ref="J1369:J1376"/>
    <mergeCell ref="K1360:K1361"/>
    <mergeCell ref="L1360:L1361"/>
    <mergeCell ref="M1360:M1361"/>
    <mergeCell ref="N1360:N1361"/>
    <mergeCell ref="O1360:O1361"/>
    <mergeCell ref="P1360:P1361"/>
    <mergeCell ref="Q1360:Q1361"/>
    <mergeCell ref="B1362:B1365"/>
    <mergeCell ref="C1362:C1365"/>
    <mergeCell ref="D1362:D1365"/>
    <mergeCell ref="E1362:E1365"/>
    <mergeCell ref="F1362:F1365"/>
    <mergeCell ref="G1362:G1365"/>
    <mergeCell ref="H1362:H1365"/>
    <mergeCell ref="I1362:I1365"/>
    <mergeCell ref="J1362:J1365"/>
    <mergeCell ref="B1360:B1361"/>
    <mergeCell ref="C1360:C1361"/>
    <mergeCell ref="D1360:D1361"/>
    <mergeCell ref="E1360:E1361"/>
    <mergeCell ref="F1360:F1361"/>
    <mergeCell ref="G1360:G1361"/>
    <mergeCell ref="H1360:H1361"/>
    <mergeCell ref="B1383:B1389"/>
    <mergeCell ref="C1383:C1389"/>
    <mergeCell ref="D1383:D1389"/>
    <mergeCell ref="E1383:E1389"/>
    <mergeCell ref="F1383:F1389"/>
    <mergeCell ref="G1383:G1389"/>
    <mergeCell ref="H1383:H1389"/>
    <mergeCell ref="I1383:I1389"/>
    <mergeCell ref="J1383:J1389"/>
    <mergeCell ref="B1377:B1382"/>
    <mergeCell ref="C1377:C1382"/>
    <mergeCell ref="D1377:D1382"/>
    <mergeCell ref="E1377:E1382"/>
    <mergeCell ref="F1377:F1382"/>
    <mergeCell ref="G1377:G1382"/>
    <mergeCell ref="H1377:H1382"/>
    <mergeCell ref="I1377:I1382"/>
    <mergeCell ref="J1377:J1382"/>
    <mergeCell ref="B1396:B1404"/>
    <mergeCell ref="C1396:C1404"/>
    <mergeCell ref="D1396:D1404"/>
    <mergeCell ref="E1396:E1404"/>
    <mergeCell ref="F1396:F1404"/>
    <mergeCell ref="G1396:G1404"/>
    <mergeCell ref="H1396:H1404"/>
    <mergeCell ref="I1396:I1404"/>
    <mergeCell ref="J1396:J1404"/>
    <mergeCell ref="B1390:B1394"/>
    <mergeCell ref="C1390:C1394"/>
    <mergeCell ref="D1390:D1394"/>
    <mergeCell ref="E1390:E1394"/>
    <mergeCell ref="F1390:F1394"/>
    <mergeCell ref="G1390:G1394"/>
    <mergeCell ref="H1390:H1394"/>
    <mergeCell ref="I1390:I1394"/>
    <mergeCell ref="J1390:J1394"/>
    <mergeCell ref="B1426:B1429"/>
    <mergeCell ref="C1426:C1429"/>
    <mergeCell ref="D1426:D1429"/>
    <mergeCell ref="E1426:E1429"/>
    <mergeCell ref="F1426:F1429"/>
    <mergeCell ref="G1426:G1429"/>
    <mergeCell ref="H1426:H1429"/>
    <mergeCell ref="I1426:I1429"/>
    <mergeCell ref="J1426:J1429"/>
    <mergeCell ref="B1405:B1411"/>
    <mergeCell ref="C1405:C1425"/>
    <mergeCell ref="D1405:D1411"/>
    <mergeCell ref="E1405:E1411"/>
    <mergeCell ref="F1405:F1411"/>
    <mergeCell ref="G1405:G1411"/>
    <mergeCell ref="H1405:H1425"/>
    <mergeCell ref="I1405:I1411"/>
    <mergeCell ref="J1405:J1411"/>
    <mergeCell ref="B1412:B1425"/>
    <mergeCell ref="D1412:D1425"/>
    <mergeCell ref="E1412:E1418"/>
    <mergeCell ref="F1412:F1425"/>
    <mergeCell ref="G1412:G1425"/>
    <mergeCell ref="I1412:I1425"/>
    <mergeCell ref="J1412:J1425"/>
    <mergeCell ref="E1419:E1425"/>
    <mergeCell ref="B1437:B1442"/>
    <mergeCell ref="C1437:C1442"/>
    <mergeCell ref="D1437:D1442"/>
    <mergeCell ref="E1437:E1442"/>
    <mergeCell ref="F1437:F1442"/>
    <mergeCell ref="G1437:G1442"/>
    <mergeCell ref="H1437:H1442"/>
    <mergeCell ref="I1437:I1442"/>
    <mergeCell ref="J1437:J1442"/>
    <mergeCell ref="B1430:B1436"/>
    <mergeCell ref="C1430:C1436"/>
    <mergeCell ref="D1430:D1436"/>
    <mergeCell ref="E1430:E1436"/>
    <mergeCell ref="F1430:F1436"/>
    <mergeCell ref="G1430:G1436"/>
    <mergeCell ref="H1430:H1436"/>
    <mergeCell ref="I1430:I1436"/>
    <mergeCell ref="J1430:J1436"/>
    <mergeCell ref="B1449:B1454"/>
    <mergeCell ref="C1449:C1454"/>
    <mergeCell ref="D1449:D1454"/>
    <mergeCell ref="E1449:E1454"/>
    <mergeCell ref="F1449:F1454"/>
    <mergeCell ref="G1449:G1454"/>
    <mergeCell ref="H1449:H1454"/>
    <mergeCell ref="I1449:I1454"/>
    <mergeCell ref="J1449:J1454"/>
    <mergeCell ref="B1443:B1448"/>
    <mergeCell ref="C1443:C1448"/>
    <mergeCell ref="D1443:D1448"/>
    <mergeCell ref="E1443:E1448"/>
    <mergeCell ref="F1443:F1448"/>
    <mergeCell ref="G1443:G1448"/>
    <mergeCell ref="H1443:H1448"/>
    <mergeCell ref="I1443:I1448"/>
    <mergeCell ref="J1443:J1448"/>
    <mergeCell ref="B1463:B1464"/>
    <mergeCell ref="C1463:C1464"/>
    <mergeCell ref="D1463:D1464"/>
    <mergeCell ref="E1463:E1464"/>
    <mergeCell ref="F1463:F1464"/>
    <mergeCell ref="G1463:G1464"/>
    <mergeCell ref="H1463:H1464"/>
    <mergeCell ref="I1463:I1464"/>
    <mergeCell ref="J1463:J1464"/>
    <mergeCell ref="B1455:E1455"/>
    <mergeCell ref="B1456:Q1456"/>
    <mergeCell ref="B1459:B1460"/>
    <mergeCell ref="C1459:C1460"/>
    <mergeCell ref="D1459:D1460"/>
    <mergeCell ref="E1459:E1460"/>
    <mergeCell ref="F1459:F1460"/>
    <mergeCell ref="G1459:G1460"/>
    <mergeCell ref="H1459:H1460"/>
    <mergeCell ref="I1459:I1460"/>
    <mergeCell ref="J1459:J1460"/>
    <mergeCell ref="H1480:H1481"/>
    <mergeCell ref="I1480:I1481"/>
    <mergeCell ref="J1480:J1481"/>
    <mergeCell ref="B1467:B1468"/>
    <mergeCell ref="C1467:C1468"/>
    <mergeCell ref="D1467:D1468"/>
    <mergeCell ref="E1467:E1468"/>
    <mergeCell ref="F1467:F1468"/>
    <mergeCell ref="G1467:G1468"/>
    <mergeCell ref="H1467:H1468"/>
    <mergeCell ref="I1467:I1468"/>
    <mergeCell ref="J1467:J1468"/>
    <mergeCell ref="B1465:B1466"/>
    <mergeCell ref="C1465:C1466"/>
    <mergeCell ref="D1465:D1466"/>
    <mergeCell ref="E1465:E1466"/>
    <mergeCell ref="F1465:F1466"/>
    <mergeCell ref="G1465:G1466"/>
    <mergeCell ref="H1465:H1466"/>
    <mergeCell ref="I1465:I1466"/>
    <mergeCell ref="J1465:J1466"/>
    <mergeCell ref="N1484:P1484"/>
    <mergeCell ref="N1485:P1485"/>
    <mergeCell ref="B1492:B1493"/>
    <mergeCell ref="C1492:C1493"/>
    <mergeCell ref="D1492:D1493"/>
    <mergeCell ref="E1492:E1493"/>
    <mergeCell ref="F1492:F1493"/>
    <mergeCell ref="G1492:G1493"/>
    <mergeCell ref="H1492:H1493"/>
    <mergeCell ref="I1492:I1493"/>
    <mergeCell ref="J1492:J1493"/>
    <mergeCell ref="K1480:K1481"/>
    <mergeCell ref="N1480:P1480"/>
    <mergeCell ref="N1481:P1481"/>
    <mergeCell ref="B1482:B1483"/>
    <mergeCell ref="C1482:C1483"/>
    <mergeCell ref="D1482:D1483"/>
    <mergeCell ref="E1482:E1483"/>
    <mergeCell ref="F1482:F1483"/>
    <mergeCell ref="G1482:G1483"/>
    <mergeCell ref="H1482:H1483"/>
    <mergeCell ref="I1482:I1483"/>
    <mergeCell ref="J1482:J1483"/>
    <mergeCell ref="K1482:K1483"/>
    <mergeCell ref="N1482:P1482"/>
    <mergeCell ref="N1483:P1483"/>
    <mergeCell ref="B1480:B1481"/>
    <mergeCell ref="C1480:C1481"/>
    <mergeCell ref="D1480:D1481"/>
    <mergeCell ref="E1480:E1481"/>
    <mergeCell ref="F1480:F1481"/>
    <mergeCell ref="G1480:G1481"/>
    <mergeCell ref="B1497:B1498"/>
    <mergeCell ref="C1497:C1498"/>
    <mergeCell ref="D1497:D1498"/>
    <mergeCell ref="E1497:E1498"/>
    <mergeCell ref="F1497:F1498"/>
    <mergeCell ref="G1497:G1498"/>
    <mergeCell ref="H1497:H1498"/>
    <mergeCell ref="I1497:I1498"/>
    <mergeCell ref="J1497:J1498"/>
    <mergeCell ref="B1494:B1495"/>
    <mergeCell ref="C1494:C1495"/>
    <mergeCell ref="D1494:D1495"/>
    <mergeCell ref="E1494:E1495"/>
    <mergeCell ref="F1494:F1495"/>
    <mergeCell ref="G1494:G1495"/>
    <mergeCell ref="H1494:H1495"/>
    <mergeCell ref="I1494:I1495"/>
    <mergeCell ref="J1494:J1495"/>
    <mergeCell ref="B1506:E1506"/>
    <mergeCell ref="L1506:Q1506"/>
    <mergeCell ref="B1507:Q1507"/>
    <mergeCell ref="B1508:Q1508"/>
    <mergeCell ref="B1510:B1517"/>
    <mergeCell ref="C1510:C1517"/>
    <mergeCell ref="D1510:D1517"/>
    <mergeCell ref="E1510:E1517"/>
    <mergeCell ref="F1510:F1517"/>
    <mergeCell ref="G1510:G1517"/>
    <mergeCell ref="H1510:H1517"/>
    <mergeCell ref="I1510:I1517"/>
    <mergeCell ref="J1510:J1517"/>
    <mergeCell ref="K1510:K1513"/>
    <mergeCell ref="B1499:B1500"/>
    <mergeCell ref="C1499:C1500"/>
    <mergeCell ref="D1499:D1500"/>
    <mergeCell ref="E1499:E1500"/>
    <mergeCell ref="F1499:F1500"/>
    <mergeCell ref="G1499:G1500"/>
    <mergeCell ref="H1499:H1500"/>
    <mergeCell ref="I1499:I1500"/>
    <mergeCell ref="J1499:J1500"/>
    <mergeCell ref="B1555:B1556"/>
    <mergeCell ref="C1555:C1556"/>
    <mergeCell ref="D1555:D1556"/>
    <mergeCell ref="E1555:E1556"/>
    <mergeCell ref="F1555:F1556"/>
    <mergeCell ref="G1555:G1556"/>
    <mergeCell ref="H1555:H1556"/>
    <mergeCell ref="I1555:I1556"/>
    <mergeCell ref="J1555:J1556"/>
    <mergeCell ref="O1522:O1523"/>
    <mergeCell ref="P1522:P1523"/>
    <mergeCell ref="Q1522:Q1523"/>
    <mergeCell ref="B1524:E1524"/>
    <mergeCell ref="B1525:Q1525"/>
    <mergeCell ref="B1534:B1535"/>
    <mergeCell ref="C1534:C1535"/>
    <mergeCell ref="D1534:D1535"/>
    <mergeCell ref="E1534:E1535"/>
    <mergeCell ref="F1534:F1535"/>
    <mergeCell ref="G1534:G1535"/>
    <mergeCell ref="H1534:H1535"/>
    <mergeCell ref="I1534:I1535"/>
    <mergeCell ref="J1534:J1535"/>
    <mergeCell ref="F1521:F1523"/>
    <mergeCell ref="G1521:G1523"/>
    <mergeCell ref="H1521:H1523"/>
    <mergeCell ref="I1521:I1523"/>
    <mergeCell ref="J1521:J1523"/>
    <mergeCell ref="K1522:K1523"/>
    <mergeCell ref="L1522:L1523"/>
    <mergeCell ref="M1522:M1523"/>
    <mergeCell ref="N1522:N1523"/>
    <mergeCell ref="L1558:P1558"/>
    <mergeCell ref="B1559:Q1559"/>
    <mergeCell ref="B1560:B1561"/>
    <mergeCell ref="C1560:C1561"/>
    <mergeCell ref="D1560:D1561"/>
    <mergeCell ref="F1560:F1561"/>
    <mergeCell ref="G1560:G1561"/>
    <mergeCell ref="H1560:H1561"/>
    <mergeCell ref="I1560:I1561"/>
    <mergeCell ref="J1560:J1561"/>
    <mergeCell ref="K1560:K1561"/>
    <mergeCell ref="L1560:L1561"/>
    <mergeCell ref="M1560:M1561"/>
    <mergeCell ref="N1560:N1561"/>
    <mergeCell ref="O1560:O1561"/>
    <mergeCell ref="P1560:P1561"/>
    <mergeCell ref="Q1560:Q1561"/>
    <mergeCell ref="L1566:L1567"/>
    <mergeCell ref="M1566:M1567"/>
    <mergeCell ref="N1566:N1567"/>
    <mergeCell ref="O1566:O1567"/>
    <mergeCell ref="P1566:P1567"/>
    <mergeCell ref="Q1566:Q1567"/>
    <mergeCell ref="B1569:B1570"/>
    <mergeCell ref="C1569:C1570"/>
    <mergeCell ref="D1569:D1570"/>
    <mergeCell ref="E1569:E1570"/>
    <mergeCell ref="F1569:F1570"/>
    <mergeCell ref="G1569:G1570"/>
    <mergeCell ref="H1569:H1570"/>
    <mergeCell ref="I1569:I1570"/>
    <mergeCell ref="J1569:J1570"/>
    <mergeCell ref="B1566:B1567"/>
    <mergeCell ref="C1566:C1567"/>
    <mergeCell ref="D1566:D1567"/>
    <mergeCell ref="F1566:F1567"/>
    <mergeCell ref="G1566:G1567"/>
    <mergeCell ref="H1566:H1567"/>
    <mergeCell ref="I1566:I1567"/>
    <mergeCell ref="J1566:J1567"/>
    <mergeCell ref="K1566:K1567"/>
    <mergeCell ref="K1571:K1572"/>
    <mergeCell ref="L1571:L1572"/>
    <mergeCell ref="M1571:M1572"/>
    <mergeCell ref="N1571:N1572"/>
    <mergeCell ref="O1571:O1572"/>
    <mergeCell ref="P1571:P1572"/>
    <mergeCell ref="Q1571:Q1572"/>
    <mergeCell ref="B1573:E1573"/>
    <mergeCell ref="B1574:Q1574"/>
    <mergeCell ref="B1571:B1572"/>
    <mergeCell ref="C1571:C1572"/>
    <mergeCell ref="D1571:D1572"/>
    <mergeCell ref="E1571:E1572"/>
    <mergeCell ref="F1571:F1572"/>
    <mergeCell ref="G1571:G1572"/>
    <mergeCell ref="H1571:H1572"/>
    <mergeCell ref="I1571:I1572"/>
    <mergeCell ref="J1571:J1572"/>
    <mergeCell ref="B1593:E1593"/>
    <mergeCell ref="L1593:Q1593"/>
    <mergeCell ref="B1594:Q1594"/>
    <mergeCell ref="B1598:B1600"/>
    <mergeCell ref="C1598:C1600"/>
    <mergeCell ref="D1598:D1600"/>
    <mergeCell ref="E1598:E1600"/>
    <mergeCell ref="F1598:F1600"/>
    <mergeCell ref="G1598:G1600"/>
    <mergeCell ref="H1598:H1600"/>
    <mergeCell ref="I1598:I1600"/>
    <mergeCell ref="J1598:J1600"/>
    <mergeCell ref="B1579:B1580"/>
    <mergeCell ref="C1579:C1580"/>
    <mergeCell ref="D1579:D1580"/>
    <mergeCell ref="E1579:E1580"/>
    <mergeCell ref="F1579:F1580"/>
    <mergeCell ref="G1579:G1580"/>
    <mergeCell ref="H1579:H1580"/>
    <mergeCell ref="I1579:I1580"/>
    <mergeCell ref="J1579:J1580"/>
    <mergeCell ref="B1605:B1606"/>
    <mergeCell ref="C1605:C1606"/>
    <mergeCell ref="D1605:D1606"/>
    <mergeCell ref="E1605:E1606"/>
    <mergeCell ref="F1605:F1606"/>
    <mergeCell ref="G1605:G1606"/>
    <mergeCell ref="H1605:H1606"/>
    <mergeCell ref="I1605:I1606"/>
    <mergeCell ref="J1605:J1606"/>
    <mergeCell ref="B1603:B1604"/>
    <mergeCell ref="C1603:C1604"/>
    <mergeCell ref="D1603:D1604"/>
    <mergeCell ref="E1603:E1604"/>
    <mergeCell ref="F1603:F1604"/>
    <mergeCell ref="G1603:G1604"/>
    <mergeCell ref="H1603:H1604"/>
    <mergeCell ref="I1603:I1604"/>
    <mergeCell ref="J1603:J1604"/>
    <mergeCell ref="B1609:B1612"/>
    <mergeCell ref="C1609:C1612"/>
    <mergeCell ref="E1609:E1612"/>
    <mergeCell ref="F1609:F1612"/>
    <mergeCell ref="G1609:G1612"/>
    <mergeCell ref="H1609:H1612"/>
    <mergeCell ref="I1609:I1612"/>
    <mergeCell ref="J1609:J1612"/>
    <mergeCell ref="C1613:C1615"/>
    <mergeCell ref="E1613:E1615"/>
    <mergeCell ref="F1613:F1615"/>
    <mergeCell ref="G1613:G1615"/>
    <mergeCell ref="H1613:H1615"/>
    <mergeCell ref="I1613:I1615"/>
    <mergeCell ref="J1613:J1615"/>
    <mergeCell ref="B1607:B1608"/>
    <mergeCell ref="C1607:C1608"/>
    <mergeCell ref="D1607:D1608"/>
    <mergeCell ref="E1607:E1608"/>
    <mergeCell ref="F1607:F1608"/>
    <mergeCell ref="G1607:G1608"/>
    <mergeCell ref="H1607:H1608"/>
    <mergeCell ref="I1607:I1608"/>
    <mergeCell ref="J1607:J1608"/>
    <mergeCell ref="L1616:L1617"/>
    <mergeCell ref="M1616:M1617"/>
    <mergeCell ref="N1616:N1617"/>
    <mergeCell ref="O1616:O1617"/>
    <mergeCell ref="P1616:P1617"/>
    <mergeCell ref="Q1616:Q1617"/>
    <mergeCell ref="C1620:C1622"/>
    <mergeCell ref="E1620:E1622"/>
    <mergeCell ref="F1620:F1622"/>
    <mergeCell ref="G1620:G1622"/>
    <mergeCell ref="H1620:H1622"/>
    <mergeCell ref="I1620:I1622"/>
    <mergeCell ref="J1620:J1622"/>
    <mergeCell ref="B1616:B1619"/>
    <mergeCell ref="C1616:C1619"/>
    <mergeCell ref="D1616:D1619"/>
    <mergeCell ref="E1616:E1619"/>
    <mergeCell ref="F1616:F1619"/>
    <mergeCell ref="G1616:G1619"/>
    <mergeCell ref="H1616:H1619"/>
    <mergeCell ref="I1616:I1619"/>
    <mergeCell ref="J1616:J1619"/>
    <mergeCell ref="C1623:C1625"/>
    <mergeCell ref="E1623:E1625"/>
    <mergeCell ref="F1623:F1625"/>
    <mergeCell ref="G1623:G1625"/>
    <mergeCell ref="H1623:H1625"/>
    <mergeCell ref="I1623:I1625"/>
    <mergeCell ref="J1623:J1625"/>
    <mergeCell ref="B1626:B1628"/>
    <mergeCell ref="C1626:C1628"/>
    <mergeCell ref="D1626:D1628"/>
    <mergeCell ref="E1626:E1628"/>
    <mergeCell ref="F1626:F1628"/>
    <mergeCell ref="G1626:G1628"/>
    <mergeCell ref="H1626:H1628"/>
    <mergeCell ref="I1626:I1628"/>
    <mergeCell ref="J1626:J1628"/>
    <mergeCell ref="K1616:K1617"/>
    <mergeCell ref="B1635:E1635"/>
    <mergeCell ref="L1635:P1635"/>
    <mergeCell ref="B1636:Q1636"/>
    <mergeCell ref="B1637:B1638"/>
    <mergeCell ref="C1637:C1638"/>
    <mergeCell ref="D1637:D1638"/>
    <mergeCell ref="F1637:F1638"/>
    <mergeCell ref="G1637:G1638"/>
    <mergeCell ref="H1637:H1638"/>
    <mergeCell ref="I1637:I1638"/>
    <mergeCell ref="J1637:J1638"/>
    <mergeCell ref="K1637:K1638"/>
    <mergeCell ref="L1637:L1638"/>
    <mergeCell ref="K1626:K1627"/>
    <mergeCell ref="L1626:L1627"/>
    <mergeCell ref="M1626:M1627"/>
    <mergeCell ref="N1626:N1627"/>
    <mergeCell ref="O1626:O1627"/>
    <mergeCell ref="P1626:P1627"/>
    <mergeCell ref="Q1626:Q1627"/>
    <mergeCell ref="B1632:B1634"/>
    <mergeCell ref="C1632:C1634"/>
    <mergeCell ref="D1632:D1634"/>
    <mergeCell ref="E1632:E1634"/>
    <mergeCell ref="F1632:F1634"/>
    <mergeCell ref="G1632:G1634"/>
    <mergeCell ref="H1632:H1634"/>
    <mergeCell ref="I1632:I1634"/>
    <mergeCell ref="J1632:J1634"/>
    <mergeCell ref="B1663:B1664"/>
    <mergeCell ref="C1663:C1664"/>
    <mergeCell ref="D1663:D1664"/>
    <mergeCell ref="E1663:E1664"/>
    <mergeCell ref="F1663:F1664"/>
    <mergeCell ref="G1663:G1664"/>
    <mergeCell ref="H1663:H1664"/>
    <mergeCell ref="I1663:I1664"/>
    <mergeCell ref="J1663:J1664"/>
    <mergeCell ref="B1650:E1650"/>
    <mergeCell ref="B1651:Q1651"/>
    <mergeCell ref="B1661:B1662"/>
    <mergeCell ref="C1661:C1662"/>
    <mergeCell ref="D1661:D1662"/>
    <mergeCell ref="E1661:E1662"/>
    <mergeCell ref="F1661:F1662"/>
    <mergeCell ref="G1661:G1662"/>
    <mergeCell ref="H1661:H1662"/>
    <mergeCell ref="I1661:I1662"/>
    <mergeCell ref="J1661:J1662"/>
    <mergeCell ref="K1665:K1666"/>
    <mergeCell ref="L1665:L1666"/>
    <mergeCell ref="M1665:M1666"/>
    <mergeCell ref="N1665:N1666"/>
    <mergeCell ref="O1665:O1666"/>
    <mergeCell ref="P1665:P1666"/>
    <mergeCell ref="Q1665:Q1666"/>
    <mergeCell ref="B1667:B1668"/>
    <mergeCell ref="C1667:C1668"/>
    <mergeCell ref="D1667:D1668"/>
    <mergeCell ref="E1667:E1668"/>
    <mergeCell ref="F1667:F1668"/>
    <mergeCell ref="G1667:G1668"/>
    <mergeCell ref="H1667:H1668"/>
    <mergeCell ref="I1667:I1668"/>
    <mergeCell ref="J1667:J1668"/>
    <mergeCell ref="K1667:K1668"/>
    <mergeCell ref="L1667:L1668"/>
    <mergeCell ref="M1667:M1668"/>
    <mergeCell ref="N1667:N1668"/>
    <mergeCell ref="O1667:O1668"/>
    <mergeCell ref="P1667:P1668"/>
    <mergeCell ref="Q1667:Q1668"/>
    <mergeCell ref="B1665:B1666"/>
    <mergeCell ref="C1665:C1666"/>
    <mergeCell ref="D1665:D1666"/>
    <mergeCell ref="E1665:E1666"/>
    <mergeCell ref="F1665:F1666"/>
    <mergeCell ref="G1665:G1666"/>
    <mergeCell ref="H1665:H1666"/>
    <mergeCell ref="I1665:I1666"/>
    <mergeCell ref="J1665:J1666"/>
    <mergeCell ref="I1684:I1685"/>
    <mergeCell ref="B1681:B1682"/>
    <mergeCell ref="C1681:C1682"/>
    <mergeCell ref="D1681:D1682"/>
    <mergeCell ref="E1681:E1682"/>
    <mergeCell ref="F1681:F1682"/>
    <mergeCell ref="G1681:G1682"/>
    <mergeCell ref="H1681:H1682"/>
    <mergeCell ref="I1681:I1682"/>
    <mergeCell ref="B1669:E1669"/>
    <mergeCell ref="L1669:Q1669"/>
    <mergeCell ref="B1679:B1680"/>
    <mergeCell ref="C1679:C1680"/>
    <mergeCell ref="D1679:D1680"/>
    <mergeCell ref="E1679:E1680"/>
    <mergeCell ref="F1679:F1680"/>
    <mergeCell ref="G1679:G1680"/>
    <mergeCell ref="H1679:H1680"/>
    <mergeCell ref="I1679:I1680"/>
    <mergeCell ref="J1679:J1680"/>
    <mergeCell ref="C1684:C1685"/>
    <mergeCell ref="D1684:D1685"/>
    <mergeCell ref="E1684:E1685"/>
    <mergeCell ref="F1684:F1685"/>
    <mergeCell ref="G1684:G1685"/>
    <mergeCell ref="H1684:H1685"/>
    <mergeCell ref="B1670:Q1670"/>
    <mergeCell ref="K1671:K1672"/>
    <mergeCell ref="K1679:K1680"/>
    <mergeCell ref="J1681:J1682"/>
    <mergeCell ref="J1684:J1685"/>
    <mergeCell ref="B1684:B1685"/>
    <mergeCell ref="B1770:B1771"/>
    <mergeCell ref="C1770:C1771"/>
    <mergeCell ref="D1770:D1771"/>
    <mergeCell ref="E1770:E1771"/>
    <mergeCell ref="F1770:F1771"/>
    <mergeCell ref="G1770:G1771"/>
    <mergeCell ref="H1770:H1771"/>
    <mergeCell ref="I1770:I1771"/>
    <mergeCell ref="L1747:Q1747"/>
    <mergeCell ref="B1748:Q1748"/>
    <mergeCell ref="B1761:E1761"/>
    <mergeCell ref="L1761:Q1761"/>
    <mergeCell ref="B1762:Q1762"/>
    <mergeCell ref="J1770:J1771"/>
    <mergeCell ref="E1704:E1705"/>
    <mergeCell ref="F1704:F1705"/>
    <mergeCell ref="G1704:G1705"/>
    <mergeCell ref="H1704:H1705"/>
    <mergeCell ref="I1704:I1705"/>
    <mergeCell ref="B1736:E1736"/>
    <mergeCell ref="B1737:Q1737"/>
    <mergeCell ref="B1741:E1741"/>
    <mergeCell ref="L1741:Q1741"/>
    <mergeCell ref="B1742:Q1742"/>
    <mergeCell ref="B1747:E1747"/>
    <mergeCell ref="B1782:B1787"/>
    <mergeCell ref="C1782:C1787"/>
    <mergeCell ref="D1782:D1787"/>
    <mergeCell ref="G1782:G1787"/>
    <mergeCell ref="H1782:H1787"/>
    <mergeCell ref="I1782:I1787"/>
    <mergeCell ref="B1778:B1781"/>
    <mergeCell ref="C1778:C1781"/>
    <mergeCell ref="D1778:D1781"/>
    <mergeCell ref="E1778:E1781"/>
    <mergeCell ref="F1778:F1781"/>
    <mergeCell ref="G1778:G1781"/>
    <mergeCell ref="H1778:H1781"/>
    <mergeCell ref="I1778:I1781"/>
    <mergeCell ref="B1772:B1773"/>
    <mergeCell ref="C1772:C1773"/>
    <mergeCell ref="D1772:D1773"/>
    <mergeCell ref="G1772:G1773"/>
    <mergeCell ref="H1772:H1773"/>
    <mergeCell ref="I1772:I1773"/>
    <mergeCell ref="B1776:B1777"/>
    <mergeCell ref="C1776:C1777"/>
    <mergeCell ref="D1776:D1777"/>
    <mergeCell ref="G1776:G1777"/>
    <mergeCell ref="H1776:H1777"/>
    <mergeCell ref="I1776:I1777"/>
    <mergeCell ref="E1772:E1773"/>
    <mergeCell ref="B1797:B1798"/>
    <mergeCell ref="C1797:C1798"/>
    <mergeCell ref="D1797:D1798"/>
    <mergeCell ref="E1797:E1798"/>
    <mergeCell ref="F1797:F1798"/>
    <mergeCell ref="G1797:G1798"/>
    <mergeCell ref="H1797:H1798"/>
    <mergeCell ref="I1797:I1798"/>
    <mergeCell ref="B1792:E1792"/>
    <mergeCell ref="L1792:Q1792"/>
    <mergeCell ref="B1793:Q1793"/>
    <mergeCell ref="J1797:J1798"/>
    <mergeCell ref="B1788:B1790"/>
    <mergeCell ref="C1788:C1790"/>
    <mergeCell ref="D1788:D1790"/>
    <mergeCell ref="G1788:G1790"/>
    <mergeCell ref="H1788:H1790"/>
    <mergeCell ref="I1788:I1790"/>
    <mergeCell ref="M1799:M1800"/>
    <mergeCell ref="N1799:N1800"/>
    <mergeCell ref="O1799:O1800"/>
    <mergeCell ref="P1799:P1800"/>
    <mergeCell ref="B1810:B1811"/>
    <mergeCell ref="C1810:C1811"/>
    <mergeCell ref="D1810:D1811"/>
    <mergeCell ref="E1810:E1811"/>
    <mergeCell ref="F1810:F1811"/>
    <mergeCell ref="G1810:G1811"/>
    <mergeCell ref="H1810:H1811"/>
    <mergeCell ref="I1810:I1811"/>
    <mergeCell ref="B1799:B1800"/>
    <mergeCell ref="C1799:C1800"/>
    <mergeCell ref="D1799:D1800"/>
    <mergeCell ref="E1799:E1800"/>
    <mergeCell ref="F1799:F1800"/>
    <mergeCell ref="G1799:G1800"/>
    <mergeCell ref="H1799:H1800"/>
    <mergeCell ref="I1799:I1800"/>
    <mergeCell ref="B1833:B1835"/>
    <mergeCell ref="C1833:C1835"/>
    <mergeCell ref="D1833:D1835"/>
    <mergeCell ref="E1833:E1835"/>
    <mergeCell ref="F1833:F1835"/>
    <mergeCell ref="G1833:G1835"/>
    <mergeCell ref="H1833:H1835"/>
    <mergeCell ref="I1833:I1835"/>
    <mergeCell ref="B1830:E1830"/>
    <mergeCell ref="B1831:Q1831"/>
    <mergeCell ref="J1833:J1835"/>
    <mergeCell ref="B1824:B1825"/>
    <mergeCell ref="C1824:C1825"/>
    <mergeCell ref="F1824:F1825"/>
    <mergeCell ref="G1824:G1825"/>
    <mergeCell ref="H1824:H1825"/>
    <mergeCell ref="I1824:I1825"/>
    <mergeCell ref="B1828:B1829"/>
    <mergeCell ref="C1828:C1829"/>
    <mergeCell ref="D1828:D1829"/>
    <mergeCell ref="B1863:B1864"/>
    <mergeCell ref="C1863:C1864"/>
    <mergeCell ref="D1863:D1864"/>
    <mergeCell ref="E1863:E1864"/>
    <mergeCell ref="F1863:F1864"/>
    <mergeCell ref="G1863:G1864"/>
    <mergeCell ref="H1863:H1864"/>
    <mergeCell ref="I1863:I1864"/>
    <mergeCell ref="J1863:J1864"/>
    <mergeCell ref="K1863:K1864"/>
    <mergeCell ref="L1863:L1864"/>
    <mergeCell ref="M1863:M1864"/>
    <mergeCell ref="N1863:N1864"/>
    <mergeCell ref="O1863:O1864"/>
    <mergeCell ref="P1863:P1864"/>
    <mergeCell ref="B1836:B1840"/>
    <mergeCell ref="C1836:C1840"/>
    <mergeCell ref="D1836:D1840"/>
    <mergeCell ref="E1836:E1840"/>
    <mergeCell ref="F1836:F1840"/>
    <mergeCell ref="G1836:G1840"/>
    <mergeCell ref="H1836:H1840"/>
    <mergeCell ref="I1836:I1840"/>
    <mergeCell ref="J1865:J1866"/>
    <mergeCell ref="K1865:K1866"/>
    <mergeCell ref="L1865:L1866"/>
    <mergeCell ref="M1865:M1866"/>
    <mergeCell ref="N1865:N1866"/>
    <mergeCell ref="O1865:O1866"/>
    <mergeCell ref="P1865:P1866"/>
    <mergeCell ref="B1867:B1868"/>
    <mergeCell ref="C1867:C1868"/>
    <mergeCell ref="D1867:D1868"/>
    <mergeCell ref="E1867:E1868"/>
    <mergeCell ref="F1867:F1868"/>
    <mergeCell ref="G1867:G1868"/>
    <mergeCell ref="H1867:H1868"/>
    <mergeCell ref="I1867:I1868"/>
    <mergeCell ref="J1867:J1868"/>
    <mergeCell ref="K1867:K1868"/>
    <mergeCell ref="L1867:L1868"/>
    <mergeCell ref="M1867:M1868"/>
    <mergeCell ref="N1867:N1868"/>
    <mergeCell ref="O1867:O1868"/>
    <mergeCell ref="P1867:P1868"/>
    <mergeCell ref="B1865:B1866"/>
    <mergeCell ref="C1865:C1866"/>
    <mergeCell ref="D1865:D1866"/>
    <mergeCell ref="E1865:E1866"/>
    <mergeCell ref="F1865:F1866"/>
    <mergeCell ref="G1865:G1866"/>
    <mergeCell ref="H1865:H1866"/>
    <mergeCell ref="I1865:I1866"/>
    <mergeCell ref="B1872:Q1872"/>
    <mergeCell ref="B1875:E1875"/>
    <mergeCell ref="B1876:Q1876"/>
    <mergeCell ref="B1895:E1895"/>
    <mergeCell ref="L1895:Q1895"/>
    <mergeCell ref="B1896:Q1896"/>
    <mergeCell ref="B1899:E1899"/>
    <mergeCell ref="L1899:Q1899"/>
    <mergeCell ref="B1900:Q1900"/>
    <mergeCell ref="J1869:J1870"/>
    <mergeCell ref="K1869:K1870"/>
    <mergeCell ref="L1869:L1870"/>
    <mergeCell ref="M1869:M1870"/>
    <mergeCell ref="N1869:N1870"/>
    <mergeCell ref="O1869:O1870"/>
    <mergeCell ref="P1869:P1870"/>
    <mergeCell ref="B1871:E1871"/>
    <mergeCell ref="L1871:Q1871"/>
    <mergeCell ref="B1869:B1870"/>
    <mergeCell ref="C1869:C1870"/>
    <mergeCell ref="D1869:D1870"/>
    <mergeCell ref="E1869:E1870"/>
    <mergeCell ref="F1869:F1870"/>
    <mergeCell ref="G1869:G1870"/>
    <mergeCell ref="H1869:H1870"/>
    <mergeCell ref="I1869:I1870"/>
    <mergeCell ref="B1995:Q1995"/>
    <mergeCell ref="B1928:Q1928"/>
    <mergeCell ref="B1929:Q1929"/>
    <mergeCell ref="B1953:E1953"/>
    <mergeCell ref="B1954:Q1954"/>
    <mergeCell ref="N1914:N1915"/>
    <mergeCell ref="O1914:O1915"/>
    <mergeCell ref="P1914:P1915"/>
    <mergeCell ref="B1919:B1920"/>
    <mergeCell ref="C1919:C1920"/>
    <mergeCell ref="D1919:D1920"/>
    <mergeCell ref="E1919:E1920"/>
    <mergeCell ref="F1919:F1920"/>
    <mergeCell ref="G1919:G1920"/>
    <mergeCell ref="H1919:H1920"/>
    <mergeCell ref="I1919:I1920"/>
    <mergeCell ref="J1914:J1915"/>
    <mergeCell ref="B1914:B1915"/>
    <mergeCell ref="C1914:C1915"/>
    <mergeCell ref="D1914:D1915"/>
    <mergeCell ref="E1914:E1915"/>
    <mergeCell ref="F1914:F1915"/>
    <mergeCell ref="G1914:G1915"/>
    <mergeCell ref="H1914:H1915"/>
    <mergeCell ref="I1914:I1915"/>
    <mergeCell ref="N2000:N2001"/>
    <mergeCell ref="O2000:O2001"/>
    <mergeCell ref="B2014:B2015"/>
    <mergeCell ref="C2014:C2015"/>
    <mergeCell ref="D2014:D2015"/>
    <mergeCell ref="E2014:E2015"/>
    <mergeCell ref="F2014:F2015"/>
    <mergeCell ref="G2014:G2015"/>
    <mergeCell ref="H2014:H2015"/>
    <mergeCell ref="I2014:I2015"/>
    <mergeCell ref="J2014:J2015"/>
    <mergeCell ref="K2014:K2015"/>
    <mergeCell ref="L2014:L2015"/>
    <mergeCell ref="M2014:M2015"/>
    <mergeCell ref="N2014:N2015"/>
    <mergeCell ref="O2014:O2015"/>
    <mergeCell ref="D2000:D2001"/>
    <mergeCell ref="B2009:E2009"/>
    <mergeCell ref="B2010:Q2010"/>
    <mergeCell ref="P2014:P2015"/>
    <mergeCell ref="F2000:F2001"/>
    <mergeCell ref="G2000:G2001"/>
    <mergeCell ref="H2000:H2001"/>
    <mergeCell ref="K2000:K2001"/>
    <mergeCell ref="L2000:L2001"/>
    <mergeCell ref="M2000:M2001"/>
    <mergeCell ref="J1687:J1688"/>
    <mergeCell ref="B1689:E1689"/>
    <mergeCell ref="L1689:Q1689"/>
    <mergeCell ref="B1690:J1690"/>
    <mergeCell ref="C1704:C1705"/>
    <mergeCell ref="J1704:J1705"/>
    <mergeCell ref="B1714:E1714"/>
    <mergeCell ref="B1715:Q1715"/>
    <mergeCell ref="K1716:K1717"/>
    <mergeCell ref="B1727:E1727"/>
    <mergeCell ref="B1728:Q1728"/>
    <mergeCell ref="K1729:K1730"/>
    <mergeCell ref="B1687:B1688"/>
    <mergeCell ref="C1687:C1688"/>
    <mergeCell ref="D1687:D1688"/>
    <mergeCell ref="E1687:E1688"/>
    <mergeCell ref="F1687:F1688"/>
    <mergeCell ref="G1687:G1688"/>
    <mergeCell ref="H1687:H1688"/>
    <mergeCell ref="I1687:I1688"/>
    <mergeCell ref="Q1799:Q1800"/>
    <mergeCell ref="L1801:L1802"/>
    <mergeCell ref="J1810:J1811"/>
    <mergeCell ref="E1812:E1813"/>
    <mergeCell ref="B1814:E1814"/>
    <mergeCell ref="B1815:Q1815"/>
    <mergeCell ref="J1817:J1818"/>
    <mergeCell ref="D1824:D1825"/>
    <mergeCell ref="J1824:J1825"/>
    <mergeCell ref="J1772:J1773"/>
    <mergeCell ref="E1776:E1777"/>
    <mergeCell ref="J1776:J1777"/>
    <mergeCell ref="J1778:J1781"/>
    <mergeCell ref="E1782:E1787"/>
    <mergeCell ref="J1782:J1787"/>
    <mergeCell ref="N1787:Q1787"/>
    <mergeCell ref="E1788:E1790"/>
    <mergeCell ref="J1788:J1790"/>
    <mergeCell ref="B1812:B1813"/>
    <mergeCell ref="C1812:C1813"/>
    <mergeCell ref="D1812:D1813"/>
    <mergeCell ref="B1817:B1818"/>
    <mergeCell ref="C1817:C1818"/>
    <mergeCell ref="D1817:D1818"/>
    <mergeCell ref="E1817:E1818"/>
    <mergeCell ref="F1817:F1818"/>
    <mergeCell ref="G1817:G1818"/>
    <mergeCell ref="H1817:H1818"/>
    <mergeCell ref="I1817:I1818"/>
    <mergeCell ref="J1799:J1800"/>
    <mergeCell ref="K1799:K1800"/>
    <mergeCell ref="L1799:L1800"/>
    <mergeCell ref="B2017:E2017"/>
    <mergeCell ref="Q1914:Q1915"/>
    <mergeCell ref="B1917:E1917"/>
    <mergeCell ref="B1918:Q1918"/>
    <mergeCell ref="J1919:J1920"/>
    <mergeCell ref="B1923:E1923"/>
    <mergeCell ref="L1923:Q1923"/>
    <mergeCell ref="B1924:Q1924"/>
    <mergeCell ref="B1927:E1927"/>
    <mergeCell ref="L1927:Q1927"/>
    <mergeCell ref="J1836:J1840"/>
    <mergeCell ref="B1843:E1843"/>
    <mergeCell ref="B1844:Q1844"/>
    <mergeCell ref="B1857:E1857"/>
    <mergeCell ref="B1858:Q1858"/>
    <mergeCell ref="Q1863:Q1864"/>
    <mergeCell ref="Q1865:Q1866"/>
    <mergeCell ref="Q1867:Q1868"/>
    <mergeCell ref="Q1869:Q1870"/>
    <mergeCell ref="I2000:I2001"/>
    <mergeCell ref="J2000:J2001"/>
    <mergeCell ref="B1969:E1969"/>
    <mergeCell ref="L1969:Q1969"/>
    <mergeCell ref="B1970:Q1970"/>
    <mergeCell ref="B1984:E1984"/>
    <mergeCell ref="L1984:Q1984"/>
    <mergeCell ref="B1985:Q1985"/>
    <mergeCell ref="B1994:E1994"/>
    <mergeCell ref="L1994:Q1994"/>
    <mergeCell ref="P2000:P2001"/>
    <mergeCell ref="B2000:B2001"/>
    <mergeCell ref="C2000:C2001"/>
  </mergeCells>
  <printOptions horizontalCentered="1"/>
  <pageMargins left="0.19685039370078741" right="0.19685039370078741" top="0.98425196850393704" bottom="0.59055118110236227" header="0" footer="0.19685039370078741"/>
  <pageSetup paperSize="9" scale="50" fitToHeight="0" orientation="landscape" r:id="rId1"/>
  <headerFooter>
    <oddFooter>&amp;R&amp;P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E35" sqref="E35"/>
    </sheetView>
  </sheetViews>
  <sheetFormatPr defaultRowHeight="15" x14ac:dyDescent="0.25"/>
  <sheetData>
    <row r="1" spans="1:6" x14ac:dyDescent="0.25">
      <c r="A1" s="10"/>
      <c r="B1" s="18" t="s">
        <v>6</v>
      </c>
      <c r="C1" s="14"/>
      <c r="D1" s="6"/>
      <c r="E1" s="4"/>
      <c r="F1" s="5"/>
    </row>
    <row r="2" spans="1:6" x14ac:dyDescent="0.25">
      <c r="A2" s="10"/>
      <c r="B2" s="2256" t="s">
        <v>7</v>
      </c>
      <c r="C2" s="2256"/>
      <c r="D2" s="2256"/>
      <c r="E2" s="2256"/>
      <c r="F2" s="2256"/>
    </row>
    <row r="3" spans="1:6" x14ac:dyDescent="0.25">
      <c r="A3" s="10"/>
      <c r="B3" s="2256" t="s">
        <v>8</v>
      </c>
      <c r="C3" s="2256"/>
      <c r="D3" s="2256"/>
      <c r="E3" s="2256"/>
      <c r="F3" s="2256"/>
    </row>
    <row r="4" spans="1:6" x14ac:dyDescent="0.25">
      <c r="A4" s="10"/>
      <c r="B4" s="2256" t="s">
        <v>9</v>
      </c>
      <c r="C4" s="2256"/>
      <c r="D4" s="2256"/>
      <c r="E4" s="2256"/>
      <c r="F4" s="2256"/>
    </row>
    <row r="5" spans="1:6" x14ac:dyDescent="0.25">
      <c r="A5" s="11"/>
      <c r="B5" s="2256" t="s">
        <v>10</v>
      </c>
      <c r="C5" s="2256"/>
      <c r="D5" s="2256"/>
      <c r="E5" s="2256"/>
      <c r="F5" s="2256"/>
    </row>
    <row r="6" spans="1:6" x14ac:dyDescent="0.25">
      <c r="A6" s="11"/>
      <c r="B6" s="2256" t="s">
        <v>11</v>
      </c>
      <c r="C6" s="2256"/>
      <c r="D6" s="2256"/>
      <c r="E6" s="2256"/>
      <c r="F6" s="2256"/>
    </row>
    <row r="7" spans="1:6" x14ac:dyDescent="0.25">
      <c r="A7" s="11"/>
      <c r="B7" s="2256" t="s">
        <v>12</v>
      </c>
      <c r="C7" s="2256"/>
      <c r="D7" s="2256"/>
      <c r="E7" s="2256"/>
      <c r="F7" s="2256"/>
    </row>
  </sheetData>
  <mergeCells count="6">
    <mergeCell ref="B7:F7"/>
    <mergeCell ref="B2:F2"/>
    <mergeCell ref="B3:F3"/>
    <mergeCell ref="B4:F4"/>
    <mergeCell ref="B5:F5"/>
    <mergeCell ref="B6:F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738D555A62F6499DC99B39A17545CE" ma:contentTypeVersion="17" ma:contentTypeDescription="Create a new document." ma:contentTypeScope="" ma:versionID="51ef2a954b69d86734c14b4cd506bcfe">
  <xsd:schema xmlns:xsd="http://www.w3.org/2001/XMLSchema" xmlns:xs="http://www.w3.org/2001/XMLSchema" xmlns:p="http://schemas.microsoft.com/office/2006/metadata/properties" xmlns:ns2="e590a687-f655-4293-821c-a8c4c8c5993c" xmlns:ns3="6b6090d3-9f40-490c-b14a-1443dd12409b" xmlns:ns4="3e02667f-0271-471b-bd6e-11a2e16def1d" targetNamespace="http://schemas.microsoft.com/office/2006/metadata/properties" ma:root="true" ma:fieldsID="af103c883d2af257059248ef15c4ccfb" ns2:_="" ns3:_="" ns4:_="">
    <xsd:import namespace="e590a687-f655-4293-821c-a8c4c8c5993c"/>
    <xsd:import namespace="6b6090d3-9f40-490c-b14a-1443dd12409b"/>
    <xsd:import namespace="3e02667f-0271-471b-bd6e-11a2e16def1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Notes" minOccurs="0"/>
                <xsd:element ref="ns2:lcf76f155ced4ddcb4097134ff3c332f" minOccurs="0"/>
                <xsd:element ref="ns4: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90a687-f655-4293-821c-a8c4c8c599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Notes" ma:index="20" nillable="true" ma:displayName="Notes" ma:format="Dropdown" ma:internalName="Notes">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a6c10d7-b926-4fc0-945e-3cbf5049f6bd" ma:termSetId="09814cd3-568e-fe90-9814-8d621ff8fb84" ma:anchorId="fba54fb3-c3e1-fe81-a776-ca4b69148c4d" ma:open="true" ma:isKeyword="false">
      <xsd:complexType>
        <xsd:sequence>
          <xsd:element ref="pc:Terms" minOccurs="0" maxOccurs="1"/>
        </xsd:sequence>
      </xsd:complex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b6090d3-9f40-490c-b14a-1443dd12409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4a2f1736-0d0f-45ed-8ea0-1cc91ec71246}" ma:internalName="TaxCatchAll" ma:showField="CatchAllData" ma:web="6b6090d3-9f40-490c-b14a-1443dd12409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otes xmlns="e590a687-f655-4293-821c-a8c4c8c5993c" xsi:nil="true"/>
    <lcf76f155ced4ddcb4097134ff3c332f xmlns="e590a687-f655-4293-821c-a8c4c8c5993c">
      <Terms xmlns="http://schemas.microsoft.com/office/infopath/2007/PartnerControls"/>
    </lcf76f155ced4ddcb4097134ff3c332f>
    <TaxCatchAll xmlns="3e02667f-0271-471b-bd6e-11a2e16def1d" xsi:nil="true"/>
  </documentManagement>
</p:properties>
</file>

<file path=customXml/itemProps1.xml><?xml version="1.0" encoding="utf-8"?>
<ds:datastoreItem xmlns:ds="http://schemas.openxmlformats.org/officeDocument/2006/customXml" ds:itemID="{59EC6278-417F-4C74-B241-9FF1EC3428DF}"/>
</file>

<file path=customXml/itemProps2.xml><?xml version="1.0" encoding="utf-8"?>
<ds:datastoreItem xmlns:ds="http://schemas.openxmlformats.org/officeDocument/2006/customXml" ds:itemID="{9D54AEF6-16FA-45F5-8724-ADEF3B5308D4}"/>
</file>

<file path=customXml/itemProps3.xml><?xml version="1.0" encoding="utf-8"?>
<ds:datastoreItem xmlns:ds="http://schemas.openxmlformats.org/officeDocument/2006/customXml" ds:itemID="{22D6D67F-306D-4146-8A1C-F55D8FC868E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2</vt:i4>
      </vt:variant>
    </vt:vector>
  </HeadingPairs>
  <TitlesOfParts>
    <vt:vector size="4" baseType="lpstr">
      <vt:lpstr>Приложение 11</vt:lpstr>
      <vt:lpstr>Лист1</vt:lpstr>
      <vt:lpstr>'Приложение 11'!Заголовки_для_печати</vt:lpstr>
      <vt:lpstr>'Приложение 11'!Область_печати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Зарлык Исмаилов</cp:lastModifiedBy>
  <cp:lastPrinted>2019-12-11T09:33:05Z</cp:lastPrinted>
  <dcterms:created xsi:type="dcterms:W3CDTF">2018-08-08T11:01:49Z</dcterms:created>
  <dcterms:modified xsi:type="dcterms:W3CDTF">2019-12-18T09:43:16Z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0x010100D5738D555A62F6499DC99B39A17545CE</vt:lpwstr>
  </property>
</Properties>
</file>