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comments2.xml" ContentType="application/vnd.openxmlformats-officedocument.spreadsheetml.comments+xml"/>
  <Override PartName="/docProps/core.xml" ContentType="application/vnd.openxmlformats-package.core-properties+xml"/>
  <Override PartName="/xl/externalLinks/externalLink3.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20" yWindow="-255" windowWidth="14175" windowHeight="12210" activeTab="1"/>
  </bookViews>
  <sheets>
    <sheet name="Приложение 11 кыр" sheetId="4" r:id="rId1"/>
    <sheet name="приложение 11-2 кырг" sheetId="5" r:id="rId2"/>
  </sheets>
  <externalReferences>
    <externalReference r:id="rId3"/>
    <externalReference r:id="rId4"/>
    <externalReference r:id="rId5"/>
  </externalReferences>
  <definedNames>
    <definedName name="Items">[1]Lists!$D$2:$D$297</definedName>
    <definedName name="_xlnm.Print_Titles" localSheetId="0">'Приложение 11 кыр'!$9:$11</definedName>
    <definedName name="_xlnm.Print_Titles" localSheetId="1">'приложение 11-2 кырг'!$9:$11</definedName>
    <definedName name="_xlnm.Print_Area" localSheetId="0">'Приложение 11 кыр'!$B$1:$Q$1799</definedName>
    <definedName name="_xlnm.Print_Area" localSheetId="1">'приложение 11-2 кырг'!$A$1:$P$167</definedName>
  </definedNames>
  <calcPr calcId="144525"/>
</workbook>
</file>

<file path=xl/calcChain.xml><?xml version="1.0" encoding="utf-8"?>
<calcChain xmlns="http://schemas.openxmlformats.org/spreadsheetml/2006/main">
  <c r="I1799" i="4" l="1"/>
  <c r="G1799" i="4"/>
  <c r="J1797" i="4"/>
  <c r="J1795" i="4" s="1"/>
  <c r="J1799" i="4" s="1"/>
  <c r="I1797" i="4"/>
  <c r="I1795" i="4" s="1"/>
  <c r="H1797" i="4"/>
  <c r="H1795" i="4"/>
  <c r="G1795" i="4"/>
  <c r="J1794" i="4"/>
  <c r="I1794" i="4"/>
  <c r="H1794" i="4"/>
  <c r="G1794" i="4"/>
  <c r="J1793" i="4"/>
  <c r="I1793" i="4"/>
  <c r="H1793" i="4"/>
  <c r="G1793" i="4"/>
  <c r="J1792" i="4"/>
  <c r="I1792" i="4"/>
  <c r="H1792" i="4"/>
  <c r="H1799" i="4" s="1"/>
  <c r="G1792" i="4"/>
  <c r="F1792" i="4"/>
  <c r="I1790" i="4"/>
  <c r="H1789" i="4"/>
  <c r="H1787" i="4"/>
  <c r="H1785" i="4"/>
  <c r="H1784" i="4"/>
  <c r="H1783" i="4"/>
  <c r="H1782" i="4" s="1"/>
  <c r="H1790" i="4" s="1"/>
  <c r="J1782" i="4"/>
  <c r="J1790" i="4" s="1"/>
  <c r="I1782" i="4"/>
  <c r="G1782" i="4"/>
  <c r="G1790" i="4" s="1"/>
  <c r="E1779" i="4"/>
  <c r="J1778" i="4"/>
  <c r="I1778" i="4"/>
  <c r="H1778" i="4"/>
  <c r="J1776" i="4"/>
  <c r="F1776" i="4"/>
  <c r="H1775" i="4"/>
  <c r="J1774" i="4"/>
  <c r="I1774" i="4"/>
  <c r="H1774" i="4"/>
  <c r="G1774" i="4"/>
  <c r="F1774" i="4"/>
  <c r="E1773" i="4"/>
  <c r="E1772" i="4"/>
  <c r="E1771" i="4"/>
  <c r="H1770" i="4"/>
  <c r="H1769" i="4"/>
  <c r="E1769" i="4"/>
  <c r="J1768" i="4"/>
  <c r="I1768" i="4"/>
  <c r="I1776" i="4" s="1"/>
  <c r="H1768" i="4"/>
  <c r="H1776" i="4" s="1"/>
  <c r="G1768" i="4"/>
  <c r="G1776" i="4" s="1"/>
  <c r="F1768" i="4"/>
  <c r="H1766" i="4"/>
  <c r="J1762" i="4"/>
  <c r="I1762" i="4"/>
  <c r="I1766" i="4" s="1"/>
  <c r="H1762" i="4"/>
  <c r="G1762" i="4"/>
  <c r="F1762" i="4"/>
  <c r="J1754" i="4"/>
  <c r="J1766" i="4" s="1"/>
  <c r="I1754" i="4"/>
  <c r="H1754" i="4"/>
  <c r="G1754" i="4"/>
  <c r="G1766" i="4" s="1"/>
  <c r="F1754" i="4"/>
  <c r="F1766" i="4" s="1"/>
  <c r="G1752" i="4"/>
  <c r="J1750" i="4"/>
  <c r="I1750" i="4"/>
  <c r="H1750" i="4"/>
  <c r="H1752" i="4" s="1"/>
  <c r="G1750" i="4"/>
  <c r="F1750" i="4"/>
  <c r="J1747" i="4"/>
  <c r="I1747" i="4"/>
  <c r="I1752" i="4" s="1"/>
  <c r="H1747" i="4"/>
  <c r="G1747" i="4"/>
  <c r="F1747" i="4"/>
  <c r="J1740" i="4"/>
  <c r="J1752" i="4" s="1"/>
  <c r="I1740" i="4"/>
  <c r="H1740" i="4"/>
  <c r="G1740" i="4"/>
  <c r="F1740" i="4"/>
  <c r="F1752" i="4" s="1"/>
  <c r="G1738" i="4"/>
  <c r="J1736" i="4"/>
  <c r="I1736" i="4"/>
  <c r="H1736" i="4"/>
  <c r="G1736" i="4"/>
  <c r="F1736" i="4"/>
  <c r="J1729" i="4"/>
  <c r="I1729" i="4"/>
  <c r="H1729" i="4"/>
  <c r="G1729" i="4"/>
  <c r="F1729" i="4"/>
  <c r="F1725" i="4"/>
  <c r="F1722" i="4" s="1"/>
  <c r="F1724" i="4"/>
  <c r="J1722" i="4"/>
  <c r="I1722" i="4"/>
  <c r="H1722" i="4"/>
  <c r="H1738" i="4" s="1"/>
  <c r="G1722" i="4"/>
  <c r="J1715" i="4"/>
  <c r="J1738" i="4" s="1"/>
  <c r="I1715" i="4"/>
  <c r="I1738" i="4" s="1"/>
  <c r="H1715" i="4"/>
  <c r="G1715" i="4"/>
  <c r="F1715" i="4"/>
  <c r="F1738" i="4" s="1"/>
  <c r="J1712" i="4"/>
  <c r="I1712" i="4"/>
  <c r="H1712" i="4"/>
  <c r="G1712" i="4"/>
  <c r="F1712" i="4"/>
  <c r="G1708" i="4"/>
  <c r="J1704" i="4"/>
  <c r="J1708" i="4" s="1"/>
  <c r="I1704" i="4"/>
  <c r="I1708" i="4" s="1"/>
  <c r="H1704" i="4"/>
  <c r="H1708" i="4" s="1"/>
  <c r="G1704" i="4"/>
  <c r="F1704" i="4"/>
  <c r="F1708" i="4" s="1"/>
  <c r="I1702" i="4"/>
  <c r="J1701" i="4"/>
  <c r="I1701" i="4"/>
  <c r="H1701" i="4"/>
  <c r="G1701" i="4"/>
  <c r="F1699" i="4"/>
  <c r="F1695" i="4" s="1"/>
  <c r="F1702" i="4" s="1"/>
  <c r="J1698" i="4"/>
  <c r="I1698" i="4"/>
  <c r="I1695" i="4" s="1"/>
  <c r="H1698" i="4"/>
  <c r="H1695" i="4" s="1"/>
  <c r="J1697" i="4"/>
  <c r="I1697" i="4"/>
  <c r="H1697" i="4"/>
  <c r="G1697" i="4"/>
  <c r="J1696" i="4"/>
  <c r="I1696" i="4"/>
  <c r="H1696" i="4"/>
  <c r="F1696" i="4"/>
  <c r="J1695" i="4"/>
  <c r="J1702" i="4" s="1"/>
  <c r="G1695" i="4"/>
  <c r="J1686" i="4"/>
  <c r="I1686" i="4"/>
  <c r="H1686" i="4"/>
  <c r="G1686" i="4"/>
  <c r="G1702" i="4" s="1"/>
  <c r="F1686" i="4"/>
  <c r="I1684" i="4"/>
  <c r="H1683" i="4"/>
  <c r="H1682" i="4" s="1"/>
  <c r="H1684" i="4" s="1"/>
  <c r="J1682" i="4"/>
  <c r="J1684" i="4" s="1"/>
  <c r="I1682" i="4"/>
  <c r="G1682" i="4"/>
  <c r="G1684" i="4" s="1"/>
  <c r="F1682" i="4"/>
  <c r="F1684" i="4" s="1"/>
  <c r="J1679" i="4"/>
  <c r="I1679" i="4"/>
  <c r="H1679" i="4"/>
  <c r="H1676" i="4" s="1"/>
  <c r="G1679" i="4"/>
  <c r="F1679" i="4"/>
  <c r="J1678" i="4"/>
  <c r="I1678" i="4"/>
  <c r="I1676" i="4" s="1"/>
  <c r="H1678" i="4"/>
  <c r="G1678" i="4"/>
  <c r="F1678" i="4"/>
  <c r="J1677" i="4"/>
  <c r="J1676" i="4" s="1"/>
  <c r="I1677" i="4"/>
  <c r="H1677" i="4"/>
  <c r="G1677" i="4"/>
  <c r="F1677" i="4"/>
  <c r="F1676" i="4" s="1"/>
  <c r="G1676" i="4"/>
  <c r="J1675" i="4"/>
  <c r="I1675" i="4"/>
  <c r="H1675" i="4"/>
  <c r="G1675" i="4"/>
  <c r="F1675" i="4"/>
  <c r="J1674" i="4"/>
  <c r="I1674" i="4"/>
  <c r="I1672" i="4" s="1"/>
  <c r="H1674" i="4"/>
  <c r="G1674" i="4"/>
  <c r="F1674" i="4"/>
  <c r="J1673" i="4"/>
  <c r="J1672" i="4" s="1"/>
  <c r="I1673" i="4"/>
  <c r="H1673" i="4"/>
  <c r="G1673" i="4"/>
  <c r="F1673" i="4"/>
  <c r="F1672" i="4" s="1"/>
  <c r="H1672" i="4"/>
  <c r="G1672" i="4"/>
  <c r="J1671" i="4"/>
  <c r="I1671" i="4"/>
  <c r="H1671" i="4"/>
  <c r="G1671" i="4"/>
  <c r="F1671" i="4"/>
  <c r="J1670" i="4"/>
  <c r="I1670" i="4"/>
  <c r="I1667" i="4" s="1"/>
  <c r="H1670" i="4"/>
  <c r="G1670" i="4"/>
  <c r="F1670" i="4"/>
  <c r="J1669" i="4"/>
  <c r="J1667" i="4" s="1"/>
  <c r="I1669" i="4"/>
  <c r="H1669" i="4"/>
  <c r="G1669" i="4"/>
  <c r="G1667" i="4" s="1"/>
  <c r="G1680" i="4" s="1"/>
  <c r="F1669" i="4"/>
  <c r="F1667" i="4" s="1"/>
  <c r="H1667" i="4"/>
  <c r="H1680" i="4" s="1"/>
  <c r="J1666" i="4"/>
  <c r="I1666" i="4"/>
  <c r="J1665" i="4"/>
  <c r="J1663" i="4" s="1"/>
  <c r="J1680" i="4" s="1"/>
  <c r="J1664" i="4"/>
  <c r="G1664" i="4"/>
  <c r="I1663" i="4"/>
  <c r="I1680" i="4" s="1"/>
  <c r="H1663" i="4"/>
  <c r="G1663" i="4"/>
  <c r="F1663" i="4"/>
  <c r="F1680" i="4" s="1"/>
  <c r="J1661" i="4"/>
  <c r="I1661" i="4"/>
  <c r="H1661" i="4"/>
  <c r="G1661" i="4"/>
  <c r="F1661" i="4"/>
  <c r="J1658" i="4"/>
  <c r="I1658" i="4"/>
  <c r="H1658" i="4"/>
  <c r="G1658" i="4"/>
  <c r="F1658" i="4"/>
  <c r="H1642" i="4"/>
  <c r="G1641" i="4"/>
  <c r="F1641" i="4"/>
  <c r="F1640" i="4"/>
  <c r="F1639" i="4"/>
  <c r="Q1638" i="4"/>
  <c r="P1638" i="4"/>
  <c r="O1638" i="4"/>
  <c r="N1638" i="4"/>
  <c r="M1638" i="4"/>
  <c r="J1638" i="4"/>
  <c r="I1638" i="4"/>
  <c r="H1638" i="4"/>
  <c r="G1638" i="4"/>
  <c r="F1638" i="4"/>
  <c r="Q1637" i="4"/>
  <c r="P1637" i="4"/>
  <c r="O1637" i="4"/>
  <c r="N1637" i="4"/>
  <c r="M1637" i="4"/>
  <c r="F1636" i="4"/>
  <c r="Q1635" i="4"/>
  <c r="P1635" i="4"/>
  <c r="O1635" i="4"/>
  <c r="N1635" i="4"/>
  <c r="M1635" i="4"/>
  <c r="F1635" i="4"/>
  <c r="F1634" i="4"/>
  <c r="F1633" i="4"/>
  <c r="F1632" i="4"/>
  <c r="F1631" i="4"/>
  <c r="Q1630" i="4"/>
  <c r="P1630" i="4"/>
  <c r="O1630" i="4"/>
  <c r="N1630" i="4"/>
  <c r="M1630" i="4"/>
  <c r="J1630" i="4"/>
  <c r="J1642" i="4" s="1"/>
  <c r="I1630" i="4"/>
  <c r="I1642" i="4" s="1"/>
  <c r="H1630" i="4"/>
  <c r="G1630" i="4"/>
  <c r="J1628" i="4"/>
  <c r="I1628" i="4"/>
  <c r="G1628" i="4"/>
  <c r="F1628" i="4"/>
  <c r="H1622" i="4"/>
  <c r="H1619" i="4"/>
  <c r="J1618" i="4"/>
  <c r="I1618" i="4"/>
  <c r="H1618" i="4"/>
  <c r="H1628" i="4" s="1"/>
  <c r="G1618" i="4"/>
  <c r="F1618" i="4"/>
  <c r="J1616" i="4"/>
  <c r="I1616" i="4"/>
  <c r="G1616" i="4"/>
  <c r="F1616" i="4"/>
  <c r="H1613" i="4"/>
  <c r="H1612" i="4" s="1"/>
  <c r="H1610" i="4"/>
  <c r="H1609" i="4"/>
  <c r="H1608" i="4"/>
  <c r="H1607" i="4"/>
  <c r="H1606" i="4"/>
  <c r="H1605" i="4"/>
  <c r="H1603" i="4"/>
  <c r="H1602" i="4" s="1"/>
  <c r="I1600" i="4"/>
  <c r="H1600" i="4"/>
  <c r="J1590" i="4"/>
  <c r="I1590" i="4"/>
  <c r="H1590" i="4"/>
  <c r="G1590" i="4"/>
  <c r="F1590" i="4"/>
  <c r="J1584" i="4"/>
  <c r="I1584" i="4"/>
  <c r="H1584" i="4"/>
  <c r="G1584" i="4"/>
  <c r="G1600" i="4" s="1"/>
  <c r="F1584" i="4"/>
  <c r="J1579" i="4"/>
  <c r="I1579" i="4"/>
  <c r="H1579" i="4"/>
  <c r="G1579" i="4"/>
  <c r="J1573" i="4"/>
  <c r="I1573" i="4"/>
  <c r="H1573" i="4"/>
  <c r="G1573" i="4"/>
  <c r="J1569" i="4"/>
  <c r="I1569" i="4"/>
  <c r="H1569" i="4"/>
  <c r="G1569" i="4"/>
  <c r="J1567" i="4"/>
  <c r="I1567" i="4"/>
  <c r="H1567" i="4"/>
  <c r="G1567" i="4"/>
  <c r="J1566" i="4"/>
  <c r="I1566" i="4"/>
  <c r="H1566" i="4"/>
  <c r="H1582" i="4" s="1"/>
  <c r="G1566" i="4"/>
  <c r="G1582" i="4" s="1"/>
  <c r="J1565" i="4"/>
  <c r="I1565" i="4"/>
  <c r="G1565" i="4"/>
  <c r="J1563" i="4"/>
  <c r="I1563" i="4"/>
  <c r="J1561" i="4"/>
  <c r="I1561" i="4"/>
  <c r="I1555" i="4" s="1"/>
  <c r="I1582" i="4" s="1"/>
  <c r="J1560" i="4"/>
  <c r="I1560" i="4"/>
  <c r="H1560" i="4"/>
  <c r="G1560" i="4"/>
  <c r="J1559" i="4"/>
  <c r="I1559" i="4"/>
  <c r="H1559" i="4"/>
  <c r="G1559" i="4"/>
  <c r="J1558" i="4"/>
  <c r="I1558" i="4"/>
  <c r="H1558" i="4"/>
  <c r="G1558" i="4"/>
  <c r="J1557" i="4"/>
  <c r="I1557" i="4"/>
  <c r="H1557" i="4"/>
  <c r="G1557" i="4"/>
  <c r="J1556" i="4"/>
  <c r="I1556" i="4"/>
  <c r="H1556" i="4"/>
  <c r="G1556" i="4"/>
  <c r="J1555" i="4"/>
  <c r="J1582" i="4" s="1"/>
  <c r="H1555" i="4"/>
  <c r="G1555" i="4"/>
  <c r="J1553" i="4"/>
  <c r="J1552" i="4"/>
  <c r="I1552" i="4"/>
  <c r="G1552" i="4"/>
  <c r="F1552" i="4"/>
  <c r="J1551" i="4"/>
  <c r="I1551" i="4"/>
  <c r="G1551" i="4"/>
  <c r="F1551" i="4"/>
  <c r="J1550" i="4"/>
  <c r="I1550" i="4"/>
  <c r="G1550" i="4"/>
  <c r="F1550" i="4"/>
  <c r="J1549" i="4"/>
  <c r="I1549" i="4"/>
  <c r="G1549" i="4"/>
  <c r="F1549" i="4"/>
  <c r="J1548" i="4"/>
  <c r="I1548" i="4"/>
  <c r="G1548" i="4"/>
  <c r="F1548" i="4"/>
  <c r="F1547" i="4" s="1"/>
  <c r="F1553" i="4" s="1"/>
  <c r="J1547" i="4"/>
  <c r="I1547" i="4"/>
  <c r="H1547" i="4"/>
  <c r="G1547" i="4"/>
  <c r="G1553" i="4" s="1"/>
  <c r="J1546" i="4"/>
  <c r="I1546" i="4"/>
  <c r="G1546" i="4"/>
  <c r="F1546" i="4"/>
  <c r="J1545" i="4"/>
  <c r="I1545" i="4"/>
  <c r="G1545" i="4"/>
  <c r="F1545" i="4"/>
  <c r="J1544" i="4"/>
  <c r="I1544" i="4"/>
  <c r="G1544" i="4"/>
  <c r="F1544" i="4"/>
  <c r="J1543" i="4"/>
  <c r="I1543" i="4"/>
  <c r="G1543" i="4"/>
  <c r="F1543" i="4"/>
  <c r="J1542" i="4"/>
  <c r="I1542" i="4"/>
  <c r="G1542" i="4"/>
  <c r="G1541" i="4" s="1"/>
  <c r="F1542" i="4"/>
  <c r="J1541" i="4"/>
  <c r="I1541" i="4"/>
  <c r="H1541" i="4"/>
  <c r="F1541" i="4"/>
  <c r="I1539" i="4"/>
  <c r="G1539" i="4"/>
  <c r="F1539" i="4"/>
  <c r="J1537" i="4"/>
  <c r="J1539" i="4" s="1"/>
  <c r="I1537" i="4"/>
  <c r="H1537" i="4"/>
  <c r="H1539" i="4" s="1"/>
  <c r="J1532" i="4"/>
  <c r="J1530" i="4" s="1"/>
  <c r="J1533" i="4" s="1"/>
  <c r="I1532" i="4"/>
  <c r="H1532" i="4"/>
  <c r="G1532" i="4"/>
  <c r="F1532" i="4"/>
  <c r="F1530" i="4" s="1"/>
  <c r="F1533" i="4" s="1"/>
  <c r="J1531" i="4"/>
  <c r="I1531" i="4"/>
  <c r="H1531" i="4"/>
  <c r="G1531" i="4"/>
  <c r="G1530" i="4" s="1"/>
  <c r="G1533" i="4" s="1"/>
  <c r="F1531" i="4"/>
  <c r="Q1530" i="4"/>
  <c r="P1530" i="4"/>
  <c r="O1530" i="4"/>
  <c r="N1530" i="4"/>
  <c r="I1530" i="4"/>
  <c r="I1533" i="4" s="1"/>
  <c r="H1530" i="4"/>
  <c r="H1533" i="4" s="1"/>
  <c r="J1528" i="4"/>
  <c r="I1528" i="4"/>
  <c r="J1524" i="4"/>
  <c r="I1524" i="4"/>
  <c r="H1524" i="4"/>
  <c r="J1519" i="4"/>
  <c r="I1519" i="4"/>
  <c r="H1519" i="4"/>
  <c r="J1517" i="4"/>
  <c r="G1517" i="4"/>
  <c r="F1517" i="4"/>
  <c r="Q1514" i="4"/>
  <c r="P1514" i="4"/>
  <c r="O1514" i="4"/>
  <c r="N1514" i="4"/>
  <c r="M1514" i="4"/>
  <c r="J1514" i="4"/>
  <c r="I1514" i="4"/>
  <c r="I1517" i="4" s="1"/>
  <c r="H1514" i="4"/>
  <c r="H1517" i="4" s="1"/>
  <c r="G1514" i="4"/>
  <c r="F1514" i="4"/>
  <c r="G1512" i="4"/>
  <c r="F1512" i="4"/>
  <c r="J1510" i="4"/>
  <c r="I1510" i="4"/>
  <c r="H1510" i="4"/>
  <c r="I1509" i="4"/>
  <c r="J1509" i="4" s="1"/>
  <c r="I1508" i="4"/>
  <c r="J1508" i="4" s="1"/>
  <c r="I1507" i="4"/>
  <c r="H1506" i="4"/>
  <c r="J1503" i="4"/>
  <c r="I1503" i="4"/>
  <c r="H1503" i="4"/>
  <c r="J1502" i="4"/>
  <c r="J1501" i="4" s="1"/>
  <c r="I1502" i="4"/>
  <c r="I1501" i="4" s="1"/>
  <c r="H1501" i="4"/>
  <c r="I1512" i="4" l="1"/>
  <c r="I1506" i="4"/>
  <c r="H1553" i="4"/>
  <c r="H1512" i="4"/>
  <c r="J1507" i="4"/>
  <c r="J1506" i="4" s="1"/>
  <c r="J1512" i="4" s="1"/>
  <c r="H1528" i="4"/>
  <c r="I1553" i="4"/>
  <c r="G1642" i="4"/>
  <c r="F1600" i="4"/>
  <c r="J1600" i="4"/>
  <c r="H1616" i="4"/>
  <c r="F1630" i="4"/>
  <c r="F1642" i="4" s="1"/>
  <c r="H1702" i="4"/>
  <c r="G1499" i="4" l="1"/>
  <c r="J1493" i="4"/>
  <c r="J1499" i="4" s="1"/>
  <c r="I1493" i="4"/>
  <c r="H1493" i="4"/>
  <c r="H1499" i="4" s="1"/>
  <c r="G1493" i="4"/>
  <c r="F1493" i="4"/>
  <c r="F1499" i="4" s="1"/>
  <c r="H1491" i="4"/>
  <c r="J1490" i="4"/>
  <c r="I1490" i="4"/>
  <c r="I1499" i="4" s="1"/>
  <c r="H1490" i="4"/>
  <c r="G1490" i="4"/>
  <c r="F1490" i="4"/>
  <c r="I1488" i="4"/>
  <c r="G1488" i="4"/>
  <c r="J1475" i="4"/>
  <c r="J1488" i="4" s="1"/>
  <c r="I1475" i="4"/>
  <c r="H1475" i="4"/>
  <c r="H1488" i="4" s="1"/>
  <c r="G1475" i="4"/>
  <c r="F1475" i="4"/>
  <c r="F1488" i="4" s="1"/>
  <c r="I1473" i="4"/>
  <c r="H1470" i="4"/>
  <c r="G1470" i="4"/>
  <c r="J1460" i="4"/>
  <c r="J1473" i="4" s="1"/>
  <c r="I1460" i="4"/>
  <c r="H1460" i="4"/>
  <c r="H1473" i="4" s="1"/>
  <c r="G1460" i="4"/>
  <c r="G1473" i="4" s="1"/>
  <c r="F1460" i="4"/>
  <c r="F1473" i="4" s="1"/>
  <c r="H1455" i="4"/>
  <c r="I1455" i="4" s="1"/>
  <c r="J1455" i="4" s="1"/>
  <c r="I1454" i="4"/>
  <c r="J1454" i="4" s="1"/>
  <c r="H1454" i="4"/>
  <c r="H1452" i="4"/>
  <c r="I1452" i="4" s="1"/>
  <c r="J1452" i="4" s="1"/>
  <c r="I1449" i="4"/>
  <c r="J1449" i="4" s="1"/>
  <c r="H1449" i="4"/>
  <c r="H1448" i="4"/>
  <c r="I1448" i="4" s="1"/>
  <c r="J1448" i="4" s="1"/>
  <c r="I1444" i="4"/>
  <c r="J1444" i="4" s="1"/>
  <c r="H1444" i="4"/>
  <c r="H1440" i="4"/>
  <c r="I1440" i="4" s="1"/>
  <c r="J1440" i="4" s="1"/>
  <c r="I1439" i="4"/>
  <c r="J1439" i="4" s="1"/>
  <c r="H1439" i="4"/>
  <c r="H1434" i="4"/>
  <c r="I1434" i="4" s="1"/>
  <c r="J1434" i="4" s="1"/>
  <c r="I1429" i="4"/>
  <c r="J1429" i="4" s="1"/>
  <c r="H1429" i="4"/>
  <c r="H1427" i="4"/>
  <c r="I1427" i="4" s="1"/>
  <c r="G1426" i="4"/>
  <c r="F1426" i="4"/>
  <c r="H1425" i="4"/>
  <c r="I1425" i="4" s="1"/>
  <c r="J1425" i="4" s="1"/>
  <c r="I1422" i="4"/>
  <c r="J1422" i="4" s="1"/>
  <c r="H1422" i="4"/>
  <c r="H1421" i="4"/>
  <c r="I1421" i="4" s="1"/>
  <c r="J1421" i="4" s="1"/>
  <c r="I1420" i="4"/>
  <c r="J1420" i="4" s="1"/>
  <c r="J1419" i="4" s="1"/>
  <c r="H1420" i="4"/>
  <c r="H1419" i="4"/>
  <c r="G1419" i="4"/>
  <c r="G1458" i="4" s="1"/>
  <c r="F1419" i="4"/>
  <c r="F1458" i="4" s="1"/>
  <c r="J1415" i="4"/>
  <c r="J1414" i="4" s="1"/>
  <c r="I1415" i="4"/>
  <c r="I1414" i="4" s="1"/>
  <c r="H1414" i="4"/>
  <c r="G1414" i="4"/>
  <c r="F1414" i="4"/>
  <c r="I1412" i="4"/>
  <c r="J1412" i="4" s="1"/>
  <c r="I1411" i="4"/>
  <c r="J1411" i="4" s="1"/>
  <c r="I1410" i="4"/>
  <c r="I1409" i="4" s="1"/>
  <c r="H1409" i="4"/>
  <c r="G1409" i="4"/>
  <c r="G1417" i="4" s="1"/>
  <c r="F1409" i="4"/>
  <c r="J1408" i="4"/>
  <c r="I1408" i="4"/>
  <c r="J1407" i="4"/>
  <c r="I1407" i="4"/>
  <c r="J1406" i="4"/>
  <c r="I1406" i="4"/>
  <c r="J1405" i="4"/>
  <c r="I1405" i="4"/>
  <c r="H1405" i="4"/>
  <c r="G1405" i="4"/>
  <c r="F1405" i="4"/>
  <c r="I1404" i="4"/>
  <c r="J1404" i="4" s="1"/>
  <c r="J1398" i="4" s="1"/>
  <c r="H1404" i="4"/>
  <c r="J1403" i="4"/>
  <c r="I1403" i="4"/>
  <c r="J1402" i="4"/>
  <c r="I1402" i="4"/>
  <c r="J1400" i="4"/>
  <c r="I1400" i="4"/>
  <c r="J1399" i="4"/>
  <c r="I1399" i="4"/>
  <c r="I1398" i="4"/>
  <c r="H1398" i="4"/>
  <c r="H1417" i="4" s="1"/>
  <c r="G1398" i="4"/>
  <c r="F1398" i="4"/>
  <c r="F1417" i="4" s="1"/>
  <c r="J1396" i="4"/>
  <c r="I1396" i="4"/>
  <c r="G1396" i="4"/>
  <c r="F1396" i="4"/>
  <c r="J1391" i="4"/>
  <c r="I1391" i="4"/>
  <c r="H1391" i="4"/>
  <c r="G1391" i="4"/>
  <c r="F1391" i="4"/>
  <c r="J1385" i="4"/>
  <c r="I1385" i="4"/>
  <c r="H1385" i="4"/>
  <c r="H1396" i="4" s="1"/>
  <c r="G1385" i="4"/>
  <c r="F1385" i="4"/>
  <c r="I1382" i="4"/>
  <c r="J1382" i="4" s="1"/>
  <c r="I1381" i="4"/>
  <c r="J1381" i="4" s="1"/>
  <c r="I1380" i="4"/>
  <c r="J1380" i="4" s="1"/>
  <c r="I1379" i="4"/>
  <c r="H1379" i="4"/>
  <c r="G1379" i="4"/>
  <c r="G1383" i="4" s="1"/>
  <c r="F1379" i="4"/>
  <c r="J1378" i="4"/>
  <c r="I1378" i="4"/>
  <c r="J1377" i="4"/>
  <c r="I1377" i="4"/>
  <c r="H1376" i="4"/>
  <c r="I1376" i="4" s="1"/>
  <c r="J1376" i="4" s="1"/>
  <c r="G1376" i="4"/>
  <c r="F1376" i="4"/>
  <c r="I1375" i="4"/>
  <c r="J1375" i="4" s="1"/>
  <c r="H1375" i="4"/>
  <c r="G1375" i="4"/>
  <c r="G1373" i="4" s="1"/>
  <c r="F1375" i="4"/>
  <c r="H1374" i="4"/>
  <c r="H1373" i="4" s="1"/>
  <c r="G1374" i="4"/>
  <c r="F1374" i="4"/>
  <c r="F1373" i="4" s="1"/>
  <c r="H1372" i="4"/>
  <c r="I1372" i="4" s="1"/>
  <c r="J1372" i="4" s="1"/>
  <c r="G1372" i="4"/>
  <c r="F1372" i="4"/>
  <c r="I1371" i="4"/>
  <c r="J1371" i="4" s="1"/>
  <c r="I1370" i="4"/>
  <c r="J1370" i="4" s="1"/>
  <c r="F1370" i="4"/>
  <c r="H1369" i="4"/>
  <c r="H1368" i="4" s="1"/>
  <c r="G1369" i="4"/>
  <c r="F1369" i="4"/>
  <c r="F1368" i="4" s="1"/>
  <c r="G1368" i="4"/>
  <c r="J1367" i="4"/>
  <c r="I1367" i="4"/>
  <c r="H1366" i="4"/>
  <c r="I1366" i="4" s="1"/>
  <c r="J1366" i="4" s="1"/>
  <c r="I1365" i="4"/>
  <c r="J1365" i="4" s="1"/>
  <c r="H1365" i="4"/>
  <c r="H1364" i="4"/>
  <c r="I1364" i="4" s="1"/>
  <c r="G1364" i="4"/>
  <c r="F1364" i="4"/>
  <c r="F1363" i="4" s="1"/>
  <c r="G1363" i="4"/>
  <c r="H1361" i="4"/>
  <c r="J1358" i="4"/>
  <c r="I1358" i="4"/>
  <c r="H1358" i="4"/>
  <c r="G1358" i="4"/>
  <c r="F1358" i="4"/>
  <c r="J1356" i="4"/>
  <c r="I1356" i="4"/>
  <c r="H1356" i="4"/>
  <c r="G1356" i="4"/>
  <c r="F1356" i="4"/>
  <c r="J1348" i="4"/>
  <c r="J1361" i="4" s="1"/>
  <c r="I1348" i="4"/>
  <c r="I1361" i="4" s="1"/>
  <c r="H1348" i="4"/>
  <c r="G1348" i="4"/>
  <c r="G1361" i="4" s="1"/>
  <c r="F1348" i="4"/>
  <c r="F1361" i="4" s="1"/>
  <c r="H1346" i="4"/>
  <c r="J1341" i="4"/>
  <c r="I1341" i="4"/>
  <c r="H1341" i="4"/>
  <c r="G1341" i="4"/>
  <c r="F1341" i="4"/>
  <c r="G1320" i="4"/>
  <c r="F1320" i="4"/>
  <c r="J1313" i="4"/>
  <c r="I1313" i="4"/>
  <c r="I1346" i="4" s="1"/>
  <c r="G1313" i="4"/>
  <c r="G1346" i="4" s="1"/>
  <c r="F1313" i="4"/>
  <c r="F1346" i="4" s="1"/>
  <c r="J1307" i="4"/>
  <c r="J1346" i="4" s="1"/>
  <c r="H1302" i="4"/>
  <c r="H1299" i="4"/>
  <c r="H1298" i="4"/>
  <c r="H1296" i="4"/>
  <c r="H1293" i="4"/>
  <c r="H1289" i="4"/>
  <c r="H1288" i="4"/>
  <c r="H1285" i="4"/>
  <c r="H1284" i="4"/>
  <c r="H1283" i="4"/>
  <c r="H1282" i="4"/>
  <c r="H1279" i="4"/>
  <c r="H1275" i="4"/>
  <c r="H1274" i="4" s="1"/>
  <c r="H1273" i="4"/>
  <c r="H1272" i="4"/>
  <c r="H1268" i="4"/>
  <c r="H1267" i="4"/>
  <c r="H1265" i="4"/>
  <c r="H1264" i="4"/>
  <c r="H1263" i="4"/>
  <c r="H1262" i="4"/>
  <c r="H1261" i="4" s="1"/>
  <c r="H1305" i="4" s="1"/>
  <c r="I1259" i="4"/>
  <c r="H1257" i="4"/>
  <c r="H1256" i="4" s="1"/>
  <c r="H1259" i="4" s="1"/>
  <c r="J1256" i="4"/>
  <c r="I1256" i="4"/>
  <c r="G1256" i="4"/>
  <c r="F1256" i="4"/>
  <c r="Q1250" i="4"/>
  <c r="P1250" i="4"/>
  <c r="O1250" i="4"/>
  <c r="N1250" i="4"/>
  <c r="J1250" i="4"/>
  <c r="I1250" i="4"/>
  <c r="G1250" i="4"/>
  <c r="Q1249" i="4"/>
  <c r="P1249" i="4"/>
  <c r="O1249" i="4"/>
  <c r="N1249" i="4"/>
  <c r="J1249" i="4"/>
  <c r="I1249" i="4"/>
  <c r="H1249" i="4"/>
  <c r="G1249" i="4"/>
  <c r="Q1248" i="4"/>
  <c r="P1248" i="4"/>
  <c r="O1248" i="4"/>
  <c r="N1248" i="4"/>
  <c r="J1248" i="4"/>
  <c r="I1248" i="4"/>
  <c r="G1248" i="4"/>
  <c r="F1248" i="4"/>
  <c r="F1247" i="4" s="1"/>
  <c r="J1247" i="4"/>
  <c r="I1247" i="4"/>
  <c r="H1247" i="4"/>
  <c r="G1247" i="4"/>
  <c r="J1246" i="4"/>
  <c r="I1246" i="4"/>
  <c r="J1245" i="4"/>
  <c r="I1245" i="4"/>
  <c r="G1244" i="4"/>
  <c r="F1244" i="4"/>
  <c r="J1243" i="4"/>
  <c r="I1243" i="4"/>
  <c r="H1243" i="4"/>
  <c r="J1242" i="4"/>
  <c r="I1242" i="4"/>
  <c r="H1242" i="4"/>
  <c r="G1241" i="4"/>
  <c r="G1259" i="4" s="1"/>
  <c r="H1239" i="4"/>
  <c r="J1233" i="4"/>
  <c r="J1259" i="4" s="1"/>
  <c r="I1233" i="4"/>
  <c r="H1233" i="4"/>
  <c r="G1233" i="4"/>
  <c r="J1229" i="4"/>
  <c r="J1222" i="4"/>
  <c r="J1218" i="4"/>
  <c r="J1214" i="4"/>
  <c r="J1213" i="4"/>
  <c r="J1208" i="4"/>
  <c r="J1202" i="4"/>
  <c r="J1199" i="4"/>
  <c r="I1199" i="4"/>
  <c r="I1231" i="4" s="1"/>
  <c r="H1199" i="4"/>
  <c r="H1231" i="4" s="1"/>
  <c r="G1199" i="4"/>
  <c r="G1231" i="4" s="1"/>
  <c r="F1199" i="4"/>
  <c r="F1231" i="4" s="1"/>
  <c r="J1198" i="4"/>
  <c r="J1194" i="4"/>
  <c r="J1190" i="4"/>
  <c r="J1186" i="4"/>
  <c r="J1185" i="4"/>
  <c r="J1184" i="4"/>
  <c r="J1183" i="4" s="1"/>
  <c r="I1183" i="4"/>
  <c r="H1183" i="4"/>
  <c r="G1183" i="4"/>
  <c r="F1183" i="4"/>
  <c r="J1182" i="4"/>
  <c r="J1181" i="4"/>
  <c r="J1180" i="4"/>
  <c r="J1178" i="4"/>
  <c r="J1177" i="4"/>
  <c r="J1174" i="4"/>
  <c r="G1174" i="4"/>
  <c r="J1173" i="4"/>
  <c r="J1171" i="4"/>
  <c r="J1170" i="4" s="1"/>
  <c r="H1171" i="4"/>
  <c r="I1170" i="4"/>
  <c r="H1170" i="4"/>
  <c r="G1170" i="4"/>
  <c r="F1170" i="4"/>
  <c r="J1169" i="4"/>
  <c r="J1165" i="4"/>
  <c r="J1162" i="4"/>
  <c r="J1157" i="4"/>
  <c r="H1157" i="4"/>
  <c r="J1150" i="4"/>
  <c r="J1148" i="4"/>
  <c r="J1147" i="4" s="1"/>
  <c r="I1147" i="4"/>
  <c r="H1147" i="4"/>
  <c r="G1147" i="4"/>
  <c r="F1147" i="4"/>
  <c r="J1146" i="4"/>
  <c r="J1145" i="4"/>
  <c r="J1144" i="4"/>
  <c r="J1143" i="4"/>
  <c r="J1142" i="4"/>
  <c r="J1141" i="4"/>
  <c r="J1140" i="4"/>
  <c r="J1139" i="4" s="1"/>
  <c r="I1139" i="4"/>
  <c r="H1139" i="4"/>
  <c r="G1139" i="4"/>
  <c r="F1139" i="4"/>
  <c r="I1136" i="4"/>
  <c r="I1135" i="4" s="1"/>
  <c r="I1137" i="4" s="1"/>
  <c r="J1135" i="4"/>
  <c r="H1135" i="4"/>
  <c r="G1135" i="4"/>
  <c r="F1135" i="4"/>
  <c r="J1132" i="4"/>
  <c r="J1137" i="4" s="1"/>
  <c r="I1132" i="4"/>
  <c r="H1132" i="4"/>
  <c r="G1132" i="4"/>
  <c r="G1137" i="4" s="1"/>
  <c r="F1132" i="4"/>
  <c r="F1137" i="4" s="1"/>
  <c r="J1125" i="4"/>
  <c r="I1125" i="4"/>
  <c r="H1125" i="4"/>
  <c r="H1137" i="4" s="1"/>
  <c r="G1125" i="4"/>
  <c r="F1125" i="4"/>
  <c r="J1117" i="4"/>
  <c r="G1117" i="4"/>
  <c r="J1113" i="4"/>
  <c r="G1113" i="4"/>
  <c r="J1112" i="4"/>
  <c r="J1110" i="4" s="1"/>
  <c r="G1112" i="4"/>
  <c r="I1110" i="4"/>
  <c r="H1110" i="4"/>
  <c r="G1110" i="4"/>
  <c r="F1110" i="4"/>
  <c r="J1108" i="4"/>
  <c r="G1108" i="4"/>
  <c r="G1106" i="4" s="1"/>
  <c r="G1123" i="4" s="1"/>
  <c r="J1107" i="4"/>
  <c r="J1106" i="4" s="1"/>
  <c r="J1123" i="4" s="1"/>
  <c r="G1107" i="4"/>
  <c r="I1106" i="4"/>
  <c r="I1123" i="4" s="1"/>
  <c r="H1106" i="4"/>
  <c r="H1123" i="4" s="1"/>
  <c r="J1101" i="4"/>
  <c r="I1101" i="4"/>
  <c r="H1101" i="4"/>
  <c r="H1099" i="4" s="1"/>
  <c r="G1099" i="4"/>
  <c r="F1099" i="4"/>
  <c r="H1096" i="4"/>
  <c r="G1096" i="4"/>
  <c r="F1096" i="4"/>
  <c r="J1093" i="4"/>
  <c r="J1091" i="4" s="1"/>
  <c r="J1104" i="4" s="1"/>
  <c r="I1093" i="4"/>
  <c r="I1091" i="4" s="1"/>
  <c r="I1104" i="4" s="1"/>
  <c r="H1093" i="4"/>
  <c r="G1093" i="4"/>
  <c r="G1091" i="4" s="1"/>
  <c r="G1104" i="4" s="1"/>
  <c r="F1093" i="4"/>
  <c r="F1091" i="4" s="1"/>
  <c r="F1104" i="4" s="1"/>
  <c r="H1091" i="4"/>
  <c r="H1104" i="4" s="1"/>
  <c r="H1086" i="4"/>
  <c r="H1082" i="4"/>
  <c r="H1074" i="4"/>
  <c r="H1089" i="4" s="1"/>
  <c r="J1072" i="4"/>
  <c r="I1072" i="4"/>
  <c r="G1072" i="4"/>
  <c r="F1072" i="4"/>
  <c r="H1067" i="4"/>
  <c r="H1065" i="4" s="1"/>
  <c r="H1064" i="4"/>
  <c r="H1063" i="4"/>
  <c r="H1062" i="4"/>
  <c r="H1061" i="4"/>
  <c r="H1060" i="4"/>
  <c r="H1059" i="4" s="1"/>
  <c r="J1022" i="4"/>
  <c r="I1022" i="4"/>
  <c r="H1022" i="4"/>
  <c r="G1022" i="4"/>
  <c r="F1022" i="4"/>
  <c r="H1021" i="4"/>
  <c r="H1020" i="4"/>
  <c r="J1019" i="4"/>
  <c r="J1037" i="4" s="1"/>
  <c r="I1019" i="4"/>
  <c r="I1037" i="4" s="1"/>
  <c r="H1019" i="4"/>
  <c r="H1037" i="4" s="1"/>
  <c r="G1019" i="4"/>
  <c r="G1037" i="4" s="1"/>
  <c r="F1019" i="4"/>
  <c r="F1037" i="4" s="1"/>
  <c r="J1017" i="4"/>
  <c r="I1017" i="4"/>
  <c r="G1017" i="4"/>
  <c r="F1017" i="4"/>
  <c r="H1012" i="4"/>
  <c r="I1012" i="4" s="1"/>
  <c r="J1012" i="4" s="1"/>
  <c r="H1010" i="4"/>
  <c r="J1008" i="4"/>
  <c r="I1008" i="4"/>
  <c r="H1008" i="4"/>
  <c r="G1008" i="4"/>
  <c r="F1008" i="4"/>
  <c r="J999" i="4"/>
  <c r="I999" i="4"/>
  <c r="H999" i="4"/>
  <c r="G999" i="4"/>
  <c r="F999" i="4"/>
  <c r="J997" i="4"/>
  <c r="I997" i="4"/>
  <c r="H997" i="4"/>
  <c r="F997" i="4"/>
  <c r="J994" i="4"/>
  <c r="I994" i="4"/>
  <c r="H994" i="4"/>
  <c r="G994" i="4"/>
  <c r="G997" i="4" s="1"/>
  <c r="F994" i="4"/>
  <c r="J992" i="4"/>
  <c r="I992" i="4"/>
  <c r="H992" i="4"/>
  <c r="G992" i="4"/>
  <c r="F992" i="4"/>
  <c r="H987" i="4"/>
  <c r="H981" i="4"/>
  <c r="H976" i="4"/>
  <c r="H968" i="4"/>
  <c r="H958" i="4"/>
  <c r="H952" i="4" s="1"/>
  <c r="H944" i="4"/>
  <c r="H943" i="4" s="1"/>
  <c r="H941" i="4"/>
  <c r="H933" i="4"/>
  <c r="H931" i="4"/>
  <c r="H920" i="4"/>
  <c r="J918" i="4"/>
  <c r="F918" i="4"/>
  <c r="F900" i="4"/>
  <c r="J845" i="4"/>
  <c r="I845" i="4"/>
  <c r="H845" i="4"/>
  <c r="G845" i="4"/>
  <c r="F845" i="4"/>
  <c r="J810" i="4"/>
  <c r="I810" i="4"/>
  <c r="I918" i="4" s="1"/>
  <c r="H810" i="4"/>
  <c r="H918" i="4" s="1"/>
  <c r="G810" i="4"/>
  <c r="G918" i="4" s="1"/>
  <c r="F810" i="4"/>
  <c r="J1379" i="4" l="1"/>
  <c r="J1427" i="4"/>
  <c r="J1426" i="4" s="1"/>
  <c r="J1458" i="4" s="1"/>
  <c r="I1426" i="4"/>
  <c r="I1417" i="4"/>
  <c r="H1458" i="4"/>
  <c r="H985" i="4"/>
  <c r="H1017" i="4" s="1"/>
  <c r="H1072" i="4"/>
  <c r="J1231" i="4"/>
  <c r="F1259" i="4"/>
  <c r="I1363" i="4"/>
  <c r="J1364" i="4"/>
  <c r="J1363" i="4" s="1"/>
  <c r="F1383" i="4"/>
  <c r="H1363" i="4"/>
  <c r="H1383" i="4" s="1"/>
  <c r="I1369" i="4"/>
  <c r="I1374" i="4"/>
  <c r="J1410" i="4"/>
  <c r="J1409" i="4" s="1"/>
  <c r="J1417" i="4" s="1"/>
  <c r="I1419" i="4"/>
  <c r="I1458" i="4" s="1"/>
  <c r="H1426" i="4"/>
  <c r="J1374" i="4" l="1"/>
  <c r="J1373" i="4" s="1"/>
  <c r="I1373" i="4"/>
  <c r="I1383" i="4" s="1"/>
  <c r="J1369" i="4"/>
  <c r="J1368" i="4" s="1"/>
  <c r="J1383" i="4" s="1"/>
  <c r="I1368" i="4"/>
  <c r="H781" i="4" l="1"/>
  <c r="H777" i="4"/>
  <c r="H773" i="4"/>
  <c r="H766" i="4"/>
  <c r="H749" i="4"/>
  <c r="H735" i="4"/>
  <c r="H734" i="4" s="1"/>
  <c r="H733" i="4"/>
  <c r="H732" i="4"/>
  <c r="H730" i="4"/>
  <c r="H729" i="4" s="1"/>
  <c r="G784" i="4"/>
  <c r="I784" i="4"/>
  <c r="J784" i="4"/>
  <c r="H772" i="4" l="1"/>
  <c r="H784" i="4" s="1"/>
  <c r="G544" i="4" l="1"/>
  <c r="G543" i="4"/>
  <c r="G539" i="4"/>
  <c r="F536" i="4"/>
  <c r="G528" i="4"/>
  <c r="G523" i="4"/>
  <c r="G536" i="4" l="1"/>
  <c r="I669" i="4" l="1"/>
  <c r="J669" i="4"/>
  <c r="H669" i="4"/>
  <c r="G689" i="4"/>
  <c r="H689" i="4"/>
  <c r="I689" i="4"/>
  <c r="J689" i="4"/>
  <c r="F689" i="4"/>
  <c r="G682" i="4"/>
  <c r="H682" i="4"/>
  <c r="I682" i="4"/>
  <c r="J682" i="4"/>
  <c r="F682" i="4"/>
  <c r="G669" i="4"/>
  <c r="F669" i="4"/>
  <c r="G662" i="4" l="1"/>
  <c r="H662" i="4"/>
  <c r="I662" i="4"/>
  <c r="J662" i="4"/>
  <c r="F662" i="4"/>
  <c r="G656" i="4"/>
  <c r="H656" i="4"/>
  <c r="I656" i="4"/>
  <c r="J656" i="4"/>
  <c r="F656" i="4"/>
  <c r="G647" i="4"/>
  <c r="H647" i="4"/>
  <c r="I647" i="4"/>
  <c r="J647" i="4"/>
  <c r="F647" i="4"/>
  <c r="H587" i="4"/>
  <c r="H582" i="4"/>
  <c r="I72" i="5"/>
  <c r="H72" i="5"/>
  <c r="I45" i="5"/>
  <c r="H45" i="5"/>
  <c r="I22" i="5"/>
  <c r="H22" i="5"/>
  <c r="I13" i="5"/>
  <c r="H13" i="5"/>
  <c r="H96" i="5" s="1"/>
  <c r="I96" i="5"/>
  <c r="G72" i="5"/>
  <c r="G45" i="5"/>
  <c r="G22" i="5"/>
  <c r="G13" i="5"/>
  <c r="G96" i="5" s="1"/>
  <c r="H571" i="4" l="1"/>
  <c r="H593" i="4" s="1"/>
  <c r="H636" i="4" l="1"/>
  <c r="H635" i="4" s="1"/>
  <c r="H633" i="4"/>
  <c r="H632" i="4"/>
  <c r="H623" i="4"/>
  <c r="H621" i="4"/>
  <c r="H619" i="4"/>
  <c r="H617" i="4"/>
  <c r="H616" i="4"/>
  <c r="H631" i="4" l="1"/>
  <c r="H618" i="4"/>
  <c r="H615" i="4"/>
  <c r="H639" i="4" l="1"/>
  <c r="H387" i="4"/>
  <c r="H386" i="4"/>
  <c r="H385" i="4"/>
  <c r="H369" i="4"/>
  <c r="H368" i="4"/>
  <c r="H364" i="4"/>
  <c r="H363" i="4"/>
  <c r="H362" i="4"/>
  <c r="H367" i="4" l="1"/>
  <c r="H361" i="4"/>
  <c r="H187" i="4"/>
  <c r="H175" i="4" s="1"/>
  <c r="H166" i="4"/>
  <c r="H232" i="4" l="1"/>
  <c r="H354" i="4"/>
  <c r="H342" i="4"/>
  <c r="H341" i="4" s="1"/>
  <c r="H331" i="4"/>
  <c r="H330" i="4" s="1"/>
  <c r="H318" i="4"/>
  <c r="H305" i="4"/>
  <c r="H299" i="4" s="1"/>
  <c r="H257" i="4"/>
  <c r="H280" i="4" s="1"/>
  <c r="H252" i="4"/>
  <c r="H358" i="4" l="1"/>
  <c r="H62" i="4" l="1"/>
  <c r="J55" i="4" l="1"/>
  <c r="I55" i="4"/>
  <c r="H55" i="4"/>
  <c r="G55" i="4"/>
  <c r="F55" i="4"/>
  <c r="J46" i="4"/>
  <c r="I46" i="4"/>
  <c r="G46" i="4"/>
  <c r="F46" i="4"/>
  <c r="H43" i="4"/>
  <c r="H46" i="4" s="1"/>
  <c r="J639" i="4" l="1"/>
  <c r="I639" i="4"/>
  <c r="G639" i="4"/>
  <c r="F639" i="4"/>
  <c r="J316" i="4" l="1"/>
  <c r="I316" i="4"/>
  <c r="H316" i="4"/>
  <c r="G308" i="4"/>
  <c r="F308" i="4"/>
  <c r="G299" i="4"/>
  <c r="F299" i="4"/>
  <c r="Q579" i="4"/>
  <c r="P579" i="4"/>
  <c r="O579" i="4"/>
  <c r="N579" i="4"/>
  <c r="F316" i="4" l="1"/>
  <c r="G316" i="4"/>
  <c r="H801" i="4" l="1"/>
  <c r="G801" i="4"/>
  <c r="F801" i="4"/>
  <c r="J799" i="4"/>
  <c r="I799" i="4"/>
  <c r="F799" i="4"/>
  <c r="I798" i="4"/>
  <c r="J798" i="4" s="1"/>
  <c r="I797" i="4"/>
  <c r="J797" i="4" s="1"/>
  <c r="H796" i="4"/>
  <c r="G796" i="4"/>
  <c r="F796" i="4"/>
  <c r="I794" i="4"/>
  <c r="J794" i="4" s="1"/>
  <c r="I793" i="4"/>
  <c r="J793" i="4" s="1"/>
  <c r="I792" i="4"/>
  <c r="J792" i="4" s="1"/>
  <c r="I791" i="4"/>
  <c r="I790" i="4"/>
  <c r="J790" i="4" s="1"/>
  <c r="I789" i="4"/>
  <c r="J789" i="4" s="1"/>
  <c r="I788" i="4"/>
  <c r="J788" i="4" s="1"/>
  <c r="H786" i="4"/>
  <c r="G786" i="4"/>
  <c r="F786" i="4"/>
  <c r="J518" i="4"/>
  <c r="I518" i="4"/>
  <c r="H518" i="4"/>
  <c r="F518" i="4"/>
  <c r="G510" i="4"/>
  <c r="G518" i="4" s="1"/>
  <c r="J508" i="4"/>
  <c r="I508" i="4"/>
  <c r="H508" i="4"/>
  <c r="G508" i="4"/>
  <c r="F508" i="4"/>
  <c r="J490" i="4"/>
  <c r="I490" i="4"/>
  <c r="H490" i="4"/>
  <c r="G490" i="4"/>
  <c r="F490" i="4"/>
  <c r="J470" i="4"/>
  <c r="I470" i="4"/>
  <c r="H470" i="4"/>
  <c r="G470" i="4"/>
  <c r="F470" i="4"/>
  <c r="N466" i="4"/>
  <c r="O466" i="4" s="1"/>
  <c r="P466" i="4" s="1"/>
  <c r="G448" i="4"/>
  <c r="G447" i="4" s="1"/>
  <c r="H447" i="4"/>
  <c r="J445" i="4"/>
  <c r="I445" i="4"/>
  <c r="H445" i="4"/>
  <c r="G445" i="4"/>
  <c r="F445" i="4"/>
  <c r="J434" i="4"/>
  <c r="I434" i="4"/>
  <c r="H434" i="4"/>
  <c r="G434" i="4"/>
  <c r="F434" i="4"/>
  <c r="J429" i="4"/>
  <c r="I429" i="4"/>
  <c r="H429" i="4"/>
  <c r="G429" i="4"/>
  <c r="F429" i="4"/>
  <c r="J423" i="4"/>
  <c r="I423" i="4"/>
  <c r="H423" i="4"/>
  <c r="G423" i="4"/>
  <c r="F423" i="4"/>
  <c r="J415" i="4"/>
  <c r="I415" i="4"/>
  <c r="H415" i="4"/>
  <c r="G415" i="4"/>
  <c r="F415" i="4"/>
  <c r="J409" i="4"/>
  <c r="I409" i="4"/>
  <c r="H409" i="4"/>
  <c r="G409" i="4"/>
  <c r="F409" i="4"/>
  <c r="J403" i="4"/>
  <c r="I403" i="4"/>
  <c r="H403" i="4"/>
  <c r="G403" i="4"/>
  <c r="F403" i="4"/>
  <c r="F395" i="4"/>
  <c r="F393" i="4" s="1"/>
  <c r="J393" i="4"/>
  <c r="I393" i="4"/>
  <c r="H393" i="4"/>
  <c r="G393" i="4"/>
  <c r="J392" i="4"/>
  <c r="J384" i="4" s="1"/>
  <c r="I392" i="4"/>
  <c r="I384" i="4" s="1"/>
  <c r="H392" i="4"/>
  <c r="H384" i="4" s="1"/>
  <c r="Q391" i="4"/>
  <c r="P391" i="4"/>
  <c r="O391" i="4"/>
  <c r="Q390" i="4"/>
  <c r="P390" i="4"/>
  <c r="O390" i="4"/>
  <c r="G384" i="4"/>
  <c r="F384" i="4"/>
  <c r="H375" i="4"/>
  <c r="H382" i="4" s="1"/>
  <c r="G375" i="4"/>
  <c r="G382" i="4" s="1"/>
  <c r="F375" i="4"/>
  <c r="F382" i="4" s="1"/>
  <c r="J358" i="4"/>
  <c r="I358" i="4"/>
  <c r="J297" i="4"/>
  <c r="I297" i="4"/>
  <c r="G297" i="4"/>
  <c r="F297" i="4"/>
  <c r="G252" i="4"/>
  <c r="F252" i="4"/>
  <c r="J249" i="4"/>
  <c r="I249" i="4"/>
  <c r="H249" i="4"/>
  <c r="H255" i="4" s="1"/>
  <c r="G249" i="4"/>
  <c r="F249" i="4"/>
  <c r="J175" i="4"/>
  <c r="I175" i="4"/>
  <c r="G175" i="4"/>
  <c r="F175" i="4"/>
  <c r="J166" i="4"/>
  <c r="I166" i="4"/>
  <c r="G166" i="4"/>
  <c r="F166" i="4"/>
  <c r="H145" i="4"/>
  <c r="H140" i="4"/>
  <c r="J34" i="4"/>
  <c r="I34" i="4"/>
  <c r="H34" i="4"/>
  <c r="G34" i="4"/>
  <c r="F34" i="4"/>
  <c r="J33" i="4"/>
  <c r="I33" i="4"/>
  <c r="H33" i="4"/>
  <c r="H29" i="4" s="1"/>
  <c r="G31" i="4"/>
  <c r="G29" i="4" s="1"/>
  <c r="J30" i="4"/>
  <c r="J29" i="4" s="1"/>
  <c r="I30" i="4"/>
  <c r="I29" i="4" s="1"/>
  <c r="F29" i="4"/>
  <c r="J23" i="4"/>
  <c r="I23" i="4"/>
  <c r="H23" i="4"/>
  <c r="G23" i="4"/>
  <c r="F23" i="4"/>
  <c r="I22" i="4"/>
  <c r="H22" i="4"/>
  <c r="G22" i="4"/>
  <c r="F22" i="4"/>
  <c r="J21" i="4"/>
  <c r="F21" i="4"/>
  <c r="H20" i="4"/>
  <c r="G20" i="4"/>
  <c r="F20" i="4"/>
  <c r="H19" i="4"/>
  <c r="G19" i="4"/>
  <c r="F19" i="4"/>
  <c r="F18" i="4"/>
  <c r="F17" i="4"/>
  <c r="F16" i="4"/>
  <c r="I15" i="4"/>
  <c r="H15" i="4"/>
  <c r="G15" i="4"/>
  <c r="F15" i="4"/>
  <c r="F14" i="4"/>
  <c r="J13" i="4"/>
  <c r="H449" i="4" l="1"/>
  <c r="G13" i="4"/>
  <c r="H13" i="4"/>
  <c r="H40" i="4" s="1"/>
  <c r="H41" i="4" s="1"/>
  <c r="F519" i="4"/>
  <c r="J519" i="4"/>
  <c r="F13" i="4"/>
  <c r="F40" i="4" s="1"/>
  <c r="F41" i="4" s="1"/>
  <c r="G519" i="4"/>
  <c r="J40" i="4"/>
  <c r="J41" i="4" s="1"/>
  <c r="I13" i="4"/>
  <c r="I40" i="4" s="1"/>
  <c r="I41" i="4" s="1"/>
  <c r="G40" i="4"/>
  <c r="G41" i="4" s="1"/>
  <c r="I519" i="4"/>
  <c r="I786" i="4"/>
  <c r="H519" i="4"/>
  <c r="I796" i="4"/>
  <c r="J786" i="4"/>
  <c r="J796" i="4"/>
</calcChain>
</file>

<file path=xl/comments1.xml><?xml version="1.0" encoding="utf-8"?>
<comments xmlns="http://schemas.openxmlformats.org/spreadsheetml/2006/main">
  <authors>
    <author>Автор</author>
  </authors>
  <commentList>
    <comment ref="G648" authorId="0">
      <text>
        <r>
          <rPr>
            <b/>
            <sz val="9"/>
            <color indexed="81"/>
            <rFont val="Tahoma"/>
            <family val="2"/>
            <charset val="204"/>
          </rPr>
          <t>Автор:</t>
        </r>
        <r>
          <rPr>
            <sz val="9"/>
            <color indexed="81"/>
            <rFont val="Tahoma"/>
            <family val="2"/>
            <charset val="204"/>
          </rPr>
          <t xml:space="preserve">
Бюджет и спец средства по 70981 вед.квалиф 34110, 34121, и ЦМ </t>
        </r>
      </text>
    </comment>
    <comment ref="G657" authorId="0">
      <text>
        <r>
          <rPr>
            <b/>
            <sz val="9"/>
            <color indexed="81"/>
            <rFont val="Tahoma"/>
            <family val="2"/>
            <charset val="204"/>
          </rPr>
          <t>Автор:</t>
        </r>
        <r>
          <rPr>
            <sz val="9"/>
            <color indexed="81"/>
            <rFont val="Tahoma"/>
            <family val="2"/>
            <charset val="204"/>
          </rPr>
          <t xml:space="preserve">
бюджет и спец 
по 70911</t>
        </r>
      </text>
    </comment>
    <comment ref="G660" authorId="0">
      <text>
        <r>
          <rPr>
            <b/>
            <sz val="9"/>
            <color indexed="81"/>
            <rFont val="Tahoma"/>
            <family val="2"/>
            <charset val="204"/>
          </rPr>
          <t>Автор:</t>
        </r>
        <r>
          <rPr>
            <sz val="9"/>
            <color indexed="81"/>
            <rFont val="Tahoma"/>
            <family val="2"/>
            <charset val="204"/>
          </rPr>
          <t xml:space="preserve">
средства 
нового проекта Всемирного банка</t>
        </r>
      </text>
    </comment>
    <comment ref="G663" authorId="0">
      <text>
        <r>
          <rPr>
            <b/>
            <sz val="9"/>
            <color indexed="81"/>
            <rFont val="Tahoma"/>
            <family val="2"/>
            <charset val="204"/>
          </rPr>
          <t>Автор:</t>
        </r>
        <r>
          <rPr>
            <sz val="9"/>
            <color indexed="81"/>
            <rFont val="Tahoma"/>
            <family val="2"/>
            <charset val="204"/>
          </rPr>
          <t xml:space="preserve">
бюджет и спец.средства 70921, 70961, 70962, 70964,70965 </t>
        </r>
      </text>
    </comment>
    <comment ref="G668" authorId="0">
      <text>
        <r>
          <rPr>
            <b/>
            <sz val="9"/>
            <color indexed="81"/>
            <rFont val="Tahoma"/>
            <family val="2"/>
            <charset val="204"/>
          </rPr>
          <t>Автор:</t>
        </r>
        <r>
          <rPr>
            <sz val="9"/>
            <color indexed="81"/>
            <rFont val="Tahoma"/>
            <family val="2"/>
            <charset val="204"/>
          </rPr>
          <t xml:space="preserve">
бюджет и спец.
средства 70951,70941,70952</t>
        </r>
      </text>
    </comment>
    <comment ref="G674" authorId="0">
      <text>
        <r>
          <rPr>
            <b/>
            <sz val="9"/>
            <color indexed="81"/>
            <rFont val="Tahoma"/>
            <family val="2"/>
            <charset val="204"/>
          </rPr>
          <t>Автор:</t>
        </r>
        <r>
          <rPr>
            <sz val="9"/>
            <color indexed="81"/>
            <rFont val="Tahoma"/>
            <family val="2"/>
            <charset val="204"/>
          </rPr>
          <t xml:space="preserve">
апто аппарат</t>
        </r>
      </text>
    </comment>
    <comment ref="G675" authorId="0">
      <text>
        <r>
          <rPr>
            <b/>
            <sz val="9"/>
            <color indexed="81"/>
            <rFont val="Tahoma"/>
            <family val="2"/>
            <charset val="204"/>
          </rPr>
          <t>Автор:</t>
        </r>
        <r>
          <rPr>
            <sz val="9"/>
            <color indexed="81"/>
            <rFont val="Tahoma"/>
            <family val="2"/>
            <charset val="204"/>
          </rPr>
          <t xml:space="preserve">
бюджет 70922,70931</t>
        </r>
      </text>
    </comment>
    <comment ref="G677" authorId="0">
      <text>
        <r>
          <rPr>
            <b/>
            <sz val="9"/>
            <color indexed="81"/>
            <rFont val="Tahoma"/>
            <family val="2"/>
            <charset val="204"/>
          </rPr>
          <t>Автор:</t>
        </r>
        <r>
          <rPr>
            <sz val="9"/>
            <color indexed="81"/>
            <rFont val="Tahoma"/>
            <family val="2"/>
            <charset val="204"/>
          </rPr>
          <t xml:space="preserve">
средства АБР</t>
        </r>
      </text>
    </comment>
    <comment ref="G679" authorId="0">
      <text>
        <r>
          <rPr>
            <b/>
            <sz val="9"/>
            <color indexed="81"/>
            <rFont val="Tahoma"/>
            <family val="2"/>
            <charset val="204"/>
          </rPr>
          <t>Автор:</t>
        </r>
        <r>
          <rPr>
            <sz val="9"/>
            <color indexed="81"/>
            <rFont val="Tahoma"/>
            <family val="2"/>
            <charset val="204"/>
          </rPr>
          <t xml:space="preserve">
спец 70922, 70931</t>
        </r>
      </text>
    </comment>
    <comment ref="G683" authorId="0">
      <text>
        <r>
          <rPr>
            <b/>
            <sz val="9"/>
            <color indexed="81"/>
            <rFont val="Tahoma"/>
            <family val="2"/>
            <charset val="204"/>
          </rPr>
          <t>Автор:</t>
        </r>
        <r>
          <rPr>
            <sz val="9"/>
            <color indexed="81"/>
            <rFont val="Tahoma"/>
            <family val="2"/>
            <charset val="204"/>
          </rPr>
          <t xml:space="preserve">
бюджет 70942</t>
        </r>
      </text>
    </comment>
    <comment ref="G685" authorId="0">
      <text>
        <r>
          <rPr>
            <b/>
            <sz val="9"/>
            <color indexed="81"/>
            <rFont val="Tahoma"/>
            <family val="2"/>
            <charset val="204"/>
          </rPr>
          <t>Автор:</t>
        </r>
        <r>
          <rPr>
            <sz val="9"/>
            <color indexed="81"/>
            <rFont val="Tahoma"/>
            <family val="2"/>
            <charset val="204"/>
          </rPr>
          <t xml:space="preserve">
спец 70942</t>
        </r>
      </text>
    </comment>
    <comment ref="G690" authorId="0">
      <text>
        <r>
          <rPr>
            <b/>
            <sz val="9"/>
            <color indexed="81"/>
            <rFont val="Tahoma"/>
            <family val="2"/>
            <charset val="204"/>
          </rPr>
          <t>Автор:</t>
        </r>
        <r>
          <rPr>
            <sz val="9"/>
            <color indexed="81"/>
            <rFont val="Tahoma"/>
            <family val="2"/>
            <charset val="204"/>
          </rPr>
          <t xml:space="preserve">
бюджет наука и департамент</t>
        </r>
      </text>
    </comment>
    <comment ref="G691" authorId="0">
      <text>
        <r>
          <rPr>
            <b/>
            <sz val="9"/>
            <color indexed="81"/>
            <rFont val="Tahoma"/>
            <family val="2"/>
            <charset val="204"/>
          </rPr>
          <t>Автор:</t>
        </r>
        <r>
          <rPr>
            <sz val="9"/>
            <color indexed="81"/>
            <rFont val="Tahoma"/>
            <family val="2"/>
            <charset val="204"/>
          </rPr>
          <t xml:space="preserve">
спец наука</t>
        </r>
      </text>
    </comment>
    <comment ref="K1723" authorId="0">
      <text>
        <r>
          <rPr>
            <b/>
            <sz val="9"/>
            <color indexed="81"/>
            <rFont val="Tahoma"/>
            <family val="2"/>
            <charset val="204"/>
          </rPr>
          <t>Автор:</t>
        </r>
        <r>
          <rPr>
            <sz val="9"/>
            <color indexed="81"/>
            <rFont val="Tahoma"/>
            <family val="2"/>
            <charset val="204"/>
          </rPr>
          <t xml:space="preserve">
отношение эфирного времени не взятого в зачет а общему эфирному времени</t>
        </r>
      </text>
    </comment>
  </commentList>
</comments>
</file>

<file path=xl/comments2.xml><?xml version="1.0" encoding="utf-8"?>
<comments xmlns="http://schemas.openxmlformats.org/spreadsheetml/2006/main">
  <authors>
    <author>Автор</author>
  </authors>
  <commentList>
    <comment ref="M103" authorId="0">
      <text>
        <r>
          <rPr>
            <b/>
            <sz val="9"/>
            <color indexed="81"/>
            <rFont val="Tahoma"/>
            <family val="2"/>
            <charset val="204"/>
          </rPr>
          <t>Автор:</t>
        </r>
        <r>
          <rPr>
            <sz val="9"/>
            <color indexed="81"/>
            <rFont val="Tahoma"/>
            <family val="2"/>
            <charset val="204"/>
          </rPr>
          <t xml:space="preserve">
все года согласованы с Смаиловым У.</t>
        </r>
      </text>
    </comment>
  </commentList>
</comments>
</file>

<file path=xl/sharedStrings.xml><?xml version="1.0" encoding="utf-8"?>
<sst xmlns="http://schemas.openxmlformats.org/spreadsheetml/2006/main" count="6250" uniqueCount="3108">
  <si>
    <t xml:space="preserve"> </t>
  </si>
  <si>
    <t xml:space="preserve">«Кыргыз Республикасынын
2021-жылга республикалык бюджети жана
2022-2023-жылдарга болжолу жөнүндө»
Кыргыз Республикасынын Мыйзамына </t>
  </si>
  <si>
    <t>11-тиркеме</t>
  </si>
  <si>
    <t xml:space="preserve">Министрликтердин жана ведомстволордун программалык негиздеги бюджети </t>
  </si>
  <si>
    <t>Код ПР</t>
  </si>
  <si>
    <t>Код МЕ</t>
  </si>
  <si>
    <t>Код ИН</t>
  </si>
  <si>
    <t>Бюджетные программы/
Бюджетные меры</t>
  </si>
  <si>
    <t>Каржылоо</t>
  </si>
  <si>
    <t>Натыйжалуулук индикаторлору</t>
  </si>
  <si>
    <t>Ченөө бирдиги</t>
  </si>
  <si>
    <t>Базалык жыл</t>
  </si>
  <si>
    <t xml:space="preserve">Максаттуу маанилер </t>
  </si>
  <si>
    <t>(программалар/чаралар боюнча) (миң сом)</t>
  </si>
  <si>
    <t>11 Кыргыз Республикасынын Жогорку Кеңеши</t>
  </si>
  <si>
    <t xml:space="preserve">Бардык программалар боюнча эмгек акыга чыгашалардын суммасына карата 001 программа боюнча эмгек акыга чыгашалардын катышы </t>
  </si>
  <si>
    <t>%</t>
  </si>
  <si>
    <t>Жалпы жетекчиликти камсыз кылуу</t>
  </si>
  <si>
    <t>Калктын ишеним индекси</t>
  </si>
  <si>
    <t>коэф.</t>
  </si>
  <si>
    <t>-</t>
  </si>
  <si>
    <t>Финансылык менеджментти жана эсепке алууну камсыз кылуу</t>
  </si>
  <si>
    <t>Бюджетти тартип бузуусуз аткаруу пайызы</t>
  </si>
  <si>
    <t>Адам ресурстарын башкаруу</t>
  </si>
  <si>
    <t>Эмгектик талаш-тартыштар боюнча утуп алган сот процессинин үлүшү</t>
  </si>
  <si>
    <t>Укуктук колдоо</t>
  </si>
  <si>
    <t>Утуп алган сот иштеринин алардын санына карата катышы</t>
  </si>
  <si>
    <t>ед/ед</t>
  </si>
  <si>
    <t>Тышкы байланышты жана коомчулук менен байланышты колдоо</t>
  </si>
  <si>
    <t>Министрликтердин/ведомстволордун ЖМКда оң эскертүүлөрдүн саны</t>
  </si>
  <si>
    <t>ед.</t>
  </si>
  <si>
    <t>Иштерди уюштуруу жана  камсыз кылуу кызматы</t>
  </si>
  <si>
    <t>Борбордук аппаратынын кызматкерлеринин жалпы санынан камсыз кылуу кызматтарынын кызматкерлеринин үлүшү</t>
  </si>
  <si>
    <t>Калктын бардык топтору үчүн мектепке чейинки билим берүүнүн сапаттуу кызмат көрсөтүүлөрүнө жеткиликтүүлүктү камсыз кылуу</t>
  </si>
  <si>
    <t>№ 172 "Арген" балдар бакчасына барган балдардын саны</t>
  </si>
  <si>
    <t>Транспорттук камсыз кылуу</t>
  </si>
  <si>
    <t>Кызматтык автомашиналардын саны</t>
  </si>
  <si>
    <t>Социалдык колдоо</t>
  </si>
  <si>
    <t xml:space="preserve">Кабыл алынган мыйзам долбоорлорунун жалпы санында депутаттар тарабынан демилгеленген мыйзам долбоорлорунун үлүшү </t>
  </si>
  <si>
    <t>Кыргыз Республикасын өнүктүрүүнүн жалпы мамлекеттик программаларын бекитүүдө  фракция ортосундагы макулдуктардын механизмдерин камсыз кылуу</t>
  </si>
  <si>
    <t>Жогорку Кеңештин ишинин жумуш айынын саны  (каникул жана эс алуу күндөрүн кошпогондо)</t>
  </si>
  <si>
    <t>Шайлоочулар менен туруктуу жана иш-аракеттеги диалогдордун механизмдерин түзүү жана камсыз кылуу</t>
  </si>
  <si>
    <t>Шайлоочулардын кайрылууларын карап чыгуунун орточо мөөнөтү</t>
  </si>
  <si>
    <t>Жогорку Кеңештин ишинин айкындуулугун жана отчеттуулугун камсыз кылуу</t>
  </si>
  <si>
    <t>Парламентке бюджеттин чыгашаларынын ИДПнын номиналдык көлөмүндөгү үлүшү</t>
  </si>
  <si>
    <t>Туруктуу иштеген депутатка штаттык бирдиктердин саны</t>
  </si>
  <si>
    <t>Жогорку Кеңештин Төрагасынын алдындагы консультациялык-коомдук Кеңештин  ишин түзүү жана колдоо</t>
  </si>
  <si>
    <t xml:space="preserve">Кеңештин өткөрүлгөн жыйындарынын саны </t>
  </si>
  <si>
    <t>Жогорку Кеңеш тарабынан кабыл алынгандардын санынан Президент тарабынан кол коюлган мыйзамдардын үлүшү</t>
  </si>
  <si>
    <t>Коомду жана мамлекетти туруктуу өнүктүрүү үчүн  зарыл болгон реформаларды  мыйзамдуу камсыз кылуу</t>
  </si>
  <si>
    <t xml:space="preserve">100 депутат-күндө кабыл алынган токтомдордун саны </t>
  </si>
  <si>
    <t xml:space="preserve"> Иштелип чыгуучу мыйзам долбоорлорунун сапатын жогорулату</t>
  </si>
  <si>
    <t>Депутаттардын суроо-талаптарынын аткарылуусу</t>
  </si>
  <si>
    <t xml:space="preserve">100 депутат -күн үчүн Президент тарабынан кол коюлган мыйзамдардын саны </t>
  </si>
  <si>
    <t xml:space="preserve">Кызматташуу жөнүндө кол коюлган документтердин саны </t>
  </si>
  <si>
    <t>Кыргыз Республикасынын Өкмөтүнө калктын ишеним индекси</t>
  </si>
  <si>
    <t>Өкмөттүн жана башка отчеттук органдардын ишин  контролдоо сапатын жакшыртуу</t>
  </si>
  <si>
    <t xml:space="preserve">Токтомдорду аткаруу </t>
  </si>
  <si>
    <t xml:space="preserve">Протоколдук тапшырмаларды аткаруу </t>
  </si>
  <si>
    <t xml:space="preserve">Депутаттардын суроо-талаптарын аткаруу </t>
  </si>
  <si>
    <t>Парламенттик контролдоо аспаптарын жакшыртуу</t>
  </si>
  <si>
    <t xml:space="preserve">Түзүлгөн депутаттык комиссиялардын саны </t>
  </si>
  <si>
    <t xml:space="preserve">Иштери аяктаган депутаттык комиссиялардын саны </t>
  </si>
  <si>
    <t>Эскертүү: №172 "Арген" балдар-бакчасынын атайын каражаттардын суммасын кошкондо:</t>
  </si>
  <si>
    <t>12. Кыргыз Республикасынын Президентинин Аппараты</t>
  </si>
  <si>
    <t>КР Президентинин иштөөсүн эксперттик-аналитикалык, маалыматтык , укуктук , протоколдук, уюштуруучулук, документациялык  камсыздоо</t>
  </si>
  <si>
    <t xml:space="preserve">КР Президентинин ишин "КР Президентинин ишинин кепилдиктери жөнүндө" КР Мыйзамына ылайык камсыздоо </t>
  </si>
  <si>
    <t xml:space="preserve">Калктын бардык топтору үчүн мектепке чейинки билим берүүнүн сапаттуу кызмат көрсөтүүлөрүнө жеткиликтүүлүктү камсыз кылуу </t>
  </si>
  <si>
    <t>Баардыгы (контролдук сандар)</t>
  </si>
  <si>
    <t>13. Кыргыз Республикасынын Президентинин Архиви</t>
  </si>
  <si>
    <t>Иш-чараларды жана коопсуздук кызматтарын уюштуруу</t>
  </si>
  <si>
    <t>14 Кыргыз Республикасынын Өкмөтүнүн Аппараты</t>
  </si>
  <si>
    <t>КР Өкмөтүнүн демилгеси боюнча кабыл алынган ченемдик-укуктук актылардын саны</t>
  </si>
  <si>
    <t xml:space="preserve">КР мамлекеттик чек арасын делимитациялоо жана   демаркациялоо маселесинде чечимдерди  координациялоо жана кабыл алуу  </t>
  </si>
  <si>
    <t xml:space="preserve"> Мамлекеттик чек араларды делимитацияло жана демаркациялоо маселелери боюнча өткөрүлгөн жолугушуулардын саны</t>
  </si>
  <si>
    <t xml:space="preserve"> Финансылык  жардам көрсөтүүгө чыккан буйруктардын саны</t>
  </si>
  <si>
    <t xml:space="preserve">15  Кыргыз Республикасынын Президентинин жана Өкмөтүнүн Иш башкармалыктары </t>
  </si>
  <si>
    <t xml:space="preserve">КР Президентинин, КР    Премьер-Министринин, КР Президентинин Аппаратынын жана КР Өкмөтүнүн Аппаратынын ишин камсыздоо </t>
  </si>
  <si>
    <t>Тейленүүчү  сметалардын саны</t>
  </si>
  <si>
    <t xml:space="preserve">Уюштурулган  протоколдук  иш чаралардын саны </t>
  </si>
  <si>
    <t>Мамлекеттик мекемелердин саны</t>
  </si>
  <si>
    <t>Мамлекетти жана демократиялык коомду, элдин биримдигин бекемдөөгө жана коргоого салым кошкон адамдарды, ошондой эле мамлекеттин жана элдин алдында иштин ар кандай түрлөрү боюнча сиңирген эмгеги үчүн мамлекеттик сыйлыктар менен сыйлоо боюнча иш-чараларды уюштуруу жана камсыздоо</t>
  </si>
  <si>
    <t>Даярдалган сыйлыктардын саны</t>
  </si>
  <si>
    <t>шт.</t>
  </si>
  <si>
    <t xml:space="preserve">Кыргыз Республикасынын экс Президентин жана Кыргыз ССРинин мурдагы жетекчилерин транспорттук камсыздоо </t>
  </si>
  <si>
    <t xml:space="preserve"> Адамдардын саны</t>
  </si>
  <si>
    <t>чел.</t>
  </si>
  <si>
    <t>Мамл маанилүү иш-чаралардын саны</t>
  </si>
  <si>
    <t>Таланттуу жана жөндөмдүү балдарды, анын ичинде чет өлкөлөрдө окутууга колдоо көрсөтү;</t>
  </si>
  <si>
    <t xml:space="preserve">Жылдык бюджеттин жалпы суммасынан салыштырма салмак % </t>
  </si>
  <si>
    <t>2) Татаал турмуштук кырдаалдагы балдарга даректүү колдоо көрсөтүү;</t>
  </si>
  <si>
    <t xml:space="preserve">3) Билим берүү жана илим  жана жаштардын инсандык сапатын өнүктүрүүгө  багытталган башка долбоорлор жаатындагы демилгелерди колдоо </t>
  </si>
  <si>
    <t xml:space="preserve">КРПӨИБга жүктөлгөн кызмат адамдарынын ишин камсыздоо </t>
  </si>
  <si>
    <t>Бузууларсыз бюджетти аткаруунун пайызы</t>
  </si>
  <si>
    <t xml:space="preserve"> Мамлекеттик кызмат көрсөтүүлөрдүн жогорку деңгээлин камсыздоо</t>
  </si>
  <si>
    <t>Уюмдардын жалпы суммасына карата атайын каражаттардын үлүшү</t>
  </si>
  <si>
    <t xml:space="preserve"> Мамлекеттик  сектордо транспортук кызматтарды көрсөтүү</t>
  </si>
  <si>
    <t xml:space="preserve"> Республикалык бюджет, анын ичинде тейленүүчү. Эсебинен  тейленүүчү автомашиналардын саны</t>
  </si>
  <si>
    <t>-  K77КР Президенттин  Аппараты</t>
  </si>
  <si>
    <t>- K79 КР Өкмөтүнүн Аппараты</t>
  </si>
  <si>
    <t>- КРӨ Иш башкармасы</t>
  </si>
  <si>
    <t>- K83АТК  жана меймандар</t>
  </si>
  <si>
    <t xml:space="preserve"> Атайын каражаттар эсебинен тейленүүчү автомашиналардын саны,а.и.</t>
  </si>
  <si>
    <t>- министрликтер жана   ведомстволор</t>
  </si>
  <si>
    <t>- КБ ИБ</t>
  </si>
  <si>
    <t>- АТК  жана меймандар</t>
  </si>
  <si>
    <t>Мамл мектеп чейинки билим берүүчү уюмдардын болгон тармагын колдоо</t>
  </si>
  <si>
    <t>Балдардын  саны</t>
  </si>
  <si>
    <t>Кесиптик искусствого калкты тартуу жана сапатын жогорулатуу</t>
  </si>
  <si>
    <t xml:space="preserve"> Мамлекеттик протколдун иш чараларын тейлөө саны</t>
  </si>
  <si>
    <t>16 Кыргыз Республикасынын Жогорку соту</t>
  </si>
  <si>
    <t>001</t>
  </si>
  <si>
    <t>0</t>
  </si>
  <si>
    <t>КР ЖС бардык программалар  боюнча эмгек акыга чыгашалардын суммасына карата 001 программа боюнча эмгек акыга чыгашалардын катышы</t>
  </si>
  <si>
    <t>01</t>
  </si>
  <si>
    <t>адам</t>
  </si>
  <si>
    <t>02</t>
  </si>
  <si>
    <t xml:space="preserve">Адам ресурстарын башкаруу </t>
  </si>
  <si>
    <t>Эмгектик талаш-тартыштар боюнча жеңип чыккан сот процессинин үлүшү</t>
  </si>
  <si>
    <t>03</t>
  </si>
  <si>
    <t xml:space="preserve">Тышкы байланыштарды колдоо </t>
  </si>
  <si>
    <t>Жогорку деңгээлдеги конокторду тосуунун жана кабыл алуунун саны</t>
  </si>
  <si>
    <t>бирдик</t>
  </si>
  <si>
    <t>Жогорку деңгээлдеги эл аралык иш-чараларга судьялардын иш сапарынын  саны</t>
  </si>
  <si>
    <t>04</t>
  </si>
  <si>
    <t xml:space="preserve">Коомчулук менен байланышты колдоо </t>
  </si>
  <si>
    <t xml:space="preserve">ЖМК  Жогорку соттун оң эскртүүлөрүнүн саны </t>
  </si>
  <si>
    <t>1300-1500</t>
  </si>
  <si>
    <t>05</t>
  </si>
  <si>
    <t xml:space="preserve">Ишти жана  камсыздоо  кызматын уюштуруу </t>
  </si>
  <si>
    <t xml:space="preserve">Жогорку соттун борбордук аппаратынын кызматкерлеринин жалпы санын камсыздоо кызматынын кызматкерлеринин үлүшү </t>
  </si>
  <si>
    <t>002</t>
  </si>
  <si>
    <t xml:space="preserve">Жергиликтүү соттордун сапатсыз сот адилетсиздигинин себеби боюнча кайтарылган иштердин саны </t>
  </si>
  <si>
    <t xml:space="preserve">Жарандык, кылмыш жана административдик-экономикалык иштер боюнча сот адилеттүүлүгүн  ишке ашыруу </t>
  </si>
  <si>
    <t>Жергиликтүү соттордун сапатсыз сот адилетсиздигинин  себеби боюнча жокко чыгарылган иштердин саны</t>
  </si>
  <si>
    <t>640</t>
  </si>
  <si>
    <t>630</t>
  </si>
  <si>
    <t xml:space="preserve">Тиешелүү стандарттагы имарат менен ЖС камсыз кылуу </t>
  </si>
  <si>
    <t>Аянты  боюнча белгиленген стандарттарга КР ЖС имараттарын шайкеш келтирүү: ооба/жок</t>
  </si>
  <si>
    <t>да</t>
  </si>
  <si>
    <t xml:space="preserve">ЖС имаратын заманбап жабдуулар менен жабдуулоо  (эмерек, ПК ж.б.)/ Аларды сатып алууга каржылоону  бөлүү </t>
  </si>
  <si>
    <t>Жабдуулар менен жабдылышы – 0-100%</t>
  </si>
  <si>
    <t>Жумушчу абалды техникалык жабдууну колдоо  (эмерек, ПК, МФУ, ксерокөчүрмө)</t>
  </si>
  <si>
    <t>Жабдууларды колдоо</t>
  </si>
  <si>
    <t>Судьяларды   үзгүлтүксүз окутууну жана  квалификациясын жогорулатуу боюнча  аппараттын кызматкерлерине семинарларды өткөрүү ( УЦС  КР ЖС планын эске албаганда)</t>
  </si>
  <si>
    <t>КР ЖС аппаратынын кызматкерлерин семинарлар жана башкалар менен камтуу</t>
  </si>
  <si>
    <t>006</t>
  </si>
  <si>
    <t>Жалпылоо жана соттук практикадан жакшыртуу</t>
  </si>
  <si>
    <t>Жалпыланган сот практикасын  саны</t>
  </si>
  <si>
    <t>07</t>
  </si>
  <si>
    <t>Мыйзам долбоорлор менен иштөө</t>
  </si>
  <si>
    <t>Сунуш  киргизилген мыйзам долбоорлордун саны</t>
  </si>
  <si>
    <t>08</t>
  </si>
  <si>
    <t>КРЖС бюллетендери үчүн  материалдарды топтоо</t>
  </si>
  <si>
    <t>Топтолгон  материалдардын саны</t>
  </si>
  <si>
    <t>003</t>
  </si>
  <si>
    <t>Cудьяларга кол салуулардын саны</t>
  </si>
  <si>
    <t xml:space="preserve">саны </t>
  </si>
  <si>
    <t xml:space="preserve"> Соттун имаратынын видео байкоо камераларын орнотуу жана  коопсуздукту камсыздоодо   жана техникалык каражаттарды жумушчу абалда кармоо </t>
  </si>
  <si>
    <t xml:space="preserve">Соттун имаратында жана аймагында  видеокамера/техникалык каражаттардын саны </t>
  </si>
  <si>
    <t>бирд.</t>
  </si>
  <si>
    <t>КР ЖС кызматкерлерине  социалдык пакет (медициналык тейлөө) менен камсыз кылуу</t>
  </si>
  <si>
    <t>Оорулардын (оорунун, а.и. балдардын)  жана өргүмөлөрдүн себеби боюнча   жумушчу орундарда кызматкерлердин жок болуу күндөрүнүн саны</t>
  </si>
  <si>
    <t>күн</t>
  </si>
  <si>
    <t>004</t>
  </si>
  <si>
    <r>
      <t xml:space="preserve">Жогорку соттун ишинин ачыктыгын камсыздоо                 </t>
    </r>
    <r>
      <rPr>
        <i/>
        <sz val="10"/>
        <rFont val="Times New Roman"/>
        <family val="1"/>
        <charset val="204"/>
      </rPr>
      <t xml:space="preserve">                                    Программанын максаты:  Коррупциялык көрүнүштөр менен күрөшүү </t>
    </r>
  </si>
  <si>
    <t>КР ЖС  аппаратынын  кызматкерлери арасында коррупциялык көрүнүштөрдүн саны</t>
  </si>
  <si>
    <t xml:space="preserve"> КР ЖС  чечимдерин жарыялоо системасын оптималдаштыруу</t>
  </si>
  <si>
    <t xml:space="preserve"> sot.kg сайтында жарыяланган чечимдердин саны</t>
  </si>
  <si>
    <t xml:space="preserve"> Сот жыйындарында  ИКТ орнотуу жана пайдалануу </t>
  </si>
  <si>
    <t>Өлкөнүн интернет порталдарында жаңылыктар КР ЖС шилтемесин/сайт банерин  уюштуруу   (aki-press, k-news, 24.kg…).</t>
  </si>
  <si>
    <t xml:space="preserve"> КР ЖС сайтында уникуалдуу кароолордун саны</t>
  </si>
  <si>
    <t>Сот иштерин бөлүштүрүүнү автоматтык техникалык колдоо</t>
  </si>
  <si>
    <t xml:space="preserve"> КРЖС соттордун ишиндеги  кызыкчылыктар кагылышына даттануулардын саны</t>
  </si>
  <si>
    <t xml:space="preserve"> КР ЖС иштерди ар тараптуу чагылдырууну камсыз кылуу</t>
  </si>
  <si>
    <t xml:space="preserve"> КР ЖС сайтында  ЖМК (ТВ, радио, интернет, басма ж.б .) шилтемелердин жана илгерилөөлөрдүн саны</t>
  </si>
  <si>
    <t>6-8</t>
  </si>
  <si>
    <t xml:space="preserve"> Соттун жыйындар залында аудио-видеофиксация системасын жумушчу абалын колдоо</t>
  </si>
  <si>
    <t xml:space="preserve"> Процесстин катышуучуларынын, БӨУ тарабынан  КР ЖС  ишине карата даттануулардын саны</t>
  </si>
  <si>
    <t>Баардыгы (Кыргыз Республикасынын Жогорку сотунун муктаждыктары)</t>
  </si>
  <si>
    <t>Кыргыз Республикасынын Жогорку сотунун Конституциаляк палатасы</t>
  </si>
  <si>
    <t xml:space="preserve">Кыргыз Республикасынын Жогорку сотунун Конституциялык палатасынын бардык программалары боюнча  чыгашаларга карата 001 программасы боюнча эмгек акыга чыгашалардын катышы </t>
  </si>
  <si>
    <t xml:space="preserve">Жалпы жетекчиликти камсыз кылуу </t>
  </si>
  <si>
    <t>Эмгек жана финансылык тартип жөнүндө мыйзамдарды бузуулардын саны</t>
  </si>
  <si>
    <t xml:space="preserve">Финансылык менеджментти жана эсепке алууну камсыз кылуу </t>
  </si>
  <si>
    <t>Финансылык тартип чөйрөсүндөгү мыйзамдарды бузуулардын саны</t>
  </si>
  <si>
    <t>н/п</t>
  </si>
  <si>
    <t xml:space="preserve">Иштерди камсыз кылуу жана камсыз кылуу кызматы  </t>
  </si>
  <si>
    <t xml:space="preserve">Конституциялык палатанын борбордук аппаратынын кызматкерлеринин жалпы санынын камсыз кылуу кызматынын кызматкерлеринин үлүшү </t>
  </si>
  <si>
    <t xml:space="preserve">KПга келип түшкөн кайрылуулардын жана КП судьяларынын жана аппараттын кызматкерлеринин кесиптик деңгээлин жогорулатууга багытталган иш-чаралардын саны </t>
  </si>
  <si>
    <t>Конституциалык сот адилеттүүлүгүн ишке ашыруу</t>
  </si>
  <si>
    <t>Конституциялуулукту камсыз кылуу боюнча каралган иштердин саны</t>
  </si>
  <si>
    <t>`5/11</t>
  </si>
  <si>
    <t>`10/11</t>
  </si>
  <si>
    <t>`18/11</t>
  </si>
  <si>
    <t>Соттордун конституциялык  сот адилеттигин жүзөгө ашыруу боююнча ишин камсыз кылуу</t>
  </si>
  <si>
    <t>Конституциялык палатаны эл аралык сот адилеттиги системасына интеграциялоо</t>
  </si>
  <si>
    <t xml:space="preserve">КП өкүлдөрүнүн эл аралык иш-чараларда катышуусунун саны </t>
  </si>
  <si>
    <t>Конституциялык палата болуп саналган конституциялык сот  адилеттиги мүчөлөрүнүн эл аралык жана региондук уюмдардын жана  бирикмелердин ишине катышуу</t>
  </si>
  <si>
    <t xml:space="preserve">Конституциялык  адилеттик  боюнча эл аралык жана региондук  уюмдардын жана бирикмелердин линиясы боюнча  уюштурулган иш чараларга  катышуулардын саны (конституциялык  адилеттик  боюнча дүйнөлүк конференция, Европа кеңешинин венециандык комиссиясы, конст. соттордунжана эквиваленттүү институтардын азия ассоциациясы, жаңы демократия өлкөлөрүнүн конституциялык контролдоо органдар-н конференциясы)  </t>
  </si>
  <si>
    <t>Конституционализмдин актуалдуу маселелерине арналган эл аралык конференцияларды өткөрүү</t>
  </si>
  <si>
    <t>Эларалык конференцияларды  эки жылда 1 жолу өткөрүү</t>
  </si>
  <si>
    <t>06</t>
  </si>
  <si>
    <t>Кыргызстандагы конституционализмдин актуалдуу маселелерине арналган улуттук илимий-практикалык конференцияларды өткөрүү</t>
  </si>
  <si>
    <t>Улуттук конференцияларды  эки жылда 1 жолу өткөрүү</t>
  </si>
  <si>
    <t>КП аппарат кызматкерлериннин квалификациясын көтөрүү, чет өлкөлөрдүн конституциялык сотторунда окутуу</t>
  </si>
  <si>
    <t>Стажировкадан өткөн кызматкерлердин саны</t>
  </si>
  <si>
    <t>ооба/жок</t>
  </si>
  <si>
    <t>жок</t>
  </si>
  <si>
    <t>ооба</t>
  </si>
  <si>
    <t>Ачык-айкындуулукту камсыз кылууга багытталган иш-чараларды жана бул иш-чаралардын катышуучулары саны</t>
  </si>
  <si>
    <t>КП жана башка ЖМК сайтына жайгаштырылган материалдардын саны</t>
  </si>
  <si>
    <t xml:space="preserve">Конституционализмдин жайкы мектептерин уюштуруу жана студенттердин арасында меймандык лекциялардын конкурстарын өткөрүү </t>
  </si>
  <si>
    <t>Катышуучулардын саны</t>
  </si>
  <si>
    <t>Жанылыктарды чыгаруу, жылдык отчет, кароо, календарга, көрмө түзүү жана теле каналда жарыялоо</t>
  </si>
  <si>
    <t>Чыгарылган продукциянын саны</t>
  </si>
  <si>
    <t>Кыргыз Республикасынын Жогорку сотуна караштуу Сот адилеттүүлүгүнүн  жогорку мектебини</t>
  </si>
  <si>
    <t xml:space="preserve">КР жогорку сотунун окуу борборунун бардык программалары боюнча чыгашаларга  карата 001 программасы боюнча эмгек акыга чыгашаларынын катышы  </t>
  </si>
  <si>
    <t xml:space="preserve"> Жалпы жетекчиликти камсыздоо</t>
  </si>
  <si>
    <t xml:space="preserve"> Финансылык менеджмент жана эсепке алууну камсыз кылуу</t>
  </si>
  <si>
    <t xml:space="preserve"> Адам  ресурстарын башкаруу</t>
  </si>
  <si>
    <t xml:space="preserve"> Эмгек талаштары боюнча сот процесстеринин саны</t>
  </si>
  <si>
    <t xml:space="preserve"> Ишти камсыздоо жана камсыз кылуу кызматы </t>
  </si>
  <si>
    <t xml:space="preserve"> ЖМК мекемелерге оң эскертүүлөрдүн саны</t>
  </si>
  <si>
    <t xml:space="preserve"> Соттук корпусунун  ачыктыгын жана кесипкөйлүгүн күчөтүү</t>
  </si>
  <si>
    <t>ед</t>
  </si>
  <si>
    <t>Кыргыз Республикасында сот системасынын кадрдык потенциалын чыңдоо</t>
  </si>
  <si>
    <t>Кесипкөйлүк деңгээлин жогорулатуу</t>
  </si>
  <si>
    <t>Судьяларды, прокурорлорду жана  адвокаттарды биргелешип окутуу практикасын киргизүү</t>
  </si>
  <si>
    <t>Эл аралык байланыштарды өнүктүрүү (КМШ,  алыскы  чет өлкөлөр) судьяларды кесиптик даярдоо  чөйрөсүнө Жогорку сот акыйкаттыгы мектеби жана судьялар кеңешинде  тематикалык конференциялар жана семинарлар</t>
  </si>
  <si>
    <t xml:space="preserve"> Сот системасынын кызматкерлеринин кесиптик маданиятынын деңгээлин жогорулатуу</t>
  </si>
  <si>
    <t>кол-во</t>
  </si>
  <si>
    <t>Төмөнкү сапат себеби боюнча жогорку инстанциядагы соттордун  ишин кайтаруу саны</t>
  </si>
  <si>
    <t>Жергиликтүү соотордун судьялары кызматына талапкерлерди окутуу</t>
  </si>
  <si>
    <t>Тестирлөөгө талапкерлер алган орточо упай</t>
  </si>
  <si>
    <t>балл</t>
  </si>
  <si>
    <t>Окутулган талапкелердин саны</t>
  </si>
  <si>
    <t>Угуучуларды  тандоо  боюнча  уюштуруу иш-чаралары</t>
  </si>
  <si>
    <t xml:space="preserve"> Окутулган талапкерлердин саны</t>
  </si>
  <si>
    <t xml:space="preserve"> Окуу процессинде (окутуучу, ошондой эле катышуучу тараптан) бузууларга даттануулардын саны</t>
  </si>
  <si>
    <t xml:space="preserve"> Окуу стандарттарын жана   программаларын иштеп чыгуу жана актуалдаштыруу</t>
  </si>
  <si>
    <t>Зарыл санга карата бекитилген программалардын үлүшү</t>
  </si>
  <si>
    <t>Зарыл болгон санга бекитилген стандарттардын үлүшү</t>
  </si>
  <si>
    <t xml:space="preserve"> Комплекстүү программаны окутууну киргизүү</t>
  </si>
  <si>
    <t>Киргизилген  комплекстүү программа</t>
  </si>
  <si>
    <t>Талапкерлерди окутуу үчүн окуу китептерин, окуу куралдарын актуалдаштыруу</t>
  </si>
  <si>
    <t xml:space="preserve"> Зарыл болгон санга карата окуу  китептеринин жана куралдарынын актуалдуу үлүшү</t>
  </si>
  <si>
    <t xml:space="preserve"> Аудитордук фондду көбөйтүү</t>
  </si>
  <si>
    <t xml:space="preserve"> Аудиториялардын аянты</t>
  </si>
  <si>
    <t>кв.м.</t>
  </si>
  <si>
    <t xml:space="preserve"> Окуу процессин бузууда даттануулар саны ( окутуучулар, ошондой эле катышуучулар тарабынан)</t>
  </si>
  <si>
    <t>Китепканага  окуу куралдарын, лекциялык материалдарды киргизүү</t>
  </si>
  <si>
    <t>Китепкананы комплектациялоо</t>
  </si>
  <si>
    <t>005</t>
  </si>
  <si>
    <t xml:space="preserve"> Тесттен өткөн талапкерлердин саны </t>
  </si>
  <si>
    <t>Талапкерлерди тестирлөө жол-жоболору уюштуруу</t>
  </si>
  <si>
    <t>Кыргыз Республикасынын Жогорку сотуна караштуу Сот департаментини</t>
  </si>
  <si>
    <t>Жалпы жетекчиликти камсыздоо</t>
  </si>
  <si>
    <t>Региондук деңгээлдеги жалпы координациялоо</t>
  </si>
  <si>
    <t>Финансылык менеджмент жана эсепке алууну  камсыз кылуу</t>
  </si>
  <si>
    <t>Эмгек талаштары боюнча  утуп алынган  сот процесстеринин  үлүшү</t>
  </si>
  <si>
    <t>Утуп алынган сот процесстеринин жалпы санга карата катышы</t>
  </si>
  <si>
    <t>бирдик/бирдик</t>
  </si>
  <si>
    <t>Тышкы байланышты жана коомчулук менен  байланышты колдоо</t>
  </si>
  <si>
    <t>ЖМК  мекемелерге  оң эскертүүлөрднүн саны</t>
  </si>
  <si>
    <t>саны</t>
  </si>
  <si>
    <t>Ишти жана камсыздоо кызматын уюштуруу</t>
  </si>
  <si>
    <t xml:space="preserve">Борбордук аппараттын  жалпы санынан  камсыздоо кызматынын кызматкерлеринин   үлүшү </t>
  </si>
  <si>
    <t>1300-1400</t>
  </si>
  <si>
    <t>Мониторинг, анализ жана стратегиялык пландоону камсыз кылуу</t>
  </si>
  <si>
    <t>индекс</t>
  </si>
  <si>
    <t xml:space="preserve"> Автоматташкан  маалыматтык системаны киргизүү  (АМС)</t>
  </si>
  <si>
    <t xml:space="preserve"> Соттук актыларынын  мамлекеттик реестрин түзүү  </t>
  </si>
  <si>
    <t xml:space="preserve"> Электрондук архивди түзүү</t>
  </si>
  <si>
    <t xml:space="preserve">Соттордун имаратынын коопсуздугун камсыздоо жана кайтаруу </t>
  </si>
  <si>
    <t>Сот процесстеринин тараптарынын катышуучуары үчүн коопсуздукту камсыз кылуу</t>
  </si>
  <si>
    <t xml:space="preserve">Сот процесстерине аудио видео фиксациялоо системасын киргизүү  </t>
  </si>
  <si>
    <t xml:space="preserve">Аудио, видео фиксация  жана сот жыйындарын протоколдоо менен жабдылган соттордун системасынын саны </t>
  </si>
  <si>
    <t xml:space="preserve">Сот адилеттүүлүгүн ишке ашыруу </t>
  </si>
  <si>
    <t>09</t>
  </si>
  <si>
    <t xml:space="preserve">Соттордун, жергиликтүү соттордун кызматкерлеринин кесиптик деңгээлин тийиштүү түрдө камсыз кылуу </t>
  </si>
  <si>
    <t>600</t>
  </si>
  <si>
    <t>1000</t>
  </si>
  <si>
    <t>2058</t>
  </si>
  <si>
    <t>10</t>
  </si>
  <si>
    <t xml:space="preserve">Сот приставдар кызматынын  ишин камсыздоо </t>
  </si>
  <si>
    <t>11</t>
  </si>
  <si>
    <t xml:space="preserve">Аткаруу өндүрүшүнүн институтунун ишин камсыздоо </t>
  </si>
  <si>
    <t>12</t>
  </si>
  <si>
    <t xml:space="preserve">Сот адилеттүүлүгүн ишке ашыруу үчүн зарыл болгон эмгек шарттарын түзүү </t>
  </si>
  <si>
    <t>Канааттандырылбаган сот иштери уюштурулду деп эсептелген жарандардын , анын ичинде сурамжылангандардын үлүшү</t>
  </si>
  <si>
    <t>13</t>
  </si>
  <si>
    <t xml:space="preserve">Сот өндүрүшүнүн процесстеринин оперативдүүлүгүн камсыздоо </t>
  </si>
  <si>
    <t>14</t>
  </si>
  <si>
    <t>Соттук актыларды аралыктан режиминде алуу  үчүн системаны иштеп чыгуу жана киргизүү  ( электрондук сот адилеттүүлүгү системасы)</t>
  </si>
  <si>
    <t>15</t>
  </si>
  <si>
    <t>Соттук актыларды автоматташтырылган түрдө бөлүштүрүү  (ААБ)</t>
  </si>
  <si>
    <t>16</t>
  </si>
  <si>
    <t xml:space="preserve">Сот арачыларынын институтун киргизүү </t>
  </si>
  <si>
    <t>Сот арачыларынын катышуусу менен соттук иштерди карай турган район аралык соттордун саны</t>
  </si>
  <si>
    <t>КР судьяларды тандоо боюнча Кеңеш тарабынан судьяларды көз карандысыз тандоо</t>
  </si>
  <si>
    <t>Жергиликтүү соттордун судьялык корпустун комплекттөөнүн пайызы</t>
  </si>
  <si>
    <t>Тышкы байкоо системасын киргизүү</t>
  </si>
  <si>
    <t>Сот процессинин жүрүшүнө таасир берүүчү сот залындагы инциденттер саны   (кийинкиге калтыруу, узак пауза)</t>
  </si>
  <si>
    <t>Контролдук-өтмөк режимди киргизүү</t>
  </si>
  <si>
    <t>Күзөт кызматын киргизүү (сот ортомчулары)</t>
  </si>
  <si>
    <t xml:space="preserve">Сот имараттарындагы коопсуздукту жана күзөттү камсыз кылуу </t>
  </si>
  <si>
    <t>Зыян келтирилген соттордун саны (сот отурумдарынын катышуучуларынын,  соттордун имаратынын короосундагы митингге чыккандар)</t>
  </si>
  <si>
    <t>СД системасындагы коррупциялык көрүнүштөрдүн саны</t>
  </si>
  <si>
    <t>ЖМК, БӨУ  жарандык коомдун маалымдуулугун жогорулатуу боюнча ишти камсыз кылуу</t>
  </si>
  <si>
    <t>Маалыматтык ишти өткөрүү:  ЖМК чыгып сүйлөө (ТВ, радио, пресса)</t>
  </si>
  <si>
    <t>Сот процесстерин аудио-видеофиксациясын киргизүү</t>
  </si>
  <si>
    <t>Сот өндүрүшүнүн жол -жоболорун сактабоого даттануулардын саны</t>
  </si>
  <si>
    <t>Бюджеттик системаны каржылоонун ачыктыгын камсыздоо механизмин киргизүү</t>
  </si>
  <si>
    <t xml:space="preserve"> Сот ситемасынын бирдиктүү сайтында ЖМК публикациялар саны:  бюджеттик системаны каржылоо жөнүндө,  судьялардын кирешелери жөнүндө   соттордун аппаратынын кызматкерлери</t>
  </si>
  <si>
    <t>Каралган иштердин  жалпы санында  кабыл алынган жана  аткарылган чечимдердин саны</t>
  </si>
  <si>
    <t>Сот адилеттүүлүгүн ишке ашыруу</t>
  </si>
  <si>
    <t>Соттордун  судьяларынын, кызматкерлеринин кесиптик деңгээлин тиешелүү камсыз кылуу</t>
  </si>
  <si>
    <t xml:space="preserve">Жылына иштердин жалпы санына карата судьялар тарабынан четке кагылган, билдирилген жана канааттандырылган иштердин катышы </t>
  </si>
  <si>
    <t>Аткаруучу өндүрүш институтунун   ишин тиешелүү камсыз кылуу</t>
  </si>
  <si>
    <t xml:space="preserve"> Соттордун токтомдорун реалдуу жана өз учурунда аткарылгандардын үлүшү  (кайтарылбаган   иштерди аткаруу үчүн  багытталган)</t>
  </si>
  <si>
    <t>Аткаруучу өндүрүштүн  институтунун  ишин камсыз кылуу</t>
  </si>
  <si>
    <t>Кызматтык милдеттер менен байланыштуу бузуулардын саны</t>
  </si>
  <si>
    <t>Сот адилеттүүлүгүн ишке ашыруу үчүн   зарыл болгон эмгек шарттарын түзүү</t>
  </si>
  <si>
    <t xml:space="preserve"> Тиешелүү стандарттарга жана   санитардык нормаларга ылайык сотторунун саны</t>
  </si>
  <si>
    <t>Сот өндүрүшү процессинин  ыкчамдуулугун камсыздоо</t>
  </si>
  <si>
    <t>Сот өндүрүшүнүн ченемдик  мөөнөттөрүн сактоо менен өткөрүлгөн иштердин саны</t>
  </si>
  <si>
    <t xml:space="preserve"> Маалымат алмашуу системасын түзүү жана  маалыматтык жана техникалык коопсуздук системасын киргизүү</t>
  </si>
  <si>
    <t xml:space="preserve"> Иш-аракеттер чөйрөсүн кеңейтүү жана сот иштеринин  бөлүштүрүүнүн автоматташтырылган системасын модернизациялоо жана судьялар ортосунда  материалдарды бөлүштүрүү</t>
  </si>
  <si>
    <t xml:space="preserve">Сот иштеринин автоматташташтырылган системасында  бөлүштүрүлгөн иштердин  үлүшү жана   жалпы иштердин санында судьялар ортосундагы материалдарды бөлүштүрүү.  </t>
  </si>
  <si>
    <t>Каралган иштердин жалпы санында сот арачыларынын сот чыгарылган чечимдеринин  үлүшү</t>
  </si>
  <si>
    <t>Сот  арачыларынын институтун киргизүү</t>
  </si>
  <si>
    <t>Каралаган иштердин жалпы санында сот арачылары  сотторунун чыгарылган чечимдеринин үлүшү</t>
  </si>
  <si>
    <t>Сот тутумундагы ачыктыктын үлүшү жана адамдардын сот адилеттигине жетүү мүмкүнчүлүгүн жогорулатуу</t>
  </si>
  <si>
    <t>Тергөө судьяларын жана аппарат кызматкерлеринин институтун киргизүү</t>
  </si>
  <si>
    <t>Соттордун адистигин өркүндөтүүнүн пайызы</t>
  </si>
  <si>
    <t>Сот аткаруучу жана сот приставдар институтун киргизүү</t>
  </si>
  <si>
    <t xml:space="preserve"> 
Сот актыларын аткаруунун жана мажбурлап сотко алып келүүнүн  үлүшү жана сот залындагы процесстин жүрүшүнө таасир эткен окуялардын саны (кийинкиге жылдыруу, узак тыныгуу) </t>
  </si>
  <si>
    <t>сот арачыларынын ишин караган административдик соттордун саны</t>
  </si>
  <si>
    <t>Сот отурумдарын аудио-видео жазуу боюнча  кылмыш жасаган адамдардын тартип бузуулары, тартип бузуулар, мыйзам бузуулар боюнча иш-чараларды жүзөгө ашыруу</t>
  </si>
  <si>
    <t>аудио-видео жазуу жана протоколдоштуруу боюнча камсыздалган сот залдарын саны</t>
  </si>
  <si>
    <t>007</t>
  </si>
  <si>
    <t>Сот адилеттигин ишке ашыруунун сапатын жогорулатуу</t>
  </si>
  <si>
    <t>Бирдиктүү корпоративдик почта тутумун киргизүү</t>
  </si>
  <si>
    <t>КР сот тутумунун кызматкеринин бирдиктүү санарип паспортун жана электрондук санарип кол тамгасын (авторизациялоонун жана аутентификациялоонун бирдиктүү тутуму) ишке ашыруу</t>
  </si>
  <si>
    <t>КР сот тутумунун, САКБнин жана башка сот тутумунун имараттарынын көзөмөлдөө тутумун, кирүүнү көзөмөлдөө жана коопсуздугун камсыз кылуу</t>
  </si>
  <si>
    <t xml:space="preserve">сот процессинин катышуучуларынын коопсуздугун камсыздоо </t>
  </si>
  <si>
    <t>Соттордун жана КР сот тутумунун башка субъекттеринин коопсуздугун камсыз кылуу үчүн ички жана тышкы видео байкоо тутумун ишке ашыруу</t>
  </si>
  <si>
    <t>Соттордун, САКБнын жана КР сот тутумунун башка субъекттеринин техникалык инфраструктурасын өнүктүрүү жана модернизациялоо</t>
  </si>
  <si>
    <t>"Санарип сот адилеттиги" КР сот тутумунун бирдиктүү маалыматтык экосистемасын түзүү жана КР сот тутумунун маалыматтык тутумдарын башка мамлекеттик органдар жана ведомстволор менен интеграциялоо</t>
  </si>
  <si>
    <t>Электрондук төлөмдөрдү колдогон КР сот тутумунун электрондук кызмат көрсөтүүлөрүнүн порталын иштеп чыгуу жана жүзөгө ашыруу (анын ичинде жарандын жана сот процессинин катышуучусунун жеке эсебин)</t>
  </si>
  <si>
    <t>КР сот тутумунун Call-борборун түзүү жана IP-телефониянын корпоративдик тутумун киргизүү</t>
  </si>
  <si>
    <t>КР сот тутумунун маалыматтык-техникалык инфраструктурасын контролдоону, мониторинг жүргүзүүнү, башкарууну камсыз кылуу үчүн кырдаалдык борборду түзүү</t>
  </si>
  <si>
    <t>Аралыктан сот адилеттигин ишке ашыруу</t>
  </si>
  <si>
    <t>КР сот системасынын информациалык коопсуздугун камсыздоо</t>
  </si>
  <si>
    <t>"Сот отурумдарын аудио-видео жазуу жана протоколдоштуруу" аппараттык-программалык комплексин иштеп чыгуу жана колдоо</t>
  </si>
  <si>
    <t>"Суд" автоматташтырылган маалымат тутумун техникалык тейлөө жана иштеп чыгуу</t>
  </si>
  <si>
    <t>17. Счетная палата КР</t>
  </si>
  <si>
    <t>18. Кыргыз Республикасынын Шайлоо жана референдумдарды өткөрүү боюнча Борбордук комиссиясы</t>
  </si>
  <si>
    <t>18. Центральная комиссия по выборам и проведениюреферендумов КР</t>
  </si>
  <si>
    <t>Пландоо, башкаруу жана   администрлөө</t>
  </si>
  <si>
    <t xml:space="preserve"> координациялочу</t>
  </si>
  <si>
    <t xml:space="preserve"> Шайлоолор боюнча БШК аппаратынын ишин координациялоо жана камсыздоо</t>
  </si>
  <si>
    <t xml:space="preserve">Жарандардын  конституциялык  укугун ишке ашыруу аркылуу референдумдарда жана  шайлоолорго катышуу .           </t>
  </si>
  <si>
    <t xml:space="preserve"> Добуш берүүнүн жыйынтыгын   чыгаруу  жана шайлоолордун ннатыйжаларын  аныктоо</t>
  </si>
  <si>
    <t xml:space="preserve">19. Кыргыз Республикасынын Башкы прокуратурасы </t>
  </si>
  <si>
    <r>
      <t xml:space="preserve">Башкаруу жана пландаштыруу                                                                                                                         
</t>
    </r>
    <r>
      <rPr>
        <i/>
        <sz val="10"/>
        <rFont val="Times New Roman"/>
        <family val="1"/>
        <charset val="204"/>
      </rPr>
      <t xml:space="preserve">Программанын максаттары: Башка программалардын аткарылышына координиациялык жана уюштуруу таасирин кылуу </t>
    </r>
  </si>
  <si>
    <t xml:space="preserve">Калктын ишенүүсүнүн индекси </t>
  </si>
  <si>
    <t xml:space="preserve">Финансылык менеджментти жана учетун  камсыздоо </t>
  </si>
  <si>
    <t xml:space="preserve">Бюджеттин бузуусуз аткарылышынын пайызы </t>
  </si>
  <si>
    <t>аудит өткөрүлгөн эмес</t>
  </si>
  <si>
    <t>аудит не произведен</t>
  </si>
  <si>
    <t xml:space="preserve">Тышкы жана коомдук байланыштарды колдоо </t>
  </si>
  <si>
    <t>Мин-нун/вед-нун массалаык маалымат каражаттарындагы оң жагынан аталгандыгынын саны</t>
  </si>
  <si>
    <t>Ишмердүүлуктү жана камсыздоо кызматын уюштуруу.</t>
  </si>
  <si>
    <t>Ички териштирүүлөрдү жүргузүү.</t>
  </si>
  <si>
    <t>Жургүзүлгөн текшерүүлөрдүн саны, көрүлгөн прокурордук чаралардын саны, каралган арыз, даттануулардын саны, козголгон  кылымыш-жазык иштердин саны.</t>
  </si>
  <si>
    <t>4                                                                 122                                                             0</t>
  </si>
  <si>
    <t>0                                                                       111                                                              0</t>
  </si>
  <si>
    <t xml:space="preserve">Аткаруу бийлик органдарынын, ошондой эле тизмеси конституциялык мыйзам менен аныкталган башка мамлекеттик органдардын, жергиликтүү өз алдынча башкаруу органдарынын жана аталган органдардын кызмат адамдарынын мыйзамдарды так жана бирдей аткаруусун көзөмөлдөө </t>
  </si>
  <si>
    <t xml:space="preserve">Жургүзүлгөн текшерүүлөрдүн саны (2018-жылы аныкталган бузуулар), көрүлгөн прокурордук чаралардын саны, келтирилген прокурордук актылардын саны, тартиптик жана административдик жоопкерчиликке тартылгандардын саны жана келтирилген прокурордук актылардын негизинде өндүрүлгөн зыяндын суммасы </t>
  </si>
  <si>
    <t>19018                                             8049                                           5581                                       388945321 сом</t>
  </si>
  <si>
    <t>Жергиликтүү өз алдынча башкаруу органдарынын чыгарган укутук актыларынын жана мыйзамдардын аткарылышына көзөмөл жүргүзүү</t>
  </si>
  <si>
    <t xml:space="preserve">8170                                                  5210                                                       3022                                                       332291628 сом </t>
  </si>
  <si>
    <t>Коррупцияга каршы аракеттенүү. Коррупцияга каршы мамлекеттик органдардын ишмердүүлүгүн координациялоо</t>
  </si>
  <si>
    <t xml:space="preserve">4124                                                1892                                                       1528                                           56653693 сом </t>
  </si>
  <si>
    <t xml:space="preserve">Балдардын укуктарын коргоо жөнүндөгү мыйзамдардын аткарылышы тууралуу көзөмөл жүргүзүү </t>
  </si>
  <si>
    <t>6724                                                 947                                              1031</t>
  </si>
  <si>
    <t xml:space="preserve">Инвесторлорду коргоо жана ишкерлердин укуктарын сакталышын көзөмөлдөө бөлүмү </t>
  </si>
  <si>
    <t>Изин суутпай издөө ишмердүүлугүн жүргүзүүчү органдардын, тергөө ишмердүүлүгүндө мыйзамдардын аткарылышына көзөмөл жүргүзүү</t>
  </si>
  <si>
    <t>Жургүзүлгөн текшерүүлөрдүн саны, жазык ишин козгоодон баш тартуу жөнүндөгү текшерилген материалдардын саны, жашырылган кылмыштарды аныктоонун саны, тергөөчүнүн негизсиз чечимдеринин жокко чыгаруунун саны, киргизилген сунуштардын саны,  тартиптик жана адиминистративдик жазага тартылгандардын саны, укук коргоо орагнадарынын кызмат адамдарынын кылмыш-жаза жоопкерчилигине тартылганынын саны.</t>
  </si>
  <si>
    <t>473                                                 44975                                                                  159                                                             7386                                                                          494                                                             245                                                       34</t>
  </si>
  <si>
    <t xml:space="preserve">Ички иштер жана жаза аткаруу органдарындагы тергөөнү жана изин суутпай издөө ишин көзөмөлдөө </t>
  </si>
  <si>
    <t>428                                             42142                                                             148                                                        5951                                                                   453                                                           222                                                    22</t>
  </si>
  <si>
    <t xml:space="preserve">Экономикалык кылмыштуулукка каршы күрөшүү органдарындагы тергөө жана изин суутпай издөө ишин көзөмөлдөө жана Аскердик прокуратурасы менен улуттук коопсуздук органдарында тергөө  </t>
  </si>
  <si>
    <t>31                                                    1511                                                      6                                                              786                                                          29                                                                   21                                                       0</t>
  </si>
  <si>
    <t xml:space="preserve">Экономикалык кылмыштуулукка каршы күрөшүү боюнча мамлекеттик кызмат жана бажы органдарындагы тергөөнү жана изин суутпай издөө ишин көзөмөлдөө </t>
  </si>
  <si>
    <t>12                                                             144                                                          2                                                              317                                                                   12                                                    2                                                12</t>
  </si>
  <si>
    <t>Мамлекеттик айыптоону колдоо жана соттогу окүлчүлүк бөлүмү</t>
  </si>
  <si>
    <t>Соттук процесстерде катышуунун саны. Биринчи инстанциядагы айыптоо өкүмдөрдүн саны. Апеляциялык, кассациялык  жана көзөмөл тартибиндеги келтирилген сунуштардын саны. Доо арыздардын  негизинде өндүрүлгөн суммалар.</t>
  </si>
  <si>
    <t>10208                                                       2818                                             1034                                                      684                                                665                                                     45850555</t>
  </si>
  <si>
    <t xml:space="preserve">Сотто мамлекеттик айыптоону колдоо </t>
  </si>
  <si>
    <t>Соттук процесстерде катышуунун саны. Айыптоо өкүмдөрдүн саны. Апеляциялык, кассациялык  жана көзөмөл тартибиндеги келтирилген сунуштардын саны.</t>
  </si>
  <si>
    <t xml:space="preserve">8390                                                           2818                                                                   934                                                               634                                                665 </t>
  </si>
  <si>
    <t xml:space="preserve">Жарандык, административдик жана экономикалык иштер боюнча жарандардын кызыкчылыгын сотто колдоо
</t>
  </si>
  <si>
    <t>Соттук процесстерде катышуунун саны. Апеляциялык, кассациялык  жана көзөмөл тартибиндеги келтирилген сунуштардын саны. Доо арыздардын  негизинде өндүрүлгөн суммалар</t>
  </si>
  <si>
    <t>1818                                                                  100                                                                    50                                                       0                                                 45850555</t>
  </si>
  <si>
    <t xml:space="preserve">Укуктук статистика жана эсепке алууну камсыз кылуу </t>
  </si>
  <si>
    <t>Жеринде жазык-укуктук статистиканы  түзүү жана тууралыгы боюнча жүргүзүлгөн текшерүүлөрдүн саны (анын ичинде көзөмөлгө алынган органдар)</t>
  </si>
  <si>
    <t xml:space="preserve">Кылмыштуулук, аларды жасаган адамдар жана укук коргоо органдарынын тергөө иштери жөнүндө жазык-укуктук статистиканы түзүү (бардык укук коргоо тутуму боюнча статистиканын жыйындысы) жана көзөмөлдөө, укук коргоо тутуму үчүн “Кылмыштардын жана жоруктардын бирдиктүү реестри” автоматташтырылган  маалыматтык тутумун иштеп чыгуу, ишке киргизүү жана модернизациялоо </t>
  </si>
  <si>
    <t>Соттук-укуктук реформа</t>
  </si>
  <si>
    <t>КЖБР АИС түзүү жана киргизүү долбоорун ишке ашыруу</t>
  </si>
  <si>
    <t xml:space="preserve"> Укук коргоо органдары жана прокуратура органдары  толук кандуу иштеши үчүн бардык талаптарга жооп берген технологиялык -программалык камсыз кылууну түзүү. </t>
  </si>
  <si>
    <t>20 Кыргыз Республикасынын Аскер прокуратурасы</t>
  </si>
  <si>
    <t xml:space="preserve">Пландоо, башкаруу жана администрлөө                                                                                                                         </t>
  </si>
  <si>
    <t xml:space="preserve">Кыргыз Республикасынын Аскер прокуратурасынын органдарынын ишмердүүлүгүнө сапаттуу көзөмөл жана натыйжалуу башкаруу </t>
  </si>
  <si>
    <t xml:space="preserve">Жалпы жетектөөнү камсыздоо </t>
  </si>
  <si>
    <t xml:space="preserve">Аскер кызматкерлеринин ишеним индекси </t>
  </si>
  <si>
    <t xml:space="preserve">Каржылык жана ресурстук камсыздоо </t>
  </si>
  <si>
    <t xml:space="preserve">Бюджетти бузууларсыз аткаруу пайызы </t>
  </si>
  <si>
    <t xml:space="preserve">Кылм.иштеринин саны </t>
  </si>
  <si>
    <t>149/5528831</t>
  </si>
  <si>
    <t>50/700368</t>
  </si>
  <si>
    <t>150/18000,0</t>
  </si>
  <si>
    <t>160/19000,0</t>
  </si>
  <si>
    <t>170/20000,0</t>
  </si>
  <si>
    <t xml:space="preserve">Ишмердүүлүк жөнүндө маалымат,аткарууга көзөмөл кылуу, кадрлар менен камсыздоо, ЖМК менен иштешүү </t>
  </si>
  <si>
    <t xml:space="preserve">Жетектөөчү кадрлардын сапаттык курамын жакшыртуу. Отчеттук маалыматтардын сапаттуу жана өз убагында аткарылышы, ЖМКга чыгуу </t>
  </si>
  <si>
    <t xml:space="preserve">Саны </t>
  </si>
  <si>
    <t>Аскер мыйзамдары сакталышына жалпы көзөмөл кылууну ишке ашыруу</t>
  </si>
  <si>
    <t xml:space="preserve">Аскер мыйзамдары боюнча укук бузууларды азайтуу </t>
  </si>
  <si>
    <t xml:space="preserve">Кыргыз Республикасынын мыйзамдарын так жана бирдей аткарылышын көзөмөлдөө </t>
  </si>
  <si>
    <t xml:space="preserve">Аскер мыйзамдарын сактабоо боюнча жүргүзүлгөн текшерүүлөрдүн саны </t>
  </si>
  <si>
    <t>704/18834001</t>
  </si>
  <si>
    <t>290/5280623</t>
  </si>
  <si>
    <t>700/19000,0</t>
  </si>
  <si>
    <t>800/20000,0</t>
  </si>
  <si>
    <t>900/21000,0</t>
  </si>
  <si>
    <t xml:space="preserve">Мыйзамдардын жана аскер уставдарынын аткарылышын көзөмөлдөө </t>
  </si>
  <si>
    <t xml:space="preserve">Командирлер менен начальниктердин иш-аракеттерине арыздануулар менен даттануулардын саны </t>
  </si>
  <si>
    <t xml:space="preserve">Сунуштоо жана жазма буйрук </t>
  </si>
  <si>
    <t xml:space="preserve">Куралдуу күчтөрдө чыгарылган ченемдик актылардын шайкештигине көзөмөл  </t>
  </si>
  <si>
    <t xml:space="preserve">Куралдуу Күчтөрдөгү кылмыштардын бетин ачуунун пайыздык көрсөткүчүнүн жогорулашы </t>
  </si>
  <si>
    <t xml:space="preserve">Куралдуу күчтөрдөгү кылмыш иштеринин алдын алуу жана бетин ачуу </t>
  </si>
  <si>
    <t>437/30090441</t>
  </si>
  <si>
    <t>106/8869553</t>
  </si>
  <si>
    <t>450/30000,0</t>
  </si>
  <si>
    <t>500/31000,0</t>
  </si>
  <si>
    <t>550/32000,0</t>
  </si>
  <si>
    <t xml:space="preserve">Куралдуу күчтөрдө кылмыш жасагандарды соттук куугунтуктоо </t>
  </si>
  <si>
    <t>Кылмыштардын алдын алуу боюнча сабактарга катышкан аскер кызматкерлеринин үлүшү (аскер кызматкерлеринин жалпы санына карата)</t>
  </si>
  <si>
    <t xml:space="preserve">Аскер сотторундагы мамлекеттик айыптоону колдоо </t>
  </si>
  <si>
    <t xml:space="preserve">Сот процесстерине катышуу </t>
  </si>
  <si>
    <t xml:space="preserve">Соттор караган кылмыш иштеринин сапаты </t>
  </si>
  <si>
    <t>150/30000,0</t>
  </si>
  <si>
    <t>200/31000,0</t>
  </si>
  <si>
    <t>250/32000,0</t>
  </si>
  <si>
    <t xml:space="preserve">Соттордо мамлекеттик айыптоону даярдоо жана айып тагуу </t>
  </si>
  <si>
    <t xml:space="preserve">Соттун чечими менен колдоого алынган мамлекеттик айыптоолор </t>
  </si>
  <si>
    <t>21.   Кыргыз Республикасынын Акыйкатчысы</t>
  </si>
  <si>
    <t>Бюджетти укук бузууларсыз аткаруу пайызы</t>
  </si>
  <si>
    <t xml:space="preserve">Укуктук колдоо </t>
  </si>
  <si>
    <t>Жеңип чыккан сот иштеринин алардын жалпы санына карата катышы</t>
  </si>
  <si>
    <t>бирд/бирд</t>
  </si>
  <si>
    <t>Министрликтердин/ведомстволордун ЖМКдагы оң эскертүүлөрүнүн саны</t>
  </si>
  <si>
    <t xml:space="preserve">Иштерди уюштуруу жана камсыз кылуу кызматы </t>
  </si>
  <si>
    <t xml:space="preserve">Борбордук аппаратынын кызматкерлеринин жалпы санынан  камсыз кылуу кызматынын кызматкерлеринин үлүшү </t>
  </si>
  <si>
    <t xml:space="preserve">Мониторинг жүргүзүүнү, талдоону жана стратегиялык пландаштырууну камсыз кылуу    </t>
  </si>
  <si>
    <t xml:space="preserve">Мамлекеттик органдардын жана ЖӨБ органдарынын таасир берүү актылары боюнча оң чечимдеринин үлүшү </t>
  </si>
  <si>
    <t xml:space="preserve">Региондук деңгээлде жалпы координациялоо </t>
  </si>
  <si>
    <t xml:space="preserve">Региондордо адам укуктары боюнча жарандардын даттануу-кайрылууларынын үлүшү </t>
  </si>
  <si>
    <t xml:space="preserve"> Адамдардын эркиндигин, укуктарын жана дискриминациялардын бардык формаларынын сакталышын контролдоо                                                                         Программанын максаты:</t>
  </si>
  <si>
    <t>Кыргыз Республикасынын Акыйкатчысынын аппаратынан кызмат көрсөтүүсүнөн канааттандырылган арыздануучулардын санынын көбөйүшү  (программа боюнча максаттуу индикатор)</t>
  </si>
  <si>
    <t>Адамдардын укугун эркиндигин коргоо</t>
  </si>
  <si>
    <t>Писихитриялык стационаларда болгон бейтаптардын укуктарын коргоо</t>
  </si>
  <si>
    <t>Психитриялык стационарларда бейтаптарды күтүү шарттарын жакшыртуу</t>
  </si>
  <si>
    <t>Балдардын,аялдардын жана үй-бүлөө укуктарын коргоо</t>
  </si>
  <si>
    <t>Балдардын,аялдардын жана үй-бүлөө укуктарынын бузулгандыгы боюнча  даттануулардын  үлүшү</t>
  </si>
  <si>
    <t>Укук коргоо органдары тарабынан жер-жерлерде эркинен ажыратуу жана чектөө боюнча адам укуктарын сактоо</t>
  </si>
  <si>
    <t>Жарандардын кайрылууларынан  жер-жерлерде эркинен ажыратуу жана чектөө боюнча оңунан  чечилген маселелер</t>
  </si>
  <si>
    <t>Социалдык-экономикалык  жана маданий укуктарды сактоо</t>
  </si>
  <si>
    <t>Социалдык экономикалык жана маданий укуктар боюнча даттануулардын үлүшү(арыздар жана даттануулардын жалпы саны)</t>
  </si>
  <si>
    <t>Жарандык-саясий укуктарды, мигранттардын,чет элдик жарандардын жана аскер кызматчылардын укуктарын коргоо</t>
  </si>
  <si>
    <t>Мигиранттардын, чет элдик жарандардын жана аскер кызматчылардын  укуктарын бузуу боюнча даттануулардын үлүшү</t>
  </si>
  <si>
    <t>Материалдык-техникалык базаны камсыздоо</t>
  </si>
  <si>
    <t>Бюджетти мыйзам бузуусуз аткаруунун  пайызы</t>
  </si>
  <si>
    <t>22 Кыргыз Республикасынын Юстиция министрлиги</t>
  </si>
  <si>
    <r>
      <t xml:space="preserve">Пландаштыруу, башкаруу жана администрациялоо    </t>
    </r>
    <r>
      <rPr>
        <i/>
        <sz val="10"/>
        <rFont val="Times New Roman"/>
        <family val="1"/>
        <charset val="204"/>
      </rPr>
      <t xml:space="preserve">Программанын максаты башка программаларды ишке ашыруугакоординациялык жана уюштуруучу таасир                                                                              </t>
    </r>
    <r>
      <rPr>
        <b/>
        <sz val="10"/>
        <rFont val="Times New Roman"/>
        <family val="1"/>
        <charset val="204"/>
      </rPr>
      <t xml:space="preserve">                                        
</t>
    </r>
  </si>
  <si>
    <t xml:space="preserve"> Министерсликке калктын ишеним  индекси</t>
  </si>
  <si>
    <t>Каржылык башкаруу жана бухгалтердик эсеп менен камсыз кылуу</t>
  </si>
  <si>
    <t xml:space="preserve"> Бузууларсыз бюджети аткаруунун пайызы</t>
  </si>
  <si>
    <t xml:space="preserve"> Адам ресурстарын башкаруу</t>
  </si>
  <si>
    <t xml:space="preserve">Мамлекеттик жарандык админи кызматтардын бош орундарын ээлөө </t>
  </si>
  <si>
    <t>Окутуу жана  персонадын квалификациясын жогорулатууа</t>
  </si>
  <si>
    <t xml:space="preserve"> Тышкы байл жана коомчулук менен байл колдоо</t>
  </si>
  <si>
    <t xml:space="preserve"> мин-к/вед-в жмк оң эскертүүлөрүнүн саны </t>
  </si>
  <si>
    <t>КРЮМ  кызм ШКУ мүчө-мамл кеңешмеге катышууга  иш сапары жана КМШ катышуучу-мамлекеттеринин  юстициянын министрлер кеңешине катыш. (Министр жана 2 эксперт)</t>
  </si>
  <si>
    <t xml:space="preserve"> ШКУ мүчө-мамл юстиция министрлериниг кеңешме жыйынын өткөрүү(2018 -ж)  жана КМШ министр кеңеш мүчө-малекеттери(2020 -ж  Кыргыз Республикасында.</t>
  </si>
  <si>
    <t xml:space="preserve"> мыйзам актыларын экспертиз саны,  эл аралык келишимдердин долбоорунун саны .</t>
  </si>
  <si>
    <t xml:space="preserve"> Ишти уюштурруу жана камсыздоо кызматы</t>
  </si>
  <si>
    <t xml:space="preserve"> Борб аппараттын жалпы санынын камсыздуулук кызмат кызматкерлеринин саны</t>
  </si>
  <si>
    <t xml:space="preserve"> Региондук деңгээлде  жалпы кординациялоо </t>
  </si>
  <si>
    <t>Аткаруу тартибинин  деңгээли</t>
  </si>
  <si>
    <t xml:space="preserve"> Экспертиза сапатын жогорулатуу</t>
  </si>
  <si>
    <t>Мыйзам чыгаруу иштери, иштеп чыгуу жана мыйзам долбоорлорун жана башка ченемдик укуктук экспертиза жүргүзүү планын макулдашуу</t>
  </si>
  <si>
    <t xml:space="preserve">Иштелип чыккан ченемдик укуктук актылардын долбоорлорунун саны </t>
  </si>
  <si>
    <t>Орто мыйзамдары жана эл аралык келишимдер жана долбоорлорду макулдашууларды ишке ашыруу экспертиза карап чыгуу.</t>
  </si>
  <si>
    <t>ЧУАны мамлекеттик реестрине киргизүү жана укуктук маалыматтардын борбордоштурулган маалымат базасын түзүү</t>
  </si>
  <si>
    <t xml:space="preserve">Мамлекеттик реестрге ЧУАларды киргизүү </t>
  </si>
  <si>
    <t>Борборлоштурулган базасын түзүү (АЛА) Юридикалык маалымат</t>
  </si>
  <si>
    <t xml:space="preserve">КР ченемдик укуктук актыларынын БМБдагы электрондук   версияларынын саны   </t>
  </si>
  <si>
    <r>
      <t xml:space="preserve"> Нотариальнык  мамлекеттик кызматтарды ишке ашырууу, апостилдөө чөйрөсүндө  ишти ишке ашыруу. 
</t>
    </r>
    <r>
      <rPr>
        <i/>
        <sz val="10"/>
        <rFont val="Times New Roman"/>
        <family val="1"/>
        <charset val="204"/>
      </rPr>
      <t>Максаты: юрист боюнча макулдашуу таасири, нотариалдык иш-чаралар жана апостилдөө</t>
    </r>
  </si>
  <si>
    <t xml:space="preserve">Сапаттуу жана өз убагындагы кызмат көрсөтүү менен камсыздоо </t>
  </si>
  <si>
    <t xml:space="preserve"> Коодинациялоону ишке ашыруу жана  апостилдөө чөйрөсүндөКР докум  чыгыш документтерине штампа апостиля  басуу </t>
  </si>
  <si>
    <t xml:space="preserve">апостилдик документтердин саны </t>
  </si>
  <si>
    <t>)мыйзамдаштырылган документтердин саны</t>
  </si>
  <si>
    <t xml:space="preserve"> Нотариалдык ишти ишке ашыруу </t>
  </si>
  <si>
    <t xml:space="preserve">Мамлекеттик нот.иштердин саны                                 </t>
  </si>
  <si>
    <t>Коомдон обочолонбогон кылмыш жазаларына байл кылмын жазаларын аткаруу, жана  жазык аткаруу мыйзам белгиленген тартипте мажбур кылуучу чаралар,о.э белг бир мөөнөткө эркинен ажыратуу түрүндө жазаларды өтөө шартуу бошонгон адамдарга көзөмөл</t>
  </si>
  <si>
    <t>кылмыш жазалаарына тартылган, шартуу бошонгон адамдарга көзөмөл жана тарбиялоо, социалдык интеграциялоо</t>
  </si>
  <si>
    <t>Юрид жактар,филиал(өкүлчүлүк)  юбирдиктүү мамлекеттик каттоону жүргүзүү</t>
  </si>
  <si>
    <t xml:space="preserve">  Мамлекеттик катто,кайра каттоо жана токтотуу саны                 </t>
  </si>
  <si>
    <t>Юрид жактар,филиал(өкүлчүлүк) онлайн каттоону киргизүү жана иштеттүү</t>
  </si>
  <si>
    <t xml:space="preserve"> Юстиции аймак органдарын каттоо процессине тартылган, ЮМ кызм үчүн окутуучу семинардары өткөрүү</t>
  </si>
  <si>
    <t xml:space="preserve">Юрид жактардын филиал (өкүлчүлүк) маалыматтар базасы үчүн кызмат көрсөтүү үчүн келишим боюнча IT адисти тартуу </t>
  </si>
  <si>
    <t>Юрид жактардын филиал (өкүлчүлүк) маалыматтар базасы үчүн серверди сатып алуу</t>
  </si>
  <si>
    <t xml:space="preserve">  Юрид жак филиал (өкүлчүлүк) жана аймактык органдардын архив каттоо документтерин инвентаризациялоо үчүн келишим менен адистерди тартуу</t>
  </si>
  <si>
    <t xml:space="preserve">  ЮМ юр жак,филиал өкүлч жана юстиция  аймактык орган архивдик докум каттоону сканерлөө үчүн  келишим менен адистерди тартуу </t>
  </si>
  <si>
    <t xml:space="preserve"> Юстициянын аймактык органдарына катто докум оцифровкалоо үчүн сканерди сатып алуу </t>
  </si>
  <si>
    <t xml:space="preserve"> Юр.жактардын филиал, ЮМ өкүлчүлүгүн каттоонун архивдик иштеринин сакталышын камсыздоо</t>
  </si>
  <si>
    <t xml:space="preserve"> Сигнализацияны орнотууну сатып алуу,  эшиктерди, стеллажды брондоо</t>
  </si>
  <si>
    <t xml:space="preserve"> Кыйм мүлк менен күрөө бүтүмдөрүн мамлекеттик каттону жүрүзүү</t>
  </si>
  <si>
    <t xml:space="preserve"> Күрөөлүк бүтүмдөр саны</t>
  </si>
  <si>
    <r>
      <t xml:space="preserve">Мамлекеттик кепилденгеен  юридикалык жардам 
</t>
    </r>
    <r>
      <rPr>
        <i/>
        <sz val="10"/>
        <rFont val="Times New Roman"/>
        <family val="1"/>
        <charset val="204"/>
      </rPr>
      <t xml:space="preserve"> Программа максты: Мамлекеттик кепилденгеен  юридикалык жардам </t>
    </r>
  </si>
  <si>
    <t xml:space="preserve"> Мамлекеттик кепилденген   сапатуу  юридикалыкжардаиды көрсөтүү</t>
  </si>
  <si>
    <t xml:space="preserve"> Мамлекеттик кепилденген  юридикалык  жардамды ишке ашыруу</t>
  </si>
  <si>
    <t xml:space="preserve"> Юридической жардамдын көрсөтүлгөн саны</t>
  </si>
  <si>
    <t>Тейлөө чөйрөсүндө кызматкөрсөтүүнү ишке ашыруу</t>
  </si>
  <si>
    <t xml:space="preserve"> МОП жана ТОПкызматчыларын тейлөөнү ишке ашыруу</t>
  </si>
  <si>
    <t xml:space="preserve"> Өз учурунда  жана сапаттуу тейлөө деңгээли</t>
  </si>
  <si>
    <t>23. Кыргыз Республикасынын Тышкы иштер министрлиги</t>
  </si>
  <si>
    <t xml:space="preserve">Кыргыз Республикасынын тышкы саясий курсун натыйжалуу ишке ашыруу
</t>
  </si>
  <si>
    <t>Кыргыз Республикасынын тышкы саясий курсун натыйжалуу ишке ашыруу</t>
  </si>
  <si>
    <t xml:space="preserve">Кыргыз Республикасынын улуттук коопсуздугун дипломатиялык каражаттар менен камсыздоо жана анын экономикалык жана социалдык саясатын ишке ашырууга катышуу </t>
  </si>
  <si>
    <t>Экономикалык дипломатияны натыйжалуу илгерилетүү</t>
  </si>
  <si>
    <t xml:space="preserve">Өзүнүн компетенциясынын алкагында Кыргыз Республикасынын тышкы саясий курсун натыйжалуу ишке ашырууга катышуу, ошондой эле эгемендүүлүктү, аймактык бүтүндүктү жана башка Кыргыз Республикасынын улуттук кызыкчылыктарын эл аралык мамилелерде коргоо </t>
  </si>
  <si>
    <t xml:space="preserve">Кыргыз Республикасынын Тышкы иштер министрлигинин  Ош, Жалал-Абад жана Баткен областтарындагы Ыйгарым укуктуу өкүлчүлүгүнүн ишмердүүүлүгү </t>
  </si>
  <si>
    <t xml:space="preserve">Өзүнүн компетенциясынын алкагында Кыргыз Республикасынын тышкы саясий курсун натыйжалуу ишке ашырууга катышуу, ошондой эле эгемендүүлүктү, аймактык бүтүндүктү жана башка Кыргыз Республикасынын улуттук кызыкчылыктарын  коргоо </t>
  </si>
  <si>
    <t xml:space="preserve"> Кыргыз Республикасынын чет өлкөлөрдөгү мекемелеринин ишмердүүлүгү</t>
  </si>
  <si>
    <t xml:space="preserve">Барган өлкөсүнө карата Кыргыз Республикасынын бирдиктүү тышкы саясий курсун жүргүзүү,  ошондой эле дипломатиялык каражаттар менен  эгемендүүлүктү, аймактык бүтүндүктү жана башка Кыргыз Республикасынын улуттук кызыкчылыктарын эл аралык мамилелерде коргоо </t>
  </si>
  <si>
    <t xml:space="preserve">Барган өлкөсүндө  Кыргыз Республикасынын жарандарынын жана юридикалык жактарынын укуктарын жана кызыкчылыктарын коргоо  </t>
  </si>
  <si>
    <t>Кыргыз Республикасынын Тышкы иштер министрлигинин  Казы Дикамбаевич Дикамбаев атындагы Дипломатиялык академиясынын ишмердүүлүгү</t>
  </si>
  <si>
    <t xml:space="preserve">Эл аралык мамилелер жаатында жогорку кесипкөй, жождон кийинки жана кошумча кесиптик сапаттуу билим берүү </t>
  </si>
  <si>
    <t>24. Аймактардын резервдик жана башка фонду</t>
  </si>
  <si>
    <t>Аймактардын резервдик жана башка фонду</t>
  </si>
  <si>
    <t>Ысык-Көл облусунун өнүктүрүү фонду</t>
  </si>
  <si>
    <t>Райондордун өнүктүрүү фонду</t>
  </si>
  <si>
    <t>Областтардын өнүктүрүү фонду</t>
  </si>
  <si>
    <t>Кыргыз Республикасынын Өкмөтүнүн облустардагы ыйгарым укуктуу өкүлүнүн резервдик фонду</t>
  </si>
  <si>
    <t>Акимдердин резервдик фонду</t>
  </si>
  <si>
    <t>Мамлекеттик-жеке өнөктөштүк долбоорун даярдоону каржылоо фонду</t>
  </si>
  <si>
    <t>25. Кыргыз Республикасынын Финансы министрлиги</t>
  </si>
  <si>
    <t>Министрликтин ведомство борбодук аппараты боюнча / эмгек акыга чыгашалардын суммасына карата 001 программасы боюнча эмгек акыга чыгашалардын катышы</t>
  </si>
  <si>
    <t xml:space="preserve">Жалпы жетекчиликти камсыздоо </t>
  </si>
  <si>
    <t>Ишеним индекси</t>
  </si>
  <si>
    <t>Финансылык менеджментти  жана эсепке алууну камсыз кылуу</t>
  </si>
  <si>
    <t xml:space="preserve">Бюджетти бузуусуз аткаруу пайызы </t>
  </si>
  <si>
    <t>Эмгек талаштары боюнча сот процессинин утуп алынган үлүлшү</t>
  </si>
  <si>
    <t>Уткан сот иштеринин жалпы санына катышы</t>
  </si>
  <si>
    <t xml:space="preserve">Тышкы  байланыштарды жана коомчулук менен байланыштарды  колдоо </t>
  </si>
  <si>
    <t>Министрликтин ведомствонун оң эскертүүлөрдүн саны</t>
  </si>
  <si>
    <t>Ишти уюштуруу жана камсыз кылуу кызматы</t>
  </si>
  <si>
    <t>Кызматкерлердин жалпы саны боюнча кызмат көрсөткөн кызматкерлердин үлүшү</t>
  </si>
  <si>
    <t>Мамлекеттик финансыларды  натыйжалуу  башкаруу маселелери боюнча  мамлекеттик башкаруу жана жергиликтүү өз алдынча башкаруу органдарынын  кызматкерлерин  кайра даярдоо жана  квалификациясын жогорулатуу</t>
  </si>
  <si>
    <t>Угуучулардын саны</t>
  </si>
  <si>
    <t xml:space="preserve">адам </t>
  </si>
  <si>
    <t>Кыргыз Республикасынын Өкмөтүнүн жана Кыргыз Республикасынын Жогорку Кенешинин республикалык бюджеттин долбоорун өз убагында тапшыруу</t>
  </si>
  <si>
    <t>Графикке ылайык</t>
  </si>
  <si>
    <t xml:space="preserve">Графикке ылайык </t>
  </si>
  <si>
    <t>Бюджеттөөнүн программалык - максаттуу ыкмаларын ишке киргизүү жана  республикалык  бюджеттин чыгашаларын талдоо</t>
  </si>
  <si>
    <t>Программалык форматта берилген Республикалык бюджеттин чыгымдарынын үлүшү</t>
  </si>
  <si>
    <t>не менне      80 %</t>
  </si>
  <si>
    <t>Бюджеттик ачыктыкты камсыз кылуу</t>
  </si>
  <si>
    <t>Бюджеттин ачык-айкындык индекси</t>
  </si>
  <si>
    <t>Бюджетти орто мөөнөттүү болжолдоо</t>
  </si>
  <si>
    <t xml:space="preserve">Кыргыз Республикасынын фискалдык саясатынын негизги багыттарын түзүү жана Кыргыз Республикасынын Өкмөтүнүн кеңешине берүү  </t>
  </si>
  <si>
    <t>Кыргыз Республикасынын фискалдык саясатынын негизги багыттарына карата бюджеттик чыгымдардын орто мөөнөттүү стратегиясына берилген министрликтердин жана ведомстволордун саны</t>
  </si>
  <si>
    <t xml:space="preserve">ед. </t>
  </si>
  <si>
    <t xml:space="preserve">Республикалык  бюджеттин  ресурстук базасын талдоо жана баалоо </t>
  </si>
  <si>
    <t>Республикалык кирешелеринин көлөмү</t>
  </si>
  <si>
    <t>млн.сом</t>
  </si>
  <si>
    <t>Капиталдык чыгашаларды жана  дем берүүчү (үлүштүк) гранттарды пландоо</t>
  </si>
  <si>
    <t>Республикалык бюджеттен каржыланган бүткөрүлгөн обьектилердин саны</t>
  </si>
  <si>
    <t>шт</t>
  </si>
  <si>
    <t>Мамлекеттик инвестицияларды пландоо жана тартуу</t>
  </si>
  <si>
    <t>Тартылган гранттык жардамдын көлөмү</t>
  </si>
  <si>
    <t>Жеңилдиктер негизинде тартылган кредиттик  каражаттардын көлөмү</t>
  </si>
  <si>
    <t>Бюджеттер аралык трансферттерди албаган Жергиликтүү бюджеттердин үлүшү</t>
  </si>
  <si>
    <t>Жергиликтүү бюджетти  пландоо жана аткаруунун мониторинги</t>
  </si>
  <si>
    <t>Бюджеттер аралык трансферттерди албаган Жергилитүү бюджеттердин үлүшү</t>
  </si>
  <si>
    <t>(01.01.15 ж. 183,2 млн. 16751,1 млн дон бекитилген) Жергиликтүү бюджеттердин чыгымдардагы мөөнөтү өтүп кеткен кредитордук карыздардын үлүшү</t>
  </si>
  <si>
    <t xml:space="preserve">Жергиликтүү бюджетти пландоодо жана аткарууда пландык, пландан тышкары жана тематикалык текшерүүлөрдү жүргүзүү </t>
  </si>
  <si>
    <t>Жергиликтүү өзүн өзү башкаруу органдарын  бир жыл ичинде текшерүү саны</t>
  </si>
  <si>
    <t>ЖӨБО саны</t>
  </si>
  <si>
    <t>Дем берүүчү грантттардын эсебинен каржылоо</t>
  </si>
  <si>
    <t>Жергиликтүү бюджеттин  бюджеттик отчеттуулугун автоматташтыруу</t>
  </si>
  <si>
    <t>Фин башкармалыктын (үлүшү) жана жергиликтүү өз алдынча башкаруунун саны анда автоматташтырылган программалык камсыз кылуу колдонулат</t>
  </si>
  <si>
    <t xml:space="preserve"> Райондордун саны, ЖӨБО</t>
  </si>
  <si>
    <t>ИДП карата  мамлекеттик тышкы карыздын деңгээли</t>
  </si>
  <si>
    <t xml:space="preserve">≤ 60% </t>
  </si>
  <si>
    <t>Орто мөөнөттүү келечекте тышкы карыздын туруктуулугун колдоо</t>
  </si>
  <si>
    <t xml:space="preserve">Мамлекеттик  карыз боюнча  мөөнөтүнөн өтүп кеткен  карыздардын көлөмү </t>
  </si>
  <si>
    <t>сом</t>
  </si>
  <si>
    <t>Жаңы тышкы карыз алуулардын  жеңилдетилген деңгээли (% грант-элемент)</t>
  </si>
  <si>
    <t>≥ 35%</t>
  </si>
  <si>
    <t xml:space="preserve">Мамлекеттик карыз алуунун булагы  катары  мамлекеттик баалуу кагаздар рыногунун потенциалын күчөтүү </t>
  </si>
  <si>
    <t xml:space="preserve">Аукциондук негизде мамлекеттик баалуу кагаздарды чыгаруунун үлүшү </t>
  </si>
  <si>
    <t>Мамлекеттик баалуу кагаздардын жылдык эмиссиясынын жалпы структурасындагы 2 жылдан ашык жүгүртүү мөөнөтү менен мамлекеттик баалуу кагаздардын оң өсүшү</t>
  </si>
  <si>
    <t>Өткөн жылга карата % өзгөрүүлөр</t>
  </si>
  <si>
    <t xml:space="preserve"> Натыйжалуу өсүш</t>
  </si>
  <si>
    <t>Натыйжалуу өсүш</t>
  </si>
  <si>
    <t xml:space="preserve">Мамлекеттик  ички карыз боюнча  мөөнөтүнөн өтүп кеткен  карыздардын көлөмү </t>
  </si>
  <si>
    <t>Казыналыктын органдары тарабынан бюджет алуучулардын жеке  эсеп-кысабын  киргизүү  жана бюджетти аткарууда кассалык тейлөө менен байланышкан,  башка кызматтарды  көрсөтүүнү ишке ашырылуучу, БКБТ (БКТ, БКА)  жана жергиликтүү өз алдынча башкаруу органдарынын үлүшү</t>
  </si>
  <si>
    <t xml:space="preserve">Бюджеттик ассигнованиелер, бюджеттик милдеттемелердин лимиттери жана кассалык пландар жөнүндө маалыматты колдонуучулардын кызыккандарга чейин билдирүү </t>
  </si>
  <si>
    <t xml:space="preserve">Казыналыктын органдары тарабынан  бюджеттик ассигнованиелер, бюджеттик каражаттардын лимиттери жана кассалык пландар жөнүндө  маалыматтар берилген  республикалык бюджеттин БКА үлүшү </t>
  </si>
  <si>
    <t xml:space="preserve">Бюджеттик милдеттенмелерди эсепке алуу боюнча  республикалык бюджеттин чыгашаларынын   экономикалык  классификация беренелеринин үлүшү </t>
  </si>
  <si>
    <t>Санкциялаштыруу жана  төлөмдү ишке ашыруу</t>
  </si>
  <si>
    <t xml:space="preserve">Бирдиктүү казыналык эсеп аркылуу  казыналыктын  органдары тарабынан  тейленүүчү БКБТ, БКА жана жергиликтүү өз алдынча  башкаруу  органдарынын  каражаттарынын үлүшү </t>
  </si>
  <si>
    <t>Мамлекеттик бюджетти аткаруу тууралуу  отчеттуулукту түзүү</t>
  </si>
  <si>
    <t>Мамлекеттик бюджетти аткаруу тууралуу ай сайын отчетту берүүнүн белгиленген мөөнөтү</t>
  </si>
  <si>
    <t>Күнү</t>
  </si>
  <si>
    <t>Отчёттуктан   кийинки 25-число</t>
  </si>
  <si>
    <t>Отчёттуктан кийинки 25-число</t>
  </si>
  <si>
    <t>Мамлекеттик бюджетти аткаруу тууралуу  жылдык  отчетту берүүнүн белгиленген мөөнөтү</t>
  </si>
  <si>
    <t xml:space="preserve">Мамлекеттик бюджет боюнча  жылдык консолидацияланган бухгалтердик отчеттуулукту берүүнүн белгиленген  мөөнөтү </t>
  </si>
  <si>
    <t>15 мая</t>
  </si>
  <si>
    <t>Кыргыз Республикасынын бюджетти аткаруунун кассалык тейлөөсүнө  байланышкан, жеке эсеп-четту киргизүү жана башка кызматтарды берүү</t>
  </si>
  <si>
    <t xml:space="preserve">Казыналыктын органдары  үчүн бюджет алуучулардын жеке  эсеп-чоттун  киргизүү  жана бюджетти аткарууда кассалык тейлөө менен байланышкан, башка кызматтарды  көрсөтүүнү ишке ашырылуучу, БКБТ (БКТ, БКА)  жана жергиликтүү өз алдынча башкаруу органдарынын үлүшү </t>
  </si>
  <si>
    <t>Белгиленген мөөнөттө  даярдалган  эксперттик корутундулардын үлүшү</t>
  </si>
  <si>
    <t xml:space="preserve">Кыргыз Республикасынын аймагында  баалуу металлдар жана асыл таштар  менен  операцияларга  мамлекеттик контролдоону жана  көзөмөлдү ишке ашыруу </t>
  </si>
  <si>
    <t xml:space="preserve">Жургүзүлгөн  текшерүүлөрдүн саны </t>
  </si>
  <si>
    <t xml:space="preserve">Жургүзүлгөн  текшерүүлөрдүн санынан  жеке жана юридикалык жактардан аныкталган  бузуулардын үлүшү </t>
  </si>
  <si>
    <t xml:space="preserve">Өндүрүлүп алынган  айыптардын көлөмү </t>
  </si>
  <si>
    <t>миң сом</t>
  </si>
  <si>
    <t xml:space="preserve">Баалуу металлдардан жана асыл таштардан жасалган  зер жана башка буюмдарды  эн тамгалоо боюнча пробирдик  кызматтарды көрсөтүү </t>
  </si>
  <si>
    <t xml:space="preserve">Пробирдик төлөмдү жыйноо боюнча  жылдык планды аткаруу </t>
  </si>
  <si>
    <t>Белгиленген тартипте  баалуу металлдарды жана асыл таштарды  экспорттоо, импорттоо боюнча  лицензия алууга  эксперттик корутундуну даярдоо</t>
  </si>
  <si>
    <t>Белгиленген мөөнөттө  даярдалган,  эксперттик корутундулардын үлүшү</t>
  </si>
  <si>
    <t>Кыргыз Республикасынын Финансы министрлигинин расмий сайтында мониторингдин натыйжаларын жайгаштыруу</t>
  </si>
  <si>
    <t>4 раза</t>
  </si>
  <si>
    <t>2 раза</t>
  </si>
  <si>
    <t>Ички аудитти ишке ашыруу</t>
  </si>
  <si>
    <t xml:space="preserve">Жүргүзүлгөн аудиттердин саны </t>
  </si>
  <si>
    <t xml:space="preserve">Тийиштүү жылга  коррупцияга каршы иш-аракеттер боюнча  иш-чаралар планын ишке ашыруу </t>
  </si>
  <si>
    <t>4 жолу</t>
  </si>
  <si>
    <t>2 жолу</t>
  </si>
  <si>
    <t xml:space="preserve">2 жолу </t>
  </si>
  <si>
    <t xml:space="preserve">3 жолу </t>
  </si>
  <si>
    <t>Сатып алуучу уюмдарга жана жабдып жеткирүүчүлөргө (подрядчыларга)  методологиялык жана  консультациялык жардам көрсөтүү</t>
  </si>
  <si>
    <t>Берилген жардамга  сатып алуучу уюмдардын жана жабдып берүүчүлөрдүн (подрядчылар) канааттануу деңгээли</t>
  </si>
  <si>
    <t xml:space="preserve">Кыргыз Республикасынын Финансы министрлигинин  маселелери боюнча  мамлекеттик программаларды  аткаруунун мониторинги </t>
  </si>
  <si>
    <t xml:space="preserve">Мамлекеттик программалардын мониторингдөө саны </t>
  </si>
  <si>
    <t xml:space="preserve">даана </t>
  </si>
  <si>
    <t xml:space="preserve">Бюджеттик программалардын натыйжалуулугун баалоону киргизүү </t>
  </si>
  <si>
    <t>Киргизилген</t>
  </si>
  <si>
    <t xml:space="preserve">Программалык бюджеттештирүү боюнча методологиялык базаны өркүндөтүү </t>
  </si>
  <si>
    <t xml:space="preserve">Программалык  бюджеттештирүү боюнча иштеп чыккан/өркүндөтүлгөн нускамалык-методологиялык документтердин саны </t>
  </si>
  <si>
    <t xml:space="preserve">бирдик </t>
  </si>
  <si>
    <t xml:space="preserve">Салыктык эмес кирешелерди өркүндөтүү жана тескөө </t>
  </si>
  <si>
    <t xml:space="preserve">Кабыл алынган ченемдик укуктук актылардын саны Башкаруу маселелери боюнча ЧУАнын долбоорлоруна карата корутундуларды өз убагында кароо жана даярдоо </t>
  </si>
  <si>
    <t>Сатып алуунун натыйжалуу системасын камсыз кылуу</t>
  </si>
  <si>
    <t xml:space="preserve">PEFA "D" баалоо </t>
  </si>
  <si>
    <t>"А"</t>
  </si>
  <si>
    <t xml:space="preserve">Мамлекеттик сатып алуулардын  методологиялык жана ченемдик базасын өнүктүрүү </t>
  </si>
  <si>
    <t xml:space="preserve">Кыргыз Республикасынын мамлекеттик сатып алуулар расмий порталын өнүктүрүү </t>
  </si>
  <si>
    <t xml:space="preserve">Департаментке   берилген маалыматтардын  жалпы санынан Мамлекеттик сатып алуулар  порталында  мамлекеттик сатып алуулар жөнүндө  жарыялардын үлүшү </t>
  </si>
  <si>
    <t xml:space="preserve">Сатып алуу процессиндеги  катышуучулардын  орточо саны  (берилген табыштамалардын жалпы санына  карата мамлекеттик сатып алуулар жөнүндө жарыялардын жалпы санына болгон  катышы) </t>
  </si>
  <si>
    <t>8 к 1</t>
  </si>
  <si>
    <t>9 к 1</t>
  </si>
  <si>
    <t>10 к 1</t>
  </si>
  <si>
    <t xml:space="preserve">Жыл аралыгында Порталдын үзгүлтүксүз  иштешинин жалпы убактысы </t>
  </si>
  <si>
    <t xml:space="preserve">Квалификацияны жогорулатуу боюнча иш-чаралар жана Кыргыз Республикасынын   мамлекеттик башкаруу секторундагы  ички аудит жана бухгалтердик эсеп боюнча адистердин  квалификациясын жогорулатууну уюштуруу </t>
  </si>
  <si>
    <t xml:space="preserve">Ички аудит жана бухгалтердик эсеп боюнча окуудан өткөн адистердин саны                                    </t>
  </si>
  <si>
    <t>Кыргыз Республикасынын мамлекеттик секторунда ички аудит системасын өнүктүрүүнү баалоо жана мониторинг,  консультациялык колдоо көрсөтүү.</t>
  </si>
  <si>
    <t>Ички аудит кызматтарынын тышкы баалоосу</t>
  </si>
  <si>
    <t xml:space="preserve">Мамлекеттик заемдук каражаттарга мониторингди, эсепке алууну жана талдоону ишке ашыруу </t>
  </si>
  <si>
    <t xml:space="preserve">Мамлекеттик зайымдык каражаттарынын пландык көрсөткүчтөрүн аткаруунун көлөмү </t>
  </si>
  <si>
    <t>Инфраструктуралык долбоорлорду ишке ашыруу</t>
  </si>
  <si>
    <t>Мамлектеттик инвестициялардын долбоорлорун ишке ашыруу</t>
  </si>
  <si>
    <t>26. Кыргыз Республикасынын Финансы министрлиги (Мамлекеттик программалар, иш чаралар жана төлөмдөр)</t>
  </si>
  <si>
    <t>Кыргыз Республикасынын Өкмөтүнө караштуу Милдеттүү медициналык камсыздандыруу фонду</t>
  </si>
  <si>
    <t xml:space="preserve">Калктын милдеттүү медициналык камсыздандыруу менен камтылышы </t>
  </si>
  <si>
    <t xml:space="preserve">Калктын ишеним индекси </t>
  </si>
  <si>
    <t xml:space="preserve">2019-2023-жылдарга карата  ММК фондунун өнүгүү стратегиясын жүзөгө ашыруу планынын индикаторлорун аткаруунун деңгээли </t>
  </si>
  <si>
    <t xml:space="preserve">Бирдиктүү төлөөчү тутумунун консолидацияланган бюджетин пландоону, бекитүүнү, каржылоону жана аткарылышын эсепке алууну камсыз кылуу </t>
  </si>
  <si>
    <t xml:space="preserve">Бирдиктүү төлөөчү тутумунун консолидацияланган бюджетинин планын аткаруу </t>
  </si>
  <si>
    <t>КРӨгө караштуу ММК фондунун бюджети боюнча эсеп жана отчеттуулукту камсыз кылуу</t>
  </si>
  <si>
    <t>1С бухгалтерия автоматташтырылган эсеп менен саламаттык сактоо уюмдарын камтуу пайызы</t>
  </si>
  <si>
    <t xml:space="preserve">Бирдиктүү төлөөчү тутумунда саламаттык сактоо уюмдары тарабынан көрсөтүлүүчү медициналык кызматтардын сапатына көзөмөл жүргүзүүнү камсыз кылуу </t>
  </si>
  <si>
    <t xml:space="preserve"> Баалоо картасы боюнча ишмердигинин сапатына баалоо жүргүзүлгөн баштапкы деңгээлде медициналык-санитардык жардам көрсөтүүчү саламаттык сактоо уюмдарынын саны </t>
  </si>
  <si>
    <t>абс ч.</t>
  </si>
  <si>
    <t xml:space="preserve">Баалоо картасы боюнча стационардык денгээлде  ишмердигинин сапатына баалоо жүргүзүлгөн саламаттык сактоо уюмдарынын саны </t>
  </si>
  <si>
    <t xml:space="preserve">Бирдиктүү төлөөчү тутумунда каражаттардын максаттуу жана рационалдуу пайдаланылышына көзөмөлдү камсыз кылуу </t>
  </si>
  <si>
    <t>Ички аудиттин корутундусунда көрсөтүлгөн сунуштардын жалпы санына карата саламаттык сактоо уюмдары тарабынан аткарылган сунуштардын катышы</t>
  </si>
  <si>
    <t xml:space="preserve">ММК фонду тарабынан жүзөгө ашырылуучу программалардын алкагында медициналык кызмат алуудагы укуктары тууралуу калктын маалымдуулугун жогорулатуу боюнча ишти камсыз кылуу </t>
  </si>
  <si>
    <t xml:space="preserve">Өткөрүлгөн жолугушуулардын жана жалпыга маалымдоо каражаттарында жарыялоолордун саны       </t>
  </si>
  <si>
    <t xml:space="preserve">Таркатылган басма продукциясынын саны </t>
  </si>
  <si>
    <t xml:space="preserve">Маалыматтык жана социалдык роликтердин саны </t>
  </si>
  <si>
    <t xml:space="preserve">ММК фондунун коштоп жүрүүчү маалымат базаларынын саны </t>
  </si>
  <si>
    <t xml:space="preserve">Ачык-айкындуулукту жана отчеттуулукту күчөтүү максатында,  медициналык кызматтарды стратегиялык сатып алуулардын алкагында маалымат технологияларын өнүктүрүү </t>
  </si>
  <si>
    <t xml:space="preserve">Компьютерлер менен камсыз болгон жана интернетке жеткиликтүү саламаттык сактоо уюмдарынын үлүшү </t>
  </si>
  <si>
    <t xml:space="preserve">Бейтаптын электрондук картасын киргизген саламаттык сактоо уюмдарынын үлүшү </t>
  </si>
  <si>
    <t xml:space="preserve">Уюмдардын ишмердигин жана камсыз кылуу кызматын камсыз кылуу </t>
  </si>
  <si>
    <t xml:space="preserve">ММК фондунун негизги персоналынын жалпы санына карата кенже жана техникалык персоналдын санынын катышы </t>
  </si>
  <si>
    <t xml:space="preserve">Аймактык денгээлде жалпы координация </t>
  </si>
  <si>
    <t xml:space="preserve">Калктын ишеним индексинин орточо көрсөткүчү </t>
  </si>
  <si>
    <t xml:space="preserve">Саламаттык сактоо уюмдарында иш жүзүндө врачтардын санынын (жеке адам) штаттык ырааттама боюнча бекитилген врачтардын кызмат ордуна карата катышы </t>
  </si>
  <si>
    <t xml:space="preserve">Үй-бүлөлүк дарыгерлердин орточо эмгек акысынын республика боюнча врачтардын орточо эмгек акысына карата деңгээли </t>
  </si>
  <si>
    <t xml:space="preserve">Башка программалар боюнча жалпы чыгымдарда Баштапкы медициналык-санитардык жардамга кеткен чыгымдардын үлүшү  </t>
  </si>
  <si>
    <t xml:space="preserve">ҮДТ дарыгерине каттагандардын саны 1 тургунга карата </t>
  </si>
  <si>
    <t xml:space="preserve">"Электрондук кезек" сервисин киргизген БМСЖК уюмдарынын үлүшү </t>
  </si>
  <si>
    <t>Бейтаптардын кызматтын сапатына канааттануу деңгээли (баалоо картасы боюнча )</t>
  </si>
  <si>
    <t xml:space="preserve">Республиканын калкына шашылыш (тез) медициналык жардамдын жеткиликтүүлүгүн камсыз кылуу </t>
  </si>
  <si>
    <t xml:space="preserve">Медициналык тез жардам бригадаларынын иш жүзүндө санынын бекитилген санына  карата пайыздык шайкештиги </t>
  </si>
  <si>
    <t xml:space="preserve">Саны 1000 болгон калкка шашылыш мед. жардам бригадалары тарабынан тейленген чакыруулардын саны </t>
  </si>
  <si>
    <t>случаев</t>
  </si>
  <si>
    <t xml:space="preserve">Баштапкы медициналык-санитардык жардамдын деңгээлинде  республиканын калкынын базалык медициналык кызматтарга жеткиликтүүлүгүн камсыз кылуу </t>
  </si>
  <si>
    <t xml:space="preserve">Төрөт үйүнөн чыккандан кийинки алгачкы үч күндө ҮДТда каттоого алынган ымыркайлардын үлүшү  (үйдө төрөлүп, кийин госпиталдаштырылбаган учурда - төрөттөн кийинки алгачкы  үч күн) </t>
  </si>
  <si>
    <t>Үй-бүлөлүк дарыгерге каттаган 1 жашка чейинки курактагы  балдардын пайыздык үлүшү (жалпы практика врачы), %</t>
  </si>
  <si>
    <t xml:space="preserve">Гипертония оорусу менен биринчи жолу катталган бейтаптардын саны, 100 миң сандагы калктын санына карата  </t>
  </si>
  <si>
    <t xml:space="preserve">Баштапкы медициналык-санитардык жардам кызматынын уюмдары тарабынан көрсөтүлүүчү кургак учук менен күрөшүү боюнча медициналык жардамга жеткиликтүүлүктү камсыз кылуу  </t>
  </si>
  <si>
    <t>12 жумага чейинки мөөнөттө кош бойлуулугу боюнча каттоого турган аялдардын саны  , %</t>
  </si>
  <si>
    <t xml:space="preserve"> Кош бойлуу аялдардын стоматологко алдын ала көсөтүүнүн камтуу</t>
  </si>
  <si>
    <t>Кош бойлуулугу боюнча кезекке турган аялдардын, алдын ала кароодон өткөн учурда аныкталган саны</t>
  </si>
  <si>
    <t>Профилактикалык текшерүүдөн өткөн 10 жашка чейинки балдардын үлүшү (мектеп, бала-бакчалардан)</t>
  </si>
  <si>
    <t>Профилактикалык текшерүүдөн байкалып санациядан өткөн 10 жашка чейинки балдардын үлүшү (мектеп, бала-бакчалардан)</t>
  </si>
  <si>
    <t xml:space="preserve">Республиканын калкынын МКП боюнча женилдетилген дары-дармекке болгон жеткиликтүүлүгүн камсыз кылуу  (терминалдык стадиядагы онкологиялык оорулуулар;  параноялык шизофрения менен ооругандарды; ар түрдүү генездеги аффективдүү бузулуулар; талма; бронхиалдык астма менен ооругандар) </t>
  </si>
  <si>
    <t xml:space="preserve">Баштапкы медициналык-санитардык жардамдын  пилоттук саламаттык сактоо уюмдарында амбулаториялык деңгээлде дарылоосу ийгиликтүү аяктаган кургак учук менен ооруган учурлардын саны   </t>
  </si>
  <si>
    <t xml:space="preserve">Республиканын камсыздандырылган калкынын ММК боюнча жеңилдетилген дары-дармекке жеткиликтүүлүгүн камсыз кылуу </t>
  </si>
  <si>
    <t xml:space="preserve">Амбулаториялык деңгээлде  МКП рецепттери боюнча сатылган дары-дармек каражаттарынын ордун толтуруунун деңгээли  </t>
  </si>
  <si>
    <t>МДПдан ашыкча калкка акы төлөнүүчү медициналык кызматтарды көрсөтүү</t>
  </si>
  <si>
    <t xml:space="preserve">Амбулаториялык деңгээлде  ММК рецепттери боюнча сатылган дары-дармек каражаттарынын ордун толтуруу деңгээли </t>
  </si>
  <si>
    <t>Бирдиктүү төлөөчү тутумунда иштеген саламаттык сактоо уюмдары тарабынан медициналык эмес жана башка кызматтарды көрсөтүү</t>
  </si>
  <si>
    <t xml:space="preserve">Калктан кошумча төлөм катары келип түшкөн каражаттардын жалпы көлөмүнөн БМСЖ уюмдарын өнүктүрүүгө  багытталган чыгымдардын үлүшү </t>
  </si>
  <si>
    <t xml:space="preserve">Калкка Мамлекеттик кепилдиктер программасынын көлөмүнөн тышкары акы төлөнүүчү медициналык кызматтарды көрсөтүүнү камсыз кылуу                                                                </t>
  </si>
  <si>
    <t>Медициналык мекемелер тарабынан стационардык деңгээлде кызмат көрсөтүү                                                                                       Программанын максаты: Стационардык деңгээлде кепилденген медициналык жардам көрсөтүүнүн сапатын жана натыйжалуулугун  жогорулатуу</t>
  </si>
  <si>
    <t>Госпиталдаштыруунун деңгээли 100 кишиге</t>
  </si>
  <si>
    <t>Канааттандыруу деңгээли (баалоо картасы боюнча)</t>
  </si>
  <si>
    <t>стационардын жалпы чыгымында түздөн түз бейтапка кеткен чыгымдардын үлүшү :</t>
  </si>
  <si>
    <t>медикаменттер</t>
  </si>
  <si>
    <t>тамак-аш</t>
  </si>
  <si>
    <t xml:space="preserve">МКПнын алкагында стационардык жардамдын деңгээлинде республиканын калкынын медициналык кызматттарга жеткиликтүүлүгүн камсыз кылуу </t>
  </si>
  <si>
    <t xml:space="preserve">Социалдык жеңилдиктер боюнча дарыланган калктын саны </t>
  </si>
  <si>
    <t>Негизсиз дарылангандарын деңгээли</t>
  </si>
  <si>
    <t xml:space="preserve">Медициналык көрсөткүчтөрү боюнча жеңилдетилген дарылоо жүргүзүлгөн калктын үлүшү </t>
  </si>
  <si>
    <t>Иш жүзүндө дарыланып чыккандардын макулдашылган планга карата катышы</t>
  </si>
  <si>
    <t>не более 100,0%</t>
  </si>
  <si>
    <t xml:space="preserve">Стационардык деңгээлдеги саламаттык сактоо уюмдары тарабынан көрсөтүлүүчү кургак учукка каршы медициналык жардамга жеткиликтүүлүктү камсыз кылуу </t>
  </si>
  <si>
    <t xml:space="preserve">Адистештирилген онкологиялык жана гематологиялык жардамдын деңгээлинде медициналык кызматтарга жеткиликтүүлүктү камсыз кылуу </t>
  </si>
  <si>
    <t xml:space="preserve">Адистештирилген кардиохирургиялык жардамдын деңгээлинде медициналык кызматтарга жеткиликтүүлүктү камсыз кылуу </t>
  </si>
  <si>
    <t xml:space="preserve">Адистештирилген психиатриялык жардамдын деңгээлинде медициналык кызматтарга жеткиликтүүлүктү камсыз кылуу </t>
  </si>
  <si>
    <t xml:space="preserve">Уюмдун  ишмердигинин сапатынын максаттуу көрсөткүчтөрүнө жетишкендиги үчүн өбөлгөлөөчү төлөмдөрдү төлөө жолу менен калкка медициналык жардам көрсөтүүнүн сапатын жакшыртуу </t>
  </si>
  <si>
    <t xml:space="preserve">Өбөлгөлөөчү төлөмдөр үчүн баалоо картасы боюнча ишинин сапатына баалоо жүргүзүлгөн саламаттык сактоо уюмдарынын саны </t>
  </si>
  <si>
    <t>Эсептер картасын колдонуу менен сапатты баалоо жүргүзүлгөн стационардык деңгээлдеги саламаттыкты сактоо мекемелеринин саны</t>
  </si>
  <si>
    <t>Уюмдун иш-аракетинен сапаттуу көрсөткүчтөргө жетишкендиги үчүн стимулдуу төлөмдөрдү берүү жолу менен калкка медициналык жардам көрсөтүүнүн сапатын жогорулатуу</t>
  </si>
  <si>
    <t>Стимулдаштыруучу төлөмдөрдүн жыйынтыгы боюнча саламаттык сактоо иш-чараларынын сапаты бааланган саламаттыкты сактоо мекемелеринин саны</t>
  </si>
  <si>
    <t xml:space="preserve">Терминалдык стадиядагы бөйрөктүн өнөкөт оорусу менен ооруган жеңилдетилген гемодиализдик дарылоо менен камтылган бейтаптардын каттоодо турган бейтаптардын санына карата катышы </t>
  </si>
  <si>
    <t xml:space="preserve">Терминалдык стадиядагы өнөкөт бөйрөк оорусу менен ооруган, жеке менчик медициналык борборлордо акы төлөнүүчү дарылоодогу жана мамлекеттик саламаттык сактоо уюмдарында толук бюджеттик  гемодиализге которууну күтүп жаткан, курч муктаж болгон бейтаптардын жеңилдетилген гемодиализ менен дарылоого жеткиликтүүлүгүн  камсыз кылуу, ошондой эле  гемодиализ кызматын  алууда бейтаптардын чыгымын кыскартуу максатында  </t>
  </si>
  <si>
    <t>Терминалдык стадиядагы өнөкөт бөйрөк оорусу менен ооруган, жеке менчик медициналык борборлордо акы төлөнүүчү дарылоодо болгон жана мамлекеттик саламаттык сактоо уюмдарында толук бюджеттик  гемодиализге которууну күтүп жаткан, курч муктаж болгон бейтаптардын саны</t>
  </si>
  <si>
    <t>"Онкологиялык кызматты колдоо фонду" коомдук фондунун каражаты</t>
  </si>
  <si>
    <t>ММК жалпы бекитилген бюджеттин бекитилген каражаттардын үлүшү онкология кызматына колдоо көрсөтүү үчүн</t>
  </si>
  <si>
    <t xml:space="preserve">
"Ден-соолук кербени" долбоорунун алкагындагы иш-чаралар</t>
  </si>
  <si>
    <t>Натыйжага негизделген программанын иш-аракеттери</t>
  </si>
  <si>
    <t>Процент освоения</t>
  </si>
  <si>
    <t>Экспорттук жана импорттук ишканаларды каржылоо</t>
  </si>
  <si>
    <t>МИ "Электрондук өз ара борбору"</t>
  </si>
  <si>
    <t>Кыргыз Республикасында мамлекеттик тилди жана тил саясатын өркүндөтүү, өнүктүрүү боюнча мамлекеттик программаны ишке ашыруу</t>
  </si>
  <si>
    <t>Кыргыз Республикасынын региондорун өнүктүрүү  боюнча</t>
  </si>
  <si>
    <t>Коопсуз шаар</t>
  </si>
  <si>
    <t>Эл аралык уюмдарга тɵлɵмдɵр</t>
  </si>
  <si>
    <t>Мамлекеттик карыз</t>
  </si>
  <si>
    <t>КНС ордун толтуруу жана  кайтарып берүү</t>
  </si>
  <si>
    <t>Соттун чечимдеринин аткарылышын камсыздоо</t>
  </si>
  <si>
    <t>Банктын кызматынын  төлөмдөру</t>
  </si>
  <si>
    <t>Коммерциялык банктардын пайыздык ченемдерин субсидиялоо</t>
  </si>
  <si>
    <t>Чек арага жакын аймактарды өнүктүрүү</t>
  </si>
  <si>
    <t>Мамлекеттик программалар, иш-чаралар жана төлөмдөр</t>
  </si>
  <si>
    <t>Капиталдык салымдар</t>
  </si>
  <si>
    <t>Социалдык тɵлɵмдɵрду жогорулату</t>
  </si>
  <si>
    <t>Туртку беруучу гранттар</t>
  </si>
  <si>
    <t xml:space="preserve">Жергиликтүү бюджеттен республикалык бюджетке которулган мекемелер </t>
  </si>
  <si>
    <t xml:space="preserve">Райондук бюджеттен республикалык бюджетке которулган мекемелер </t>
  </si>
  <si>
    <t>Мамлекеттик бюджеттик резерв</t>
  </si>
  <si>
    <t>Япония фонды</t>
  </si>
  <si>
    <t>Социальный фонд</t>
  </si>
  <si>
    <t>3</t>
  </si>
  <si>
    <t>38*</t>
  </si>
  <si>
    <t>Пенсиянын базалык бөлүгүн камсыздоо</t>
  </si>
  <si>
    <t xml:space="preserve">Республикалык бюджеттин эсебинен каржыланган пенсияларды төлөп берүүлөрдүн кечигүүсү боюнча тартип бузуулардын саны. </t>
  </si>
  <si>
    <t>Пенсионерлерге электр энергиясы үчүн компенсацияларды төлөө</t>
  </si>
  <si>
    <t>Аскер кызматчыларын пенсиялык камсыздоо, ички иштер органдарынын кызматкерлерине жана алардын үй-бүлө мүчөлөрүнө бир жолку жөлөкпул төлөп берүү</t>
  </si>
  <si>
    <t xml:space="preserve">Калктын айрым категорияларын жеңилдетилген (мөөнөтүнөн мурда) пенсиялык камсыздоо жана пенсияларга кошумча акы төлөп берүү.  </t>
  </si>
  <si>
    <t>28 Кыргыз Республикасынын Экономика  министрлиги</t>
  </si>
  <si>
    <t>39</t>
  </si>
  <si>
    <t>40</t>
  </si>
  <si>
    <t>40,5</t>
  </si>
  <si>
    <t>41</t>
  </si>
  <si>
    <t>млн. долл.</t>
  </si>
  <si>
    <t>млн. сом.</t>
  </si>
  <si>
    <t>место</t>
  </si>
  <si>
    <t>±5</t>
  </si>
  <si>
    <t>млн. долл</t>
  </si>
  <si>
    <t>Всего: (контрольные цифры)</t>
  </si>
  <si>
    <t>29. Кыргыз Республикасынын Өкмөтүнө караштуу жер ресурсы боюнча мамлекеттик агенттиги</t>
  </si>
  <si>
    <t>Пландоо, башкаруу жана   администрациялоо</t>
  </si>
  <si>
    <t>Финансы менеджментин жана эсебин камсыздоо</t>
  </si>
  <si>
    <t>Адамдык ресурстарды башкаруу</t>
  </si>
  <si>
    <t>Укуктук колдоо көрсөтүү</t>
  </si>
  <si>
    <t>Мамлекеттик геодезиялык тармакты реконструкциялоо жана колдоо</t>
  </si>
  <si>
    <t>Экинчи тартиптеги GPS-тармактар түйүндөрү жана жогорку тактыктын нөлдүк жана биринчи тартиптеги чыгыш түйүндөрү</t>
  </si>
  <si>
    <t>пункт</t>
  </si>
  <si>
    <t xml:space="preserve">СК-42, СК-95 жана Kyrg-06 координата тутумдарында 1:200 000 масштабдагы карталардын барактарына координаталар каталогдору жана геодезиялык түйүндөрдүн  бийиктиги </t>
  </si>
  <si>
    <t>каталог</t>
  </si>
  <si>
    <t xml:space="preserve">Масштаб катардагы топографиялык карталарды жаңыртуу жана басып чыгаруу </t>
  </si>
  <si>
    <t>Жаңыртууда масштабдык катардагы топографиялык карталар</t>
  </si>
  <si>
    <t>лист</t>
  </si>
  <si>
    <t>Карталарды басып чыгарууга даярдоодо масштабдык катардагы топографиялык карталар</t>
  </si>
  <si>
    <t>Чек ара белгилерин рекогносцировкалоо жана орнотуу; чек ара белгилериндеги спутник ченемдери жана чыгыш түйүндөрү</t>
  </si>
  <si>
    <t>знак</t>
  </si>
  <si>
    <t xml:space="preserve">Космос сүрөттөрүн мерчемдик-бийиктик байланмасын аткаруунун аянты </t>
  </si>
  <si>
    <t>кв.км</t>
  </si>
  <si>
    <t>970</t>
  </si>
  <si>
    <t>970,0</t>
  </si>
  <si>
    <t xml:space="preserve">Чек ара территорияларында  зарылдуу масштабдагы жаңыртуудагы топографиялык карталар </t>
  </si>
  <si>
    <t>Зарылдуу масштабдагы санариптик  делимитациялык жана демаркациялык карталары</t>
  </si>
  <si>
    <t>Жайыттарга мониторинг жүргүзүү, калктуу конуштарды инвентаризациялоо</t>
  </si>
  <si>
    <t>кол-во, район/айыл аймаки</t>
  </si>
  <si>
    <t>10 район,    116-айыл аймаки.</t>
  </si>
  <si>
    <t>Баткенская область, Ак-Суйский р/н И-К обл.</t>
  </si>
  <si>
    <t>И-Кульская, Дж.-Абад. области</t>
  </si>
  <si>
    <t>Нарынская,  Ошская области</t>
  </si>
  <si>
    <t>Таласская и Чуйская области</t>
  </si>
  <si>
    <t>32. Государственная служба исполнения наказаний при Правительстве Кыргызской Республики</t>
  </si>
  <si>
    <t xml:space="preserve">Бардык программалар боюнча  эмгек акыга чыгашалардын суммасына карата 001 программасы боюнча эмгек акыга чыгашалардын катышы </t>
  </si>
  <si>
    <t xml:space="preserve">Жазаларды аткаруу мамлекеттик кызматынын ишин жана уюмдун бөлүктөрүнүн ишин камсыз кылуу үчүн жетекчиликти жүргүзүү жана контролдоо </t>
  </si>
  <si>
    <t>Кыргыз Республикасынын Өкмөтүнө караштуу Жазаларды аткаруу мамлекеттик кызматынын ишинин ачык-айкындуулугун камсыз кылуу</t>
  </si>
  <si>
    <t xml:space="preserve">Жазаларды аткаруу мамлекеттик кызматынын бөлүмдөрүнүн камсыз кылуу кызматын жана ишин уюштуруу </t>
  </si>
  <si>
    <t xml:space="preserve">УИСте жазаларды аткаруунун тартибин жана шарттарын уюштуруу </t>
  </si>
  <si>
    <t xml:space="preserve">Соттолгондорду эмгекке тартуу жана эмгектин натыйжасында алардын моралдык жана материалдык кызыкчылыктары үчүн шарттарды түзүү </t>
  </si>
  <si>
    <t xml:space="preserve">Эркинен ажыратылган жеринде соттолгондордун жазаларын аткаруу боюнча иштерди уюштуруу </t>
  </si>
  <si>
    <t xml:space="preserve">Соттолгондордун саны, качкындардын саны, өлтүрүүлөрдүн саны </t>
  </si>
  <si>
    <t xml:space="preserve">Мекемелердин инфраструктурасын камсыз кылуу жана соттолгондорду эмгекке тартуу </t>
  </si>
  <si>
    <t xml:space="preserve">Курулуш, реконструкциялоо, оңдоо-калыбына келтирүү иштери </t>
  </si>
  <si>
    <t xml:space="preserve">Соттолгондорду тамак-аш азыктары менен камсыз кылуу </t>
  </si>
  <si>
    <t xml:space="preserve">Соттолгондордун санына категориялар боюнча тамак-аш ченемдери </t>
  </si>
  <si>
    <t>Омур бою эркинден ажыратылган адамдарга курулушту бутушу</t>
  </si>
  <si>
    <t>Эркинден ажыратылган адамдардын 2 корпусун куруп бутуруу</t>
  </si>
  <si>
    <t>Түзөтүү колонияларынан которулган жазаны өтөөнүн белгиленген тартибин кара ниеттик менен бузган соттолгондорду кармоо үчүн түрмөнүн курулушу</t>
  </si>
  <si>
    <t>Курулуш, реконструкциялоо, оңдоо жана калыбына келтирүү иштери</t>
  </si>
  <si>
    <t>Соттолгондорду кармоо шарттарын бүтүрүү</t>
  </si>
  <si>
    <t xml:space="preserve">Эркектерди, аялдарды, ар кандай жугуштуу оорулар менен соттолгон пациенттерди кармоо үчүн түзөтүү колониясында режимдин ар кандай түрлөрү менен секцияларды уюштуруу (жалпы, күчөтүлгөн режим жана катуу режим бөлүмдөрү, ошондой эле жашы жете элек кыздарды, эркек жана аялдарды кармоо)
</t>
  </si>
  <si>
    <t xml:space="preserve">Соттолгондордун билим алуу укугун камсыз кылуу
</t>
  </si>
  <si>
    <t xml:space="preserve">Окуу процессин уюштуруучулук жана методикалык жактан камсыздоо
</t>
  </si>
  <si>
    <t xml:space="preserve">Пенитенциардык мекемелерди жана СИЗОлорду заманбап ITSO менен реконструкциялоо жана жабдуу (коопсуздугун жогорулатуу)
</t>
  </si>
  <si>
    <t>Түзөтүү мекемелерин жана тергөө изоляторлорун заманбап инженердик-техникалык коргонуу каражаттары менен жабдуу</t>
  </si>
  <si>
    <t>Социалдык, маданий жана коммуналдык объектилерди куруу жана реконструкциялоо</t>
  </si>
  <si>
    <t>Эркиндигинен ажыратуу жайларынан бошотулган адамдарга социалдык жардамды уюштуруу</t>
  </si>
  <si>
    <t>тамак-аш, кийим-кече, бут кийим менен камсыз кылуу, бир жолку акчалай жөлөкпул берүү жана эркиндигинен ажыратуу жайларынан бошотулган адамдарга (жылына 1000 адамга чейин) жол акысын төлөө</t>
  </si>
  <si>
    <t xml:space="preserve">Дарылоо мекемелеринде соттолгондордун жазаларын аткарууну уюштуруу  </t>
  </si>
  <si>
    <t xml:space="preserve">Соттолгондорго алгачкы медициналык-санитардык жардам көрсөтүү </t>
  </si>
  <si>
    <t>Соттолгондорду дарылоо мекемелеринде  тамак аш азыктары менен камсыз кылуу</t>
  </si>
  <si>
    <t xml:space="preserve">Соттолгондордун санына категория боюнча тамак-аш ченеми </t>
  </si>
  <si>
    <t xml:space="preserve">Жазаларды аткаруу мамлекеттик кызматынындагы дарылоо мекемелеринин инфраструктурасын камсыз кылуу </t>
  </si>
  <si>
    <t xml:space="preserve">Курулуш,  реконструкциялоо, оңдоо-калыбына келтирүү иштери </t>
  </si>
  <si>
    <t xml:space="preserve">Мектепке чейинки курактагы балдардын акыл-эсин жогорулатуу жана дене тарбиясын өнүктүрүү </t>
  </si>
  <si>
    <t xml:space="preserve">Мектепке чейинки мекемелерди колдоо жана аларды кеңейтүү </t>
  </si>
  <si>
    <t xml:space="preserve">Мектепке чейинки мекемелерди каржылоо пайызын жакшыртуу </t>
  </si>
  <si>
    <t xml:space="preserve">Балдарды мектепке даярдоо программаларын 2 жаштан 7 жашка чейин жогорулатуу </t>
  </si>
  <si>
    <t xml:space="preserve">Билим берүү мекемелеринин материалдык-техникалык базасын жакшыртуу </t>
  </si>
  <si>
    <t xml:space="preserve">Вариативдик мектепке чейинки билим берүү мекемелерин  кеңейтүү </t>
  </si>
  <si>
    <t xml:space="preserve">Мектепке чейинки билим берүүнүн сапаттуу кызмат көрсөтүүлөргө жеткиликтүүлүгүн камсыз кылуу </t>
  </si>
  <si>
    <t>Кыргыз Республикасынын Өкмөтүнө караштуу Жазаларды аткаруу мамлекеттик кызматынын Түзөтүү мекемелерин коргоо жана соттолгондорду жана камакка алынган адамдарды коштоп жүрүү боюнча департаменти</t>
  </si>
  <si>
    <t xml:space="preserve">Бардык программалар боюнча  эмгек акыга чыгашалардын суммасына карата 001 Программасы боюнча эмгек акыга чыгашалардын катышы </t>
  </si>
  <si>
    <t>Түзөтүү мекемелериндеги күзөт жана коргоо жана соттолгондорду конвой менен коштоо</t>
  </si>
  <si>
    <t>● качуулар саны                                                       ● соттолгондорду качуусунун бетин ачуулар саны                                                                          ●   ички зонага кирүүлөр саны                                          ● часовойлорго кол салуулар саны                          ● тышкы  тыюу салынган зонага кирүү</t>
  </si>
  <si>
    <t>0                       2                    5                         0                     0</t>
  </si>
  <si>
    <t>0                       1                    7                         0                     0</t>
  </si>
  <si>
    <t>1                       2                    5                         1                     5</t>
  </si>
  <si>
    <t>2                       2                    5                         1                     5</t>
  </si>
  <si>
    <t xml:space="preserve">Сот мекемесинде конвой менен коштоп жүрүүнү камсыз кылуу </t>
  </si>
  <si>
    <t xml:space="preserve">Коштоп жүрүүчү  айыпталгандардын жана соттолгондордун саны </t>
  </si>
  <si>
    <t xml:space="preserve">Түзөтүү мекемелеринин администрациялары, соттор,  ички иштер жана улуттук коопсуздук органдары, Коргоо иштери боюнча мамлекеттик комитетинин мекемелери менен өз ара аракеттер  </t>
  </si>
  <si>
    <t>●  процесстерди камсыздоо саны</t>
  </si>
  <si>
    <t xml:space="preserve">
"Билим берүү жөнүндө" Кыргыз Республикасынын Кодексинин болушу</t>
  </si>
  <si>
    <t xml:space="preserve">
Кыргыз Республикасынын Мыйзамы
"Билим берүү жөнүндө" (2003)
</t>
  </si>
  <si>
    <t xml:space="preserve">Билим берүү системасын жөнгө салуучу бардык мыйзамдарды Бирдиктүү Билим берүү кодексине айкалыштыруу боюнча кесиптик жана эксперттик талкуулар  уюштурулду </t>
  </si>
  <si>
    <t xml:space="preserve">
Билим берүү кодекси кабыл алынды</t>
  </si>
  <si>
    <t>Республикалык жана регионалдык деңгээлдеги жалпы координация</t>
  </si>
  <si>
    <t xml:space="preserve">Мектепке чейинки билим берүүнүн өзгөрүлмө формаларын кеңейтүү максатында ченемдик актыларды иштеп чыгуу                               </t>
  </si>
  <si>
    <t xml:space="preserve">
Иштелип жаткан </t>
  </si>
  <si>
    <t>Бекитүүгө алып чыгуу</t>
  </si>
  <si>
    <t xml:space="preserve">ишке ашыруу </t>
  </si>
  <si>
    <t>Обеспечение финансового менеджмента и учета</t>
  </si>
  <si>
    <t xml:space="preserve">
Бюджеттик каржылоонун минималдуу стандарттарына ылайык билим берүүчү уюмдарды каржылоонун пайызы</t>
  </si>
  <si>
    <t>Правовая поддержка</t>
  </si>
  <si>
    <t>Мектептик билим берүүдө жаңыланган CRPнын болушу</t>
  </si>
  <si>
    <t>Госстандарт
 утвержден ППКР от 21.07.2014 г. № 403</t>
  </si>
  <si>
    <t xml:space="preserve">өзгөртүү </t>
  </si>
  <si>
    <t xml:space="preserve">киргизүү </t>
  </si>
  <si>
    <t>киргизүү</t>
  </si>
  <si>
    <t>Поддержание внешних связей и связей с общественностью</t>
  </si>
  <si>
    <t>Кесиптик стандарттардын талаптарын жана баштапкы кесиптик билим берүүдө АКТ технологияларын колдонууну эске алуу менен иштелип чыккан жана бекитилген СЭСтин болушу</t>
  </si>
  <si>
    <t>СПО мугалимдеринин потенциалын жогорулатуу программасынын болушу</t>
  </si>
  <si>
    <t>программанын иштеп чыгуу</t>
  </si>
  <si>
    <t>Сыноодон өткөрүү 
Программа</t>
  </si>
  <si>
    <t xml:space="preserve">программаны ырастоо
 </t>
  </si>
  <si>
    <t xml:space="preserve">программаны киргизүү
</t>
  </si>
  <si>
    <t>Жаңы муундагы окуу китептери менен камсыздалган мамлекеттик мектептердин үлүшү</t>
  </si>
  <si>
    <t>67,97% (1-6-класстардагы коопсуздуктун үлүшүх)</t>
  </si>
  <si>
    <t>80% (1-6-класстардагы коопсуздуктун үлүшү)</t>
  </si>
  <si>
    <t>100% (1-6-класстардагы коопсуздуктун үлүшү)</t>
  </si>
  <si>
    <t xml:space="preserve">Мектептерди Интернет менен камтуу, кеминде 10 Mb.сек ылдамдыкта жана локалдык тармактын инфраструктурасы
</t>
  </si>
  <si>
    <t>Дүйнөлүк рейтингде дүйнөнүн 200 алдыңкы университеттеринин катарына кирүү үчүн өлкөнүн алдыңкы үч университеттерин колдоочу негизги индикаторлорду жана механизмдерди иштеп чыгуу жана жүзөгө ашыруу.</t>
  </si>
  <si>
    <t>ЖОЖдорду тандоо критерийлери иштелип чыккан жана бекитилген.
Алдыңкы университеттердин өнүгүүсүнүн негизги индикаторлору аныкталды.
Алдыңкы ЖОЖдорду финансылык жана ресурстук жактан камсыз кылуунун механизмдери.</t>
  </si>
  <si>
    <t xml:space="preserve">Талапкер ЖОЖдоруна ар тараптуу баа берүү. Сынактын негизинде алдыңкы үч университет аныкталды
Разработана методическая база по предоставлению вузами информации в ведущие рейтинговые агентства
</t>
  </si>
  <si>
    <t>Тарабынан иштелип чыккан
ар бир университет үчүн жол картасы.</t>
  </si>
  <si>
    <r>
      <t xml:space="preserve">Мектепке чейинки билим берүү жана мектепке чейинки даярдоо
</t>
    </r>
    <r>
      <rPr>
        <sz val="10"/>
        <color theme="1"/>
        <rFont val="Times New Roman"/>
        <family val="1"/>
        <charset val="204"/>
      </rPr>
      <t>Программанын максаттары: Сапаттуу мектепке чейинки билим берүү жана балдардын эрте өнүгүү программаларына жетүүнү кеңейтүү</t>
    </r>
  </si>
  <si>
    <t xml:space="preserve">
Тийиштүү курактагы балдардын санын камтууну аныктоо үчүн мектепке чейинки билим берүү жана мектепке чейинки билим берүү (формалдуу жана формалдуу эмес)</t>
  </si>
  <si>
    <t xml:space="preserve">
Сапаттуу мектепке чейинки билим берүү жана мектепке чейинки билим берүү</t>
  </si>
  <si>
    <t>0дөн 3 жашка чейинки балдардын үлүшү эрте өнүгүүнүн бардык формалары менен камтылат</t>
  </si>
  <si>
    <t>5.5-7 жаштагы балдардын мектепке чейинки билим берүүгө катышуусу</t>
  </si>
  <si>
    <t>0 ден 7 жашка чейинки ден-соолугунун мүмкүнчүлүктөрү чектелүү балдардын (мектепке чейинки билим берүүгө тартылган) үлүшү.</t>
  </si>
  <si>
    <t>Эрте / мектепке чейинки билим берүү жана мектепке чейинки билим берүүнүн сапаттык стандарттары / программалары</t>
  </si>
  <si>
    <t>Мектепке чейинки уюмдардын базасында балдардын өнүгүүсүнө мониторинг жүргүзүү тутумунун болушу</t>
  </si>
  <si>
    <t>Окуу материалдарын тазалоо</t>
  </si>
  <si>
    <t xml:space="preserve">
50% мектепке чейинки мониторинг куралдарын окутуу</t>
  </si>
  <si>
    <t>50% мектепке чейинки мониторинг куралдарын окутуу</t>
  </si>
  <si>
    <t>Мектепке чейинки билим берүүдө ченемдик каржылоонун жаңыланган Моделинин болушу</t>
  </si>
  <si>
    <t xml:space="preserve">
40 DOO негизиндеги каржылоонун пилоттук моделин талдоо</t>
  </si>
  <si>
    <t xml:space="preserve">
Жаңыланган моделди иштеп чыгуу жана талкуулоо жана бекитүү</t>
  </si>
  <si>
    <t>Ченемдик документтер иштелип чыккан жана бекитилген</t>
  </si>
  <si>
    <t>Ишке киргизиңиз</t>
  </si>
  <si>
    <t>Шаардык калктуу конуштарда жана айыл жеринде орто жалпы билимдүү балдарды камтуу (7-17 жаштагы калктын пайызы менен)</t>
  </si>
  <si>
    <t>Окутуунун жеткиликтүүлүгү, көп тилдүүлүк, инклюзивдүү билим берүү жана мектеп окуучуларын тарбиялоо жана мектептеги билим берүүнүн сапатын баалоо ситемасы</t>
  </si>
  <si>
    <t xml:space="preserve">Көп тилдүү билим берүү программаларын ишке ашырган мектептердин саны </t>
  </si>
  <si>
    <t xml:space="preserve">
Адистештирилген билим берүү мекемелеринде окууга тартылган ден-соолугунун мүмкүнчүлүктөрү чектелүү балдардын үлүшү</t>
  </si>
  <si>
    <t xml:space="preserve">
1-11-класстардан баштап типтүү мамлекеттик мектептерде жекече окуу пландарына жана адаптация программаларына (инклюзивдик билим берүү) кирген майып балдардын үлүшү</t>
  </si>
  <si>
    <t>Өлкөдө мектептердин жалпы санынын ысык тамак-аш мектептеринин үлүшү</t>
  </si>
  <si>
    <t xml:space="preserve">
OРТ Өлкөнүн орточо упайы</t>
  </si>
  <si>
    <t>Мугалимдердин квалификациясын үзгүлтүксүз жогорулатуу</t>
  </si>
  <si>
    <t>Жыл сайын мугалимдерди камтуу</t>
  </si>
  <si>
    <t>Баштапкы кесиптик билимдин болушу</t>
  </si>
  <si>
    <t>Баштапкы кесиптик билим берүүгө жаштардын катышуусу (15-17 жаштагы калктын ичинен)</t>
  </si>
  <si>
    <t>БӨУ(НПО)ларда инклюзивдик билим берүү жана студенттерди тарбиялоо</t>
  </si>
  <si>
    <t>Тобокелге кабылган адамдардын үлүшү (майыптар, жетимдер / жарым жетимдер, балдар үйлөрүнүн бүтүрүүчүлөрү, БӨУ(НПО)лардын студенттеринин санында)</t>
  </si>
  <si>
    <t xml:space="preserve">% </t>
  </si>
  <si>
    <t>2,3%  
(жетим, ЛОВЗ)</t>
  </si>
  <si>
    <t>3% (жетим, ЛОВЗ, көп балалуу үй бүлөлөрдүн балдары)</t>
  </si>
  <si>
    <t>3,5% (жетим, ЛОВЗ, көп балалуу үй бүлөлөрдүн балдарый)</t>
  </si>
  <si>
    <t>4% (жетим,, ЛОВЗ, көп балалуу үй бүлөлөрдүн балдары)</t>
  </si>
  <si>
    <t xml:space="preserve">
Ден-соолугунун мүмкүнчүлүктөрү чектелген адамдар үчүн ыңгайлуу болгон инфраструктурасы жана окутуу чөйрөсү бар баштапкы кесиптик билим берүү уюмдарынын үлүшү</t>
  </si>
  <si>
    <t>БӨУ(НПО)ларда социалдык өнөктөштүктү өнүктүрүү</t>
  </si>
  <si>
    <t>КЭУ тутуму менен кызматташуу жөнүндө меморандумдарды (макулдашууларды) түзгөн кесипкөй ассоциациялардын, ассоциациялардын саны</t>
  </si>
  <si>
    <t xml:space="preserve">
БЭУ(НПО)да окутуучу кадрларды жана өндүрүштүк билим берүү чеберлерин андан ары даярдоо</t>
  </si>
  <si>
    <t>Билим берүү программаларын жана модулдарын (ӨЭУ) иштеп чыгууда квалификациясын жогорулатуудан өткөн окутуучулардын пайызы</t>
  </si>
  <si>
    <t>Орто кесиптик билим берүүнүн жеткиликтүүлүгү</t>
  </si>
  <si>
    <t>Кесиптик орто билим берүүгө жаштардын катышуусу (17-20 жаштагы калктын ичинен)</t>
  </si>
  <si>
    <t>Тармактык уюмдар жана ишканалар менен бүтүрүүчүлөрдүн билимин баалоо жана баалоо боюнча келишимдерди түзгөн билим берүү уюмдарынын үлүшү</t>
  </si>
  <si>
    <t>Эмгек рыногунун талаптарына ылайык орто кесиптик билим берүүнүн мазмунун жаңыртуу</t>
  </si>
  <si>
    <t>Ачык программалык камсыздоону жайылтуу үчүн алдыңкы борборлорду түзүү жана алардын болүшү</t>
  </si>
  <si>
    <t xml:space="preserve">Тандалган спузда оңдоо иштерин жүргүзүү
</t>
  </si>
  <si>
    <t>Мыкты окутуу борборлорун түзүү</t>
  </si>
  <si>
    <t>Мыкты окутуу борборлорунун ишин тестирлөө</t>
  </si>
  <si>
    <t xml:space="preserve">
Тесттин негизинде мыкты окуу борборлорун модификациялоо</t>
  </si>
  <si>
    <t>Нормативдик бюджеттик каржылоо системасын киргизген ачык булактуу уюмдардын саны (киши башына)</t>
  </si>
  <si>
    <t xml:space="preserve">
Ачык булак тутумунда жөнгө салуучу каржылоонун модели иштелип чыккан</t>
  </si>
  <si>
    <t>8 колледж</t>
  </si>
  <si>
    <t>Инклюзивдүү билим берүү жана орто кесиптик билим берүү уюмдарынын студенттерин окутуу, мугалимдердин квалификациясын жогорулатуу, билим берүүнү санариптештирүү жана баалоо.</t>
  </si>
  <si>
    <t xml:space="preserve">
Майыптар үчүн ыңгайлуу болгон инфраструктурасы жана окутуу чөйрөсү бар билим берүү уюмдарынын үлүшү</t>
  </si>
  <si>
    <t xml:space="preserve">СПО мугалимдеринин потенциалын жогорулатуу программасынын болушу
</t>
  </si>
  <si>
    <t>Программаны иштеп чыгуу</t>
  </si>
  <si>
    <t>Сыноодон өткөрүү Программаса</t>
  </si>
  <si>
    <t>Программаны бекитүү</t>
  </si>
  <si>
    <t>Программаны ишке ашыруу</t>
  </si>
  <si>
    <t>Компьютердик жабдыктар менен билим берүү мекемелеринин үлүшү</t>
  </si>
  <si>
    <t xml:space="preserve">
Жогорку кесиптик билим берүүгө жаштардын катышуусу (17-24 жаштагы калктын ичинен)</t>
  </si>
  <si>
    <t xml:space="preserve">
ЖОЖдордун бир тобунун өнүгүшү, талап кылынуучу багыттар боюнча региондук адистешүү принцибине ылайык</t>
  </si>
  <si>
    <t xml:space="preserve">
Бюджеттин эсебинен окуган педагогикалык адистиктердин бүтүрүүчүлөрүнүн жумушка орношуу жана кесибинде калуу пайызы.</t>
  </si>
  <si>
    <t>Мамлекеттик бюджеттин эсебинен иш берүүчүлөрдөн адистерди даярдоого буйрутма алган билим берүү уюмдарынын үлүшү</t>
  </si>
  <si>
    <t>Жогорку кесиптик билим берүү жана электрондук окутууну башкаруу</t>
  </si>
  <si>
    <t>ЖОЖдорго кабыл алуу конкурсуна катышуу үчүн талапкерлерди онлайн режиминде каттоонун болушу</t>
  </si>
  <si>
    <t>Онлайн режиминде каттоо пилоттук режимде жүргүзүлөте</t>
  </si>
  <si>
    <t>Онлайн режиминде мамлекеттик университеттерде каттоодон өткөрүлөт</t>
  </si>
  <si>
    <t>Онлайн режиминде катталуу Кыргыз Республикасынын бардык университеттеринде жүргүзүлдү</t>
  </si>
  <si>
    <t>ЖОЖдордогу чет элдик студенттердин үлүшү</t>
  </si>
  <si>
    <t>Көзкарандысыз аккредитация менен академиялык программалардын сапаты</t>
  </si>
  <si>
    <t xml:space="preserve">
Күндүзгү жана башка окутуунун формаларын ишке ашырууда электрондук окутуунун жана аралаштырылган окутуунун болушу.
e-learning  тармагында иштеген ЖОЖдордун саны жана программалары
</t>
  </si>
  <si>
    <t>30% ВПО билим берүү программалары</t>
  </si>
  <si>
    <t>40% ВПО билим берүү программалары</t>
  </si>
  <si>
    <t>3 алдыңкы ЖОЖ + билим берүү программаларынын 50%</t>
  </si>
  <si>
    <t xml:space="preserve">
3 алдыңкы ЖОЖ жана 5 аймактык ЖОЖдор - билим берүү программаларынын 100% + 60%</t>
  </si>
  <si>
    <t>Изилдөө иштерин өнүктүрүүгө ЖОЖдор тарабынан бөлүнгөн каражаттардын үлүшү</t>
  </si>
  <si>
    <t>Колдонмо илимди иштеп чыгуу</t>
  </si>
  <si>
    <t>Республиканын экономикасында оң структуралык өзгөрүүлөрдү камсыз кылууга багытталган илимий долбоорлордун үлүшүн көбөйтүү</t>
  </si>
  <si>
    <t xml:space="preserve"> ед.</t>
  </si>
  <si>
    <t xml:space="preserve">
Институционалдык потенциалды өркүндөтүү жана университеттин илиминин сапатын жогорулатуу, университеттерде практикалык колдонууга багытталган илимий долбоорлордун санын көбөйтүү </t>
  </si>
  <si>
    <t>Изилдөө жана иштеп чыгууга тартылган жаш адистердин үлүшү</t>
  </si>
  <si>
    <t>5-20</t>
  </si>
  <si>
    <t>35. Кыргыз Республикасынын Өкмөтүнө караштуу Интеллектуалдык менчик жана инновациялар мамлекеттик кызматы</t>
  </si>
  <si>
    <t>001 Программасы боюнча эмгек акыга чыгымдардын бардык программалар боюнча эмгек акыга чыгымдардын суммасына катышы</t>
  </si>
  <si>
    <t>Бюджетти бузуусуз аткаруунун пайызы</t>
  </si>
  <si>
    <t>Жүргүзүлгөн сатып алуулардын саны</t>
  </si>
  <si>
    <t>Окуу курстарынан жана такшалмалардан өткөн ведомствонун кызматкерлеринин саны</t>
  </si>
  <si>
    <t>Интеллектулдык менчиктин объектилерин коргоо боюнча соттук иштердин саны</t>
  </si>
  <si>
    <t xml:space="preserve">Интеллектуалдык менчикти жана инновацияларды өнүктүрүү чөйрөсүндө иштелип чыккан ЧУА долбоорлорунун саны </t>
  </si>
  <si>
    <t xml:space="preserve">Тышкы байланыштарды жана коомчулук менен болгон байланыштарды колдоо  </t>
  </si>
  <si>
    <t xml:space="preserve">Чет өлкөлүк патенттик ведомстволор менен кол коюлган келишимдердин, меморандумдардын, макулдашуулардын жана иш-чаралар пландарынын саны </t>
  </si>
  <si>
    <t xml:space="preserve">Ведомствонун ЖМКга оң эскертүүлөрүнүн саны же, ведомствонун web-ресурсунда жарыяланган материалдарынын саны  </t>
  </si>
  <si>
    <t xml:space="preserve">Кыргызпатенттин иши жөнүндө медиапродуктулардын  (видео, баннерлер ж.б.) саны </t>
  </si>
  <si>
    <t xml:space="preserve">БА кызматкерлеринин жалпы санынан камсыздоо кызматынын кызматкерлеринин үлүшү </t>
  </si>
  <si>
    <t>Мониторингди, талдоону жана стратегиялык пландоону камсыздоо (коррупцияга каршы аракеттенүү, стратегиялык пландоо жана талдоо боюнча)</t>
  </si>
  <si>
    <t xml:space="preserve"> Кыргызпатенттин жана анын жетекчисинин ишин баалоо</t>
  </si>
  <si>
    <t xml:space="preserve">Авторлордун интеллектуалдык ишмердүүлүктүн жаңы натыйжаларын жаратуусуна жана ойлоп табуучулардын, авторлордун жана илимий кызматкерлердин аброюн жогорулатууга өбөлгө түзүү </t>
  </si>
  <si>
    <t xml:space="preserve">Ойлоп табуучуларга, авторлорго жана илимий кызматкерлерге сыйлыктардын саны </t>
  </si>
  <si>
    <t>Кызматтык ойлоп табууларга табыштамалардын үлүшү</t>
  </si>
  <si>
    <t xml:space="preserve"> 
Интеллектуалдык менчикти жаратуу үчүн инфратүзүмдү өнүктүрүү жана интеллектуалдык менчикти пайдалануу боюнча ишти колдоо,  интеллектуалдык менчиктин авторлорунун жана бизнес-түзүмдүн өз ара аракеттенүүсү үчүн демонстрациялык-тажрыйбалуу аянттарды түзүү </t>
  </si>
  <si>
    <t xml:space="preserve">Технологияларды жана инновацияларды колдоо борборунун филиалдарынын саны </t>
  </si>
  <si>
    <t xml:space="preserve">Технологияларды жана инновацияларды колдоо борборунун патенттик издөө боюнча окутулган координаторлорунун саны </t>
  </si>
  <si>
    <t xml:space="preserve">Технологияларды жана инновацияларды колдоо борборунун кызмат көрсөтүүлөрүн пайдалануучуларынын саны, бир жылда 500 адамдан кем эмес санда </t>
  </si>
  <si>
    <t xml:space="preserve">Мамлекеттик патенттик-техникалык китепкананын электрондук ресурстарынын үлүшү  </t>
  </si>
  <si>
    <t>Балдардын жана жаштардын илимий-техникалык чыгармачылык жаатындагы сыйлыктардын саны</t>
  </si>
  <si>
    <t>Илимий-техникалык жана чыгармачылык багыттагы республикалык жана облустук конкурстардын, олимпиадалардын, көргөзмөлөрдүн саны</t>
  </si>
  <si>
    <t xml:space="preserve">Балдардын илимий-техникалык кружокторунун саны </t>
  </si>
  <si>
    <t xml:space="preserve">Балдарды илимий-техникалык чыгармачылык менен камтуу  </t>
  </si>
  <si>
    <t>0,4</t>
  </si>
  <si>
    <t xml:space="preserve">Ишканалар жана бюджеттик уюмдар үчүн окутулган патент таануучу-адистердин саны </t>
  </si>
  <si>
    <t>Башка өлкөлөрдүн патенттик жана патенттик эмес маалыматтарынын маалымат базаларынын саны</t>
  </si>
  <si>
    <t>Түзүлгөн коммуникациялык аянттардын  (электрондук форумдар, технопарктар, бизнес-инкубаторлор, стартаптар)</t>
  </si>
  <si>
    <t xml:space="preserve">Табыштамаларды  берүүдө жана карап чыгууда IT-технологияларды пайдаланууну кеңейтүү </t>
  </si>
  <si>
    <t xml:space="preserve">Электрондук документ жүгүртүү 
</t>
  </si>
  <si>
    <t xml:space="preserve">Интеллектуалдык менчик объектилерине электрондук түрдө берилген табыштамалардын  үлүшү </t>
  </si>
  <si>
    <t xml:space="preserve">Интеллектуалдык менчик укуктарын ишке ашыруу процессине жарандык коомду тартуу, талаш-тартыштарды сотко чейин жөнгө салуу үчүн медиация институтун түзүү
</t>
  </si>
  <si>
    <t>Интеллектуалдык менчик жаатында укук бузууларга бөгөт коюу боюнча ведомстволор аралык комиссиянын өткөрүлгөн отурумдарынын саны</t>
  </si>
  <si>
    <t>Инновациялык ишти өнүктүрүүнү финансылык колдоо үчүн шарттарды түзүү</t>
  </si>
  <si>
    <t xml:space="preserve">Мамлекеттик инновациялык фонд </t>
  </si>
  <si>
    <t xml:space="preserve">Инновациялык адистиктер боюнча кадрларды кесиптик даярдоо жана квалификациясын  жогорулатуу процессин уюштуруу  </t>
  </si>
  <si>
    <t xml:space="preserve">Инновацияларды өнүктүрүү чөйрөсүндө окутулган адистердин саны </t>
  </si>
  <si>
    <t>38 Кыргыз Республикасынын Эмгек жана Социалдык өнүктүрүү министрлиги</t>
  </si>
  <si>
    <t>Камсыздоо кызматы (административдик колдоо ж.б.)</t>
  </si>
  <si>
    <t>Мамлекеттик жөлөкпулдарды, жеңилдиктердин ордуна акчалай компенсацияларды жана башка социалдык төлөмдөрдү, ден соолугунун мүмкүнчүлүгу чектелген адамдарды жана улгайган жарандарды социалдык тейлөөнү өз убагында жана сапаттуу көрсөтүүнү камсыздоо</t>
  </si>
  <si>
    <t>Өз убагында жана сапаттуу социалдык кызматтарды көрсөтүү, жарандардын социалдык жактан корголбогон категорияларына, турмуштук оор кырдаалда турган үй-бүлөлөрдү жана балдарды натыйжалуу социалдык коргоону камсыздоо</t>
  </si>
  <si>
    <t>1000-7000</t>
  </si>
  <si>
    <t>1</t>
  </si>
  <si>
    <t>Бала төрөлгөндө  бир жолку төлөм жана 16 жашка чейинки балдары бар муктаж үй-бүлөлөргө ар айлык жөлөкпулдар менен камсыз кылуу</t>
  </si>
  <si>
    <t>100-600</t>
  </si>
  <si>
    <t>810 сом</t>
  </si>
  <si>
    <t>15000-20000</t>
  </si>
  <si>
    <t>1000 сом</t>
  </si>
  <si>
    <t>151,7-224,7</t>
  </si>
  <si>
    <t>Мамлекеттик социалдык заказдын алкагында турмуштук оорк ырдаалда турган балдар үчүн социалдык кызматтарды өнүктүрүү (КР Балдар жөнүндө кодексинин 5-беренеси менен ТОК балдардын категориясы аныкталган)</t>
  </si>
  <si>
    <t>Багып алуучу (фостердик) үй-бүлөлөрдүн санын көбөйтүү</t>
  </si>
  <si>
    <t>Телефон аркылуу абоненттерге, анын ичинде балдарга консультативдик-психологиялык жардам көрсөтүү</t>
  </si>
  <si>
    <t>абонент</t>
  </si>
  <si>
    <t>документ</t>
  </si>
  <si>
    <t>Ден соолугунун мүмкүнчүлүгү чектелген (ДМЧА) адамдарды реабилитациялоо</t>
  </si>
  <si>
    <t xml:space="preserve">Социалдык стационардык мекемелерде кызмат көрсөтүү
</t>
  </si>
  <si>
    <t>10000-15000</t>
  </si>
  <si>
    <t>Расымдык жөлөкпул (сөөк коюуга) төлөөнү камсыздоо</t>
  </si>
  <si>
    <t>Он биринчи иш күндөн тартып кош бойлуулук жана төрөт боюнча жөлөкпул төлөөнү камсыздоо</t>
  </si>
  <si>
    <t xml:space="preserve">Эмгектик талаш-тартыштар боюнча утуп алган сот процессинин үлүшү </t>
  </si>
  <si>
    <t xml:space="preserve">Утуп  алган сот иштеринин алардын санына карата катышы </t>
  </si>
  <si>
    <t xml:space="preserve">Министрликтердин/ведомстволордун ЖМКдагы оң эскерүүлөрүнүн саны </t>
  </si>
  <si>
    <t xml:space="preserve">Борбордук аппараттын кызматкерлеринин жалпы санынан камсыз кылуу кызмат көрсөтүү кызматкерлеринин үлүшү </t>
  </si>
  <si>
    <t xml:space="preserve"> Мониторингди, талдоону жана стратегиялык пландоону камсыздоо</t>
  </si>
  <si>
    <t xml:space="preserve"> Талдоодон жана  экспертизадан өткөн финансылык жана илимий иштердин көлөмү</t>
  </si>
  <si>
    <t>Регионалдык деңгээлдеги жалпы координациялоо</t>
  </si>
  <si>
    <t>по факту</t>
  </si>
  <si>
    <t xml:space="preserve">Академияны ийгиликтүү аяктаган жогорку кесиптик билимдин бүтүрүүчүлөрүнүн үлүшү </t>
  </si>
  <si>
    <t>Окуу программаларын ишке ашыруу</t>
  </si>
  <si>
    <t>Окуп жаткан  студенттердин жылдык көлөмү</t>
  </si>
  <si>
    <t>Жогорку кесиптик билим берүүнүн квалифициялуу кадрдык персоналдарды даярдоо</t>
  </si>
  <si>
    <t xml:space="preserve">Республикалык жана эл аралык деңгээлдеги мелдештерде, конкурстарда байгелүү орундарды ээлеген студенттердин үлүшү  </t>
  </si>
  <si>
    <t xml:space="preserve">Сертификаттарды алган мамлекеттик жана муниципалдык кызматкерлердин саны </t>
  </si>
  <si>
    <t>Тренингдерди өткөрүү</t>
  </si>
  <si>
    <t>Квалификациясын жогорулатууга тартылган мамлекеттик кызматкерлердин саны</t>
  </si>
  <si>
    <t xml:space="preserve"> Техникумду ийгиликтүү аяктаган кесиптик орто билим берүүнүн бүтүрүүчүлөрүнүн үлүшү</t>
  </si>
  <si>
    <t>Орто кесиптик билим берүүнүн квалификациялуу кадрдык персоналдарды даярдоо</t>
  </si>
  <si>
    <t xml:space="preserve">Республикалык жана эл аралык деңгээлдеги мелдештерде, конкурстарда байгелүү орундарды ээлеген, окуп жаткандардын үлүшү  </t>
  </si>
  <si>
    <t>Подготовка квалифицированного кадрового персонала СПО</t>
  </si>
  <si>
    <t xml:space="preserve">40. "Согуштун, эмгектин, Куралдуу күчтөрдүн, Кыргыз Республикасынын укук коргоо органдарынын ардагерлер (пенсионерлер) уюму" коомдук бирикмеси </t>
  </si>
  <si>
    <t xml:space="preserve">Ардагерлердин жана ардагерлер уюмдарынын материалдык жана социалдык укуктарын коргоо боюнча сунуштарды киргизүү </t>
  </si>
  <si>
    <t xml:space="preserve">Ардагерлердин жашоо деңгээлин жогорулатуу боюнча мамлекеттик органдарга сунуштарды киргизүү, ошондой эле ардагерлерди жана ардагерлер уюмдарын социалдык коргоо жаатындагы  мыйзамдарды өркүндөтүү  </t>
  </si>
  <si>
    <t>300/ 10000</t>
  </si>
  <si>
    <t>41. Кыргыз Республикасынын Айыл чарба тамак-аш, өнөр жайы жана мелиорация министрлигиКыргызской Республики</t>
  </si>
  <si>
    <t>66</t>
  </si>
  <si>
    <t>млрд.сом</t>
  </si>
  <si>
    <t>67</t>
  </si>
  <si>
    <t xml:space="preserve">Экономикалык, социалдык болжолдоо жана айыл чарбасын өнүктүрүү чөйрөсүндөгү тышкы байланыш инвестициялар боюнча пландаштыруу, камсыз кылуу, ошондой эле финансылык ресурстарды, бухгалтердик эсепке алууларды, отчеттуулукту контролдоо
 </t>
  </si>
  <si>
    <t>Айыл чарба экономикасын өнүктүрүү жана кызматташуу үчүн кол коюлган Эл аралык макулдашуулардын саны</t>
  </si>
  <si>
    <t>Евразия экономикалык биримдигинин АПК чөйрөсүндө техникалык регламенттерин иштеп чыгуу</t>
  </si>
  <si>
    <t xml:space="preserve">Айыл чарба экономикасын өнүктүрүү чөйрөсүнө катышкан бюджеттик каражаттардын башкы тескөөчүлөрүнүн финансылык менеджментинин сапаты
</t>
  </si>
  <si>
    <t>бал</t>
  </si>
  <si>
    <t>Сапаттуу жылдык бюджеттик отчеттуулукту белгиленген мөөнөттөрдө берүү</t>
  </si>
  <si>
    <t>Ички аудит боюнча өткөрүлгөн иш-чаралардын саны</t>
  </si>
  <si>
    <t>68</t>
  </si>
  <si>
    <t>Укуктук, кадрдык, уюштуруу иштерин, иш кагаздарын жана коррупцияга каршы иштерди жүргүзүүнү камсыз кылуу</t>
  </si>
  <si>
    <t xml:space="preserve">Эмгек талаш-тартыштары боюнча жеңип алган сот процессинин үлүшү
</t>
  </si>
  <si>
    <t>факты б-ча</t>
  </si>
  <si>
    <t xml:space="preserve">Утуп алган сот иштеринин алардын жалпы санына карата катышы
</t>
  </si>
  <si>
    <t>6/58</t>
  </si>
  <si>
    <t>Квалификациясын жогорулаткан Айыл чарба министрлигинин мамлекеттик кызматчыларынын үлүшү</t>
  </si>
  <si>
    <t xml:space="preserve">Жалпыга маалымдоо каражаттарында министрликтин  саны
</t>
  </si>
  <si>
    <t xml:space="preserve">Борбордук аппараттын кызматкерлеринин жалпы санынан камсыздоо кызматтарынын кызматкерлеринин үлүшү
</t>
  </si>
  <si>
    <t>33</t>
  </si>
  <si>
    <t>00133 иш чаранын бардык программалар боюнча эмгек акысына чыгымдардын суммасы боюнча катышы</t>
  </si>
  <si>
    <t>Бардык программалар боюнча эмгек акыга чыгымдардын суммасына карата 002 Программа боюнча эмгек акыга чыгымдардын катышы</t>
  </si>
  <si>
    <t>Чегиртке зыянкечтерге каршы айыл чарба жерлерин химиялык иштетүүнүн аянты</t>
  </si>
  <si>
    <t>мин.га</t>
  </si>
  <si>
    <t>ААКтун карантиндик зыянкечтерине каршы айыл чарба жерлерин химиялык иштетүүнүн аянттары</t>
  </si>
  <si>
    <t>Чегирткенин зыянкечтерин табууга Айыл чарба жерин изилдөөнүн аянты</t>
  </si>
  <si>
    <t>ААК карантиндик зыянкечтерди аныктоого Айыл чарба жерлерин изилдөө аянты</t>
  </si>
  <si>
    <t>Пестициддерге болгон муктаждык жана камсыздык</t>
  </si>
  <si>
    <t>мин.тонн</t>
  </si>
  <si>
    <t>Фитосанитардык коопсуздукту камсыздоо</t>
  </si>
  <si>
    <t>19438,4</t>
  </si>
  <si>
    <t>Лабаратордук изилдөөлөрдүн саны</t>
  </si>
  <si>
    <t>кол.</t>
  </si>
  <si>
    <t>244/ 7392</t>
  </si>
  <si>
    <t xml:space="preserve"> Биологиялык жол менен өсүмдүктөрдү коргоо</t>
  </si>
  <si>
    <t>20391,1</t>
  </si>
  <si>
    <t>19792,3</t>
  </si>
  <si>
    <t>20974,3</t>
  </si>
  <si>
    <t>21353,9</t>
  </si>
  <si>
    <t>Кыргыз Республикасы боюнча биологиялык каражаттар менен айыл чарба багытындагы иштетилген жерлердин аянты</t>
  </si>
  <si>
    <t>Биологиялык каражаттарды өндүрүүнүн көлөмү</t>
  </si>
  <si>
    <t>Биолигнин</t>
  </si>
  <si>
    <t>мин.литр</t>
  </si>
  <si>
    <t>Триходермин</t>
  </si>
  <si>
    <t>тонн</t>
  </si>
  <si>
    <t>Амблисейус</t>
  </si>
  <si>
    <t>млн. даана</t>
  </si>
  <si>
    <t>Трихограмма</t>
  </si>
  <si>
    <t>кг.</t>
  </si>
  <si>
    <t xml:space="preserve">Айыл чарбасындагы механизациялоону өнүктүрүү </t>
  </si>
  <si>
    <t>Лизинг долбоорлору боюнча берилген айыл чарба техникаларынын саны</t>
  </si>
  <si>
    <t>МТСтердин жалпы саны</t>
  </si>
  <si>
    <t>бипрдик</t>
  </si>
  <si>
    <t>Талаа инспекциясы, апробация жана сорттук сыноо жүргүзүү, үрөндөрдүн үлгүлөрүн тестирлөө</t>
  </si>
  <si>
    <t>Айыл чарба өсүмдүктөрүнүн жалпы себүү аянты</t>
  </si>
  <si>
    <t>Үрөндүк айдоолордун талаа инспекцияларынын аянты</t>
  </si>
  <si>
    <t>Элиталык үрөндөр себилүүчү аянттардын салыштырма салмагы</t>
  </si>
  <si>
    <t>Сертификацияланган урондордун болушу</t>
  </si>
  <si>
    <t>Тастыкталган үрөөндөрдүн көлөмү</t>
  </si>
  <si>
    <t>Данды жана аны иштетүүдөн алынган Нан азыктарын экспертизалоо</t>
  </si>
  <si>
    <t>Фермердик жана дыйкан чарбаларынын дандын үлгүлөрүн нан азыктарынын комбинаттарында тандап текшерүүнүн аянты</t>
  </si>
  <si>
    <t>Мамлекеттик резервден дандын үлгүлөрүн, нан азыктарынын комбинаттарын талдоону ишке ашыруу жөнүндө</t>
  </si>
  <si>
    <t>Сорт сыноо, расмий сыноо, өсүмдүктөрдүн генетикалык ресурстарын сактоо</t>
  </si>
  <si>
    <t>Айыл чарба өсүмдүктөрүнүн сортторун жана гибриддерин расмий сыноодон өткөрүү</t>
  </si>
  <si>
    <t>тажрыйба сорттору</t>
  </si>
  <si>
    <t>Айыл чарба өсүмдүктөрүнүн сыналуучу сортторуна жана гибриддерине сапаттуу баалоо жүргүзүү</t>
  </si>
  <si>
    <t>талдоо</t>
  </si>
  <si>
    <t>Өсүмдүктөрдүн генетикалык ресурстарын сактоо</t>
  </si>
  <si>
    <t>улгу</t>
  </si>
  <si>
    <t>Жерге жайгаштыруу боюнча долбоорлоо-иликтөө жана изилдөө иштерин аткаруу</t>
  </si>
  <si>
    <t>Жер фондун инвентаризациялоо жана райондор/айыл аймактар боюнча чек араларды белгилөө</t>
  </si>
  <si>
    <t>райондор/айыл аймактар боюнча</t>
  </si>
  <si>
    <t>Кыртышты изилдөөлөрдү корректировкалоо, айдоо жерлеринин моторинги</t>
  </si>
  <si>
    <t>Топурак жана геобатаникалык иликтөөнүн материалдарын кооректировкалоо</t>
  </si>
  <si>
    <t>"Кыргыз Республикасында айыл чарба техникаларын жеткирууну каржылоо" долбоорун ишке ашыруу (АКФ ЕврАзЭС)</t>
  </si>
  <si>
    <t>Лизинг насыя долбоорлору боюнча берилген айыл чарба техникаларынын саны</t>
  </si>
  <si>
    <t>Асыл тукум ишин өнүктүрүүнү колдоо</t>
  </si>
  <si>
    <t>өткөн жылга карата % менен ийри мүйүздүү малдын реалдуу өсүү темпи</t>
  </si>
  <si>
    <t>Ири мүйүздүү малды уруктандыруу</t>
  </si>
  <si>
    <t>баш</t>
  </si>
  <si>
    <t>Майда мүйүздүү малды уруктандыруу</t>
  </si>
  <si>
    <t>ЮСАИД линиясы боюнча сатып алуудан бодо малдын төлүнүн алынышы</t>
  </si>
  <si>
    <t>Ветеринардык дары каражаттарынын сапатын жана коопсуздугун эсепке алуу жана контролдоо</t>
  </si>
  <si>
    <t>Ветеринардык дары каражаттарын мамлекеттик каттоо жана сертификаттоо</t>
  </si>
  <si>
    <t>даана</t>
  </si>
  <si>
    <t>Ветеринардык дары каражаттарынын сапатынын экспертизасы</t>
  </si>
  <si>
    <t>Балык запастарын кармоо жана көбөйтүү</t>
  </si>
  <si>
    <t>Берилген балык кармоо карточкаларынын саны</t>
  </si>
  <si>
    <t>Тартип бузуу фактысын аныктоо боюнча жүргүзүлгөн иш-чаралардын саны.</t>
  </si>
  <si>
    <t>Кыргыз Республикасынын көлмөлөрүнө чабактарды чыгаруу (себүү)</t>
  </si>
  <si>
    <t>Товардык балыкты өндүрүүнүн көлөмү</t>
  </si>
  <si>
    <t>мин. тонн</t>
  </si>
  <si>
    <t>Жайыттарды жана жайыт чарбаларын пайдаланууну уюштуруу жана анын абалына мониторинг жүргүзүү</t>
  </si>
  <si>
    <t>Республика боюнча жайыт аянты</t>
  </si>
  <si>
    <t>Айыл чарба багытындагы жерлердин жайыт аянты</t>
  </si>
  <si>
    <t>Экологиялык туруктуу жайыт комитеттеринин саны</t>
  </si>
  <si>
    <t>Жайыттарды башкарууну, пайдаланууну жана жакшыртууну жөнгө салуучу ченемдик укуктук базалардын саны</t>
  </si>
  <si>
    <t>«Мал чарбасын жана рынокту өнүктүрүү 1,2" долбоорун ишке ашыруу - донору МФСР</t>
  </si>
  <si>
    <t>Мал чарбачылык өндүрүмдүүлүгүнүн көлөмү</t>
  </si>
  <si>
    <t>Мал ылаңдаган бруцеллез жана эхинококкоз менен ооругандардын саны</t>
  </si>
  <si>
    <t>Мал чарба маселелери боюнча малга майда мал ээлеринин потенциалын жогорулатуу боюнча көрсөтүлгөн кызматтардын саны</t>
  </si>
  <si>
    <t>Малдын тукумун жана селекцияны жакшыртуу үчүн жаныбарлардын ден соолугун контролдоо боюнча пландардын саны</t>
  </si>
  <si>
    <t xml:space="preserve">"Рынокторго чыгууну камсыздоо» долбоорун ишке ашыруу </t>
  </si>
  <si>
    <t xml:space="preserve">Фермердик чарбада иштөөнүн эсебинен туруктуу жумуш орундарын түзүү (аялдардын 40% ы)
</t>
  </si>
  <si>
    <t>18</t>
  </si>
  <si>
    <t>Мал чарбачылык тармагында илимий-изилдөө ишин жакшыруу</t>
  </si>
  <si>
    <t>Жайыттардын жана мал чарбачылыгынын илимий-техникалык программасы боюнча изилдөөлөрдүн саны</t>
  </si>
  <si>
    <t>19</t>
  </si>
  <si>
    <t>Дыйканчылык, топурак таануу, агрохимия жана өсүмдүк өстүрүүчүлүк тармагында илимий-изилдөө ишин жакшыртуу</t>
  </si>
  <si>
    <t>Дыйканчылыктын илимий-техникалык программасы боюнча изилдөөлөрдүн саны</t>
  </si>
  <si>
    <t>20</t>
  </si>
  <si>
    <t xml:space="preserve"> «Сүт секторунун өндүрүмдүүлүгүн  комплекстүү өнүктүрүү» долбоорун ишке ашыруу (ДБ) </t>
  </si>
  <si>
    <t>Сүт багытындагы мал чарбачылыгын тиешелүү түрдө жүргүзүү боюнча тренингдик топтордун фермерлеринин саны</t>
  </si>
  <si>
    <t>21</t>
  </si>
  <si>
    <t xml:space="preserve">Этил спирттин, алкоголдук жана спирт камтыган продукциянын өндүрүүсүн жана жүгүртүүсүн жөнгө салуу жана көзөмөлдөө </t>
  </si>
  <si>
    <t>Легалдуу эмес жүгүртүүнү өтүү (алкоголдук продукцияны алып коюу))</t>
  </si>
  <si>
    <t>даана (0,5 бут)</t>
  </si>
  <si>
    <t xml:space="preserve">Алкоголдук продукцияны өндүрүүнүн көлөмү                                                                 </t>
  </si>
  <si>
    <t>мин.дал</t>
  </si>
  <si>
    <t>Ишкердиктин субьектерин лицензиялоо</t>
  </si>
  <si>
    <t>Аппаратты камсыздоо</t>
  </si>
  <si>
    <t>11982,5</t>
  </si>
  <si>
    <t>Сугат жерлерин өздөштүрүүнүн көлөмү</t>
  </si>
  <si>
    <t xml:space="preserve">Ташуудагы суунун коромжусунун пайызы
</t>
  </si>
  <si>
    <t xml:space="preserve">Процент забора на производственные ,хозяйственно питьевые, нужды, орошение и сельскохозяйственное водоснабжение и др
</t>
  </si>
  <si>
    <t>Насостук станцияларды жана скважиналарды жана мамлекеттик насос станцияларын кошпогондо, мамлекеттик ирригациялык жана мелиорациялык курулмаларды күтүү жана капиталдык оңдоо, сугат суусун берүү</t>
  </si>
  <si>
    <t>Жердин суу менен камсыздалышын жогорулатуу</t>
  </si>
  <si>
    <t>Жерлердин мелиоративдик абалын жакшыртуу</t>
  </si>
  <si>
    <t xml:space="preserve"> га</t>
  </si>
  <si>
    <t>Узундугу ири каналдарга капиталдык жана учурдагы оңдоо иштерин жүргүзүү</t>
  </si>
  <si>
    <t>км</t>
  </si>
  <si>
    <t>ЖАК, МБК оңдоо, суу берүүнүн көлөмүн жөнгө салууну жакшыртуу</t>
  </si>
  <si>
    <t>Ремонт ГП улучшения учета объема воды</t>
  </si>
  <si>
    <t>Каналдарды тазалоо</t>
  </si>
  <si>
    <t xml:space="preserve"> Ирригациялык каналдарды калыбына келтирүү</t>
  </si>
  <si>
    <t>Сугат сууну сугатка берүү</t>
  </si>
  <si>
    <t>млн.куб.м</t>
  </si>
  <si>
    <t>Сугат айдоо аянты</t>
  </si>
  <si>
    <t>Айыл чарбасынын өндүрүмдүүлүгүн жогорулатуу жана азыктулугун жакшыртуу долбоорун ишке ашыруу (Айыл чарба жана азык-түлүк коопсуздук фонду)</t>
  </si>
  <si>
    <t xml:space="preserve">Суу пайдалануучулар ассоциациясынын санын көбөйтүү жана алар тарабынан жерлерди тейлөө
</t>
  </si>
  <si>
    <t>бирдиктердин саны/мин. га</t>
  </si>
  <si>
    <t xml:space="preserve">"Улуттук суу ресурстарын башкаруу, 1-фаза" долбоорун ишке ашыруу (Швейцариялык өнүктүрүү жана кызматташуу боюнча бюросу)
</t>
  </si>
  <si>
    <t>Суу ресурстары</t>
  </si>
  <si>
    <t xml:space="preserve">Сарымсак ирригациялык тармагын өнүктүрүү  (ИӨБ) долбоорун ишке ашыруу 
</t>
  </si>
  <si>
    <t>Жаңы сугат жерлеринин аянты</t>
  </si>
  <si>
    <t>Талас облусунун Кара-Буура районундагы жерлерди суу менен камсыз кылуунун жогорулашы</t>
  </si>
  <si>
    <t xml:space="preserve">Сугат жерлердин аянты </t>
  </si>
  <si>
    <t>тыс. га</t>
  </si>
  <si>
    <t>Сугат жерлердин аянты (областтар аралык)</t>
  </si>
  <si>
    <t>Сугат сууну жеткирүүдөгү жоготуулар</t>
  </si>
  <si>
    <t>Жердин мелиоративдик абалын жакшыртуу</t>
  </si>
  <si>
    <t>га</t>
  </si>
  <si>
    <t>Ирригациялык каналдарды калыбына келтирүү</t>
  </si>
  <si>
    <t>Сугат суу берүүнүн коломүн башкарууну жакшыртуу жана БСК, ГТК оңдоп түзөө</t>
  </si>
  <si>
    <t>ГП оңдоп түзөө жана суунун көлөмүн эсептөөнү жакшыртуу</t>
  </si>
  <si>
    <t>Насостук станцияларды капиталдык оңдоп түзөө жана агрегаттарын алштыруу</t>
  </si>
  <si>
    <t>108/282</t>
  </si>
  <si>
    <t>57/139</t>
  </si>
  <si>
    <t>64/157</t>
  </si>
  <si>
    <t>Сугат суу берүү</t>
  </si>
  <si>
    <t>млн.куб.</t>
  </si>
  <si>
    <t xml:space="preserve">Суу менен камсыздоо жана саркынды сууларды чыгарууну туруктуу өнүктүрүү </t>
  </si>
  <si>
    <t xml:space="preserve">Калктуу пункттарда ичүүчү суу менен камсыздоо жана саркынды сууларды чыгарууну туруктуу өнүктүрүү үчүн шарттарды түзүү </t>
  </si>
  <si>
    <t>Мамлекеттик инвестициялар</t>
  </si>
  <si>
    <t>"Улуттук суу ресурстарын башкарууну жакшыртуу" долбоорун ишке ашыруу</t>
  </si>
  <si>
    <t>СПАлардын санын жана жер аянтын көбөйтүү</t>
  </si>
  <si>
    <t>"Тамак жана айыл чарба өндүрүмдүүлүгүн жакшыртуу"  долбоорун ишке ашыруу</t>
  </si>
  <si>
    <t>"Сарымсак ирригациялык тутумун өнүктүрүү" долбоорун ишке ашыруу</t>
  </si>
  <si>
    <t xml:space="preserve">Негизги айыл-чарба өсүмдүктөрүн кирешелүүлүгүнүн жогорулатуу, сугат каналдарын натыйжалуулугун жогорулатуу, дыйкандардын кирешесин көбөйтүү. </t>
  </si>
  <si>
    <t>"Климаттын өзгөрүүсүнө жана табигый кырсыктарга суу ресурстарынын туруктуулугун күчөтүү" долбоорун ишке ашыруу</t>
  </si>
  <si>
    <t>6 000,0</t>
  </si>
  <si>
    <t>30 000,0</t>
  </si>
  <si>
    <t>44</t>
  </si>
  <si>
    <t>4614,2/ 12088,4</t>
  </si>
  <si>
    <t>5 300,0</t>
  </si>
  <si>
    <t>5 600,0</t>
  </si>
  <si>
    <t>млн.долл.</t>
  </si>
  <si>
    <t>10 000,0</t>
  </si>
  <si>
    <t>20 000,0</t>
  </si>
  <si>
    <t>4268/ 12687</t>
  </si>
  <si>
    <t>26022/ 17767,4</t>
  </si>
  <si>
    <t>16500/ 7100</t>
  </si>
  <si>
    <t>16800/ 7200</t>
  </si>
  <si>
    <t>17200/ 7400</t>
  </si>
  <si>
    <t>1/0</t>
  </si>
  <si>
    <t>0/4</t>
  </si>
  <si>
    <t>0/3</t>
  </si>
  <si>
    <t>1/3</t>
  </si>
  <si>
    <t>161,3</t>
  </si>
  <si>
    <t>99878</t>
  </si>
  <si>
    <t>1157</t>
  </si>
  <si>
    <t>60</t>
  </si>
  <si>
    <t>25000</t>
  </si>
  <si>
    <t>Конф.</t>
  </si>
  <si>
    <t xml:space="preserve">Станция </t>
  </si>
  <si>
    <t>БД</t>
  </si>
  <si>
    <t>81/83</t>
  </si>
  <si>
    <t>27500         10500</t>
  </si>
  <si>
    <t>31//12</t>
  </si>
  <si>
    <t>190/86</t>
  </si>
  <si>
    <t>23950    10409</t>
  </si>
  <si>
    <t>26400          10500</t>
  </si>
  <si>
    <t>26500           10500</t>
  </si>
  <si>
    <t>27000    10500</t>
  </si>
  <si>
    <t xml:space="preserve">по факту </t>
  </si>
  <si>
    <t>по итогам экспертизы</t>
  </si>
  <si>
    <t>1 вебпортал</t>
  </si>
  <si>
    <t xml:space="preserve">Пропаганда бережного отношения к окружающей среде и рационального природопользования </t>
  </si>
  <si>
    <t xml:space="preserve">Проведение мероприятий за счет средств РФОП </t>
  </si>
  <si>
    <t xml:space="preserve">куб.м </t>
  </si>
  <si>
    <t>20/92</t>
  </si>
  <si>
    <t>км.</t>
  </si>
  <si>
    <t>Камеральные работы (цифрование)</t>
  </si>
  <si>
    <t xml:space="preserve">Ввод карточки, оценка выделов и инвентаризация лесов </t>
  </si>
  <si>
    <t>Выпуск таксацинные описание</t>
  </si>
  <si>
    <t>Выпуск картографических материалов</t>
  </si>
  <si>
    <t xml:space="preserve">%  </t>
  </si>
  <si>
    <t>1424/589</t>
  </si>
  <si>
    <t>18/70</t>
  </si>
  <si>
    <t>20/90</t>
  </si>
  <si>
    <t>20/91</t>
  </si>
  <si>
    <t>200/450</t>
  </si>
  <si>
    <t>34,5</t>
  </si>
  <si>
    <t>8/33 (из них 3 проигрыша 22 в процессе)</t>
  </si>
  <si>
    <t>1424/585</t>
  </si>
  <si>
    <t>1424/586</t>
  </si>
  <si>
    <t>1424/587</t>
  </si>
  <si>
    <t>1424/588</t>
  </si>
  <si>
    <t>120/440</t>
  </si>
  <si>
    <t>110/410</t>
  </si>
  <si>
    <t>130/450</t>
  </si>
  <si>
    <t>150/450</t>
  </si>
  <si>
    <t>коэф</t>
  </si>
  <si>
    <t>55</t>
  </si>
  <si>
    <t>185380,00</t>
  </si>
  <si>
    <t>Генератор 4 шт</t>
  </si>
  <si>
    <t>2935069,15</t>
  </si>
  <si>
    <t>ПИР-1</t>
  </si>
  <si>
    <t>20658,51</t>
  </si>
  <si>
    <t>219473,8</t>
  </si>
  <si>
    <t xml:space="preserve">ЛЭП- 51км, ПС-2 шт </t>
  </si>
  <si>
    <t>38688,00</t>
  </si>
  <si>
    <t>агрегат-1шт</t>
  </si>
  <si>
    <t>606304,28</t>
  </si>
  <si>
    <t>161200,00</t>
  </si>
  <si>
    <t>40129,24</t>
  </si>
  <si>
    <t>6689,2</t>
  </si>
  <si>
    <t>35795,28</t>
  </si>
  <si>
    <t>502804,4</t>
  </si>
  <si>
    <t>49524,00</t>
  </si>
  <si>
    <t>1782378,3</t>
  </si>
  <si>
    <t>83834,0</t>
  </si>
  <si>
    <t>21728,0</t>
  </si>
  <si>
    <t>26569,1</t>
  </si>
  <si>
    <t xml:space="preserve">1 отчет </t>
  </si>
  <si>
    <t>(150 объект) 1 отчет</t>
  </si>
  <si>
    <t xml:space="preserve">кг/Гкал </t>
  </si>
  <si>
    <t xml:space="preserve">кг./Гкал </t>
  </si>
  <si>
    <t>м3</t>
  </si>
  <si>
    <t>Гкал</t>
  </si>
  <si>
    <t>кг</t>
  </si>
  <si>
    <t>5/6</t>
  </si>
  <si>
    <t>4/2</t>
  </si>
  <si>
    <t>5/3</t>
  </si>
  <si>
    <t>201</t>
  </si>
  <si>
    <t>х</t>
  </si>
  <si>
    <t>354</t>
  </si>
  <si>
    <t>Название бюджетной меры</t>
  </si>
  <si>
    <t>319</t>
  </si>
  <si>
    <t>324</t>
  </si>
  <si>
    <t>344</t>
  </si>
  <si>
    <t>66 %</t>
  </si>
  <si>
    <t>37/9</t>
  </si>
  <si>
    <t xml:space="preserve">1                                                                                                                                                                                                                                                                                                                                                                                                                                                     50000              </t>
  </si>
  <si>
    <t>17410   600</t>
  </si>
  <si>
    <t xml:space="preserve">1                                                                                                                                                                                                                                                                                                                                                                                                                                                     60000              </t>
  </si>
  <si>
    <t>12481   205</t>
  </si>
  <si>
    <t>мл.сом</t>
  </si>
  <si>
    <t xml:space="preserve"> 1/1</t>
  </si>
  <si>
    <t>1 --1 100%</t>
  </si>
  <si>
    <t>3000 /100</t>
  </si>
  <si>
    <t>56/111</t>
  </si>
  <si>
    <t>100          18</t>
  </si>
  <si>
    <t>5           60</t>
  </si>
  <si>
    <t>2                      2</t>
  </si>
  <si>
    <t xml:space="preserve">1 --1 </t>
  </si>
  <si>
    <t>1 --1</t>
  </si>
  <si>
    <t>ЕИ/%</t>
  </si>
  <si>
    <t>90                    18</t>
  </si>
  <si>
    <t>80             18</t>
  </si>
  <si>
    <t>90             18</t>
  </si>
  <si>
    <t>5                        60</t>
  </si>
  <si>
    <t>5                    60</t>
  </si>
  <si>
    <t>2              5</t>
  </si>
  <si>
    <t>2                 2</t>
  </si>
  <si>
    <t>2                   2</t>
  </si>
  <si>
    <t xml:space="preserve">Название бюджетной меры </t>
  </si>
  <si>
    <t>2/3</t>
  </si>
  <si>
    <t>2/10</t>
  </si>
  <si>
    <t>4/10</t>
  </si>
  <si>
    <t>49275</t>
  </si>
  <si>
    <t>1/10</t>
  </si>
  <si>
    <t>26280</t>
  </si>
  <si>
    <t>3/5</t>
  </si>
  <si>
    <t>3/4</t>
  </si>
  <si>
    <t>3/10</t>
  </si>
  <si>
    <t>21900</t>
  </si>
  <si>
    <t>541ч06м20</t>
  </si>
  <si>
    <t>41ч46м20с</t>
  </si>
  <si>
    <t>501ч</t>
  </si>
  <si>
    <t>98</t>
  </si>
  <si>
    <t xml:space="preserve">Государственная телерадиовещательная компания Кыргызской Республики "ЭлТР"        </t>
  </si>
  <si>
    <t>11-2 -тиркеме</t>
  </si>
  <si>
    <t>Министрликтин ишин баалоо</t>
  </si>
  <si>
    <t>упай</t>
  </si>
  <si>
    <t>Программанын максаты:  Ушул стратегияга киргизилген башка программаларды ишке ашырууга координациялоочу жана уюштуруучу таасир кылуу</t>
  </si>
  <si>
    <t>коэфф</t>
  </si>
  <si>
    <t xml:space="preserve">Тармактын өнүктүүрүнүн стратегиясынын иштелип чыгышы жана күчүнө кирүү  </t>
  </si>
  <si>
    <t>Кабыл алынган ЧУА нормативдери жана транспорт менен жол стандарттарын жөнгө салуу стандарттары</t>
  </si>
  <si>
    <t xml:space="preserve">Тармактык программаларды аткаруунун деңгээли </t>
  </si>
  <si>
    <t xml:space="preserve">Нормативдик талаптарга ылайык жолдун үлүшү </t>
  </si>
  <si>
    <t xml:space="preserve">Программанын максаты: Ички жолдордун тармагынын инфраструктурасын стандарттарга ылайык керектүү абалда сактоо </t>
  </si>
  <si>
    <t xml:space="preserve">
Нормативдик талаптарга ылайык
жолдун узундугу</t>
  </si>
  <si>
    <t xml:space="preserve">Планга карата жолдордун оңдоп-түзөлүшү </t>
  </si>
  <si>
    <t>шт/%</t>
  </si>
  <si>
    <t>шт/м/%</t>
  </si>
  <si>
    <t>км,%</t>
  </si>
  <si>
    <t>тыс м2,%</t>
  </si>
  <si>
    <t>150/100</t>
  </si>
  <si>
    <t>Жолдордун тейленген жана пландаштырылган участкаларынын үлүшү</t>
  </si>
  <si>
    <t>Коюлган жол белгилеринин саны</t>
  </si>
  <si>
    <t xml:space="preserve">Стандарт боюнча  зарыл болгон жалпы сандан  алып коюлган жол чырактарынын  үлүшү </t>
  </si>
  <si>
    <t>Бүткөн жолдордун узундугу</t>
  </si>
  <si>
    <t>Жолдун убактысын кыскартуу</t>
  </si>
  <si>
    <t>Транспорттук каражаттардын кыймылынын интенсивдүүлүгү</t>
  </si>
  <si>
    <t>авт./сут.</t>
  </si>
  <si>
    <t>01/1</t>
  </si>
  <si>
    <t>Галереяларды куруу</t>
  </si>
  <si>
    <t>Кар көчкү менен байланыштуу жол транспорттук кырсыгын жоюу</t>
  </si>
  <si>
    <t>Салмак-тыш өлчөө параметрин бузуу факторлоруна  
бөгөт коюу жана транспорт тармагындагы көрсөтүлгөн кызмат сапатын жогорулатуу</t>
  </si>
  <si>
    <t>арыздардын саны</t>
  </si>
  <si>
    <t xml:space="preserve">Программанын максаты: Автоунаа жолдорунун сакталышы жана көрсөтүлгөн транспорттук кызматтын коопсуздугун  жана сапатын камсыз кылуу </t>
  </si>
  <si>
    <t>Кыргыз Республикасын калктуу конуштарын үзгүлтүксүз  жүргүнчү ташуу каттамы менен камсыздоо</t>
  </si>
  <si>
    <t>Эл аралык жүк ташууда ата-мекендик айдоочуларды көбөйтүү</t>
  </si>
  <si>
    <t>рейс</t>
  </si>
  <si>
    <t>Учуу (аба)коопсуздугунун алгылыктуу денгээлде жетишүү</t>
  </si>
  <si>
    <t>Учак кырсыгынын саны</t>
  </si>
  <si>
    <t xml:space="preserve">Учуу убактысы 1УК-50000саат </t>
  </si>
  <si>
    <t>Программанын максаты: Аба рыногун өнүктүрүү</t>
  </si>
  <si>
    <t xml:space="preserve">Эл аралык талаптарга ылайык  Кыргыз Республикасынын авиация ченемдерин ишке ашыруу жана жакшыртуу </t>
  </si>
  <si>
    <t>Аба транспорты менен ички жана эл аралык багыттары боюнча  өсүшү</t>
  </si>
  <si>
    <t xml:space="preserve">Техникалык жогорку  кесиптик  билими жана квалификациясы бар адистерди чыгаруу. </t>
  </si>
  <si>
    <t>43/154/0</t>
  </si>
  <si>
    <t>60/169/400</t>
  </si>
  <si>
    <t>60/124/400</t>
  </si>
  <si>
    <t xml:space="preserve">Орто кесиптик  билими бар дипломдуу адистердин жана жогорку кесиптик  билими бар дипломдуу адистерди чыгаруу </t>
  </si>
  <si>
    <t>Жогорку  техникалык, орто кесиптик билими бар жана кайра даярдоодон өткөн адистерди чыгаруу</t>
  </si>
  <si>
    <t xml:space="preserve">37. Кыргыз Республикасынын Саламаттык сактоо министрлиги </t>
  </si>
  <si>
    <t>Индекс</t>
  </si>
  <si>
    <t>Каржылык менеджментти жана эсепти камсыз кылуу</t>
  </si>
  <si>
    <t>адам ресурстарын башкаруу жана уюштуруу иштери</t>
  </si>
  <si>
    <t>Ички мониторинг менен контролду камсыз кылуу (ички аудит кызматы)</t>
  </si>
  <si>
    <t>Ишти уюштуруу жана камсыз кылуу кызматтары</t>
  </si>
  <si>
    <t>Ден соолукту чыңдоо маселелери боюнча калк менен маалыматтык иш алып баруу</t>
  </si>
  <si>
    <t>Калкты иммундаштыруу саясаты</t>
  </si>
  <si>
    <t>&gt;95</t>
  </si>
  <si>
    <t>Социалдык маанилүү жугуштуу оорулардын алдын алуу, диагностикалоо, дарылоо жана сактоо</t>
  </si>
  <si>
    <t>&gt;90%</t>
  </si>
  <si>
    <t>тыс. доз</t>
  </si>
  <si>
    <t>Өлкөнүн табигый очокторунда санитардык коргоо жана эпидемиологиялык жана зоо-энтомологиялык көзөмөлдү камсыз кылуу боюнча алдын алуу иш-чаралары</t>
  </si>
  <si>
    <t>т/га</t>
  </si>
  <si>
    <t>Мамлекеттик социалдык заказдын алкагында кызмат көрсөтүүлөрдүн комплекстүү пакетин көрсөтүү</t>
  </si>
  <si>
    <t>ЛЖВ-2000 ЛУИН-2000, МСМ-2000, СР-1000.</t>
  </si>
  <si>
    <t>ЛЖВ-3000 ЛУИН-3000, МСМ-3000, СР-2000.</t>
  </si>
  <si>
    <t>ЛЖВ-4000 ЛУИН-4000, МСМ-4000, СР-3000.</t>
  </si>
  <si>
    <t>Медициналык кызматтардын сапатын жогорулатуу, ошондой эле медициналык-санитардык баштапкы жардамды өнүктүрүүгө багытталган коомдук саламаттык сактоо уюмдары тарабынан көрсөтүлүүчү шашылыш жана шашылыш медициналык жардам</t>
  </si>
  <si>
    <t>Литр</t>
  </si>
  <si>
    <t>млн. сом/флаконы</t>
  </si>
  <si>
    <t>10 млн./200</t>
  </si>
  <si>
    <t>?</t>
  </si>
  <si>
    <t>30 
(2023 год)</t>
  </si>
  <si>
    <t>На 1 000 родившихся живыми</t>
  </si>
  <si>
    <t>13 
(2023 год)</t>
  </si>
  <si>
    <t>20 
(2023 год)</t>
  </si>
  <si>
    <t>Каталог</t>
  </si>
  <si>
    <t xml:space="preserve">Натыйжалуулук индикатору </t>
  </si>
  <si>
    <t xml:space="preserve">Бардык программалар боюнча эмгек акыга чыгымдардын суммасына карата 001 Программа боюнча  эмгек акыга чыгымдардын катышы </t>
  </si>
  <si>
    <t>Финансылык менеджментти жана эсепке алууну камсыздоо</t>
  </si>
  <si>
    <t xml:space="preserve">Бюджетти эреже бузууларсыз аткаруу пайызы </t>
  </si>
  <si>
    <t xml:space="preserve">Эмгек талаш-тартыштары боюнча утуп алган сот процесстеринин үлүшү </t>
  </si>
  <si>
    <t xml:space="preserve">Утуп алган сот иштеринин алардын жалпы санына карата катышы </t>
  </si>
  <si>
    <t>50. Кыргыз Республикасынын Президентине караштуу Улуттук тил комиссиясы</t>
  </si>
  <si>
    <t>Бузууларсыз бюджетин чыгашадарын аткаруу пайызы</t>
  </si>
  <si>
    <t xml:space="preserve">Финансылык менеджмент жана эсепке алууну камсыз кылуу </t>
  </si>
  <si>
    <t>Кыргыз тилинин улуттук корпусун түзүү жана 
өнүктүрүү</t>
  </si>
  <si>
    <t>Кыргыз тилинин улуттук корпусун түзүү жана өнүктүрүү,  кыргыз тилинин илимий  стилин түзүү жана өнүктүрүү.</t>
  </si>
  <si>
    <t xml:space="preserve"> Программанын максаты: тилди үйрөтүү технологияларын стандартташтыруу жана өркүндөтүү  </t>
  </si>
  <si>
    <t>Аймактык деңгээлдеги жалпы координация</t>
  </si>
  <si>
    <t>Тилди үйрөнүү  боюнча окуу-методикалык адабиятты чыгаруу:  Орус тилдүү топторго кыргыз тили ,  конкурстук негизде 5-6 жаштагы балдар үчүн мамлекеттик тилде балдар жана өспүрүмдөр  үчүн "Кыргыз эл жомоктору"китебин чыгаруу</t>
  </si>
  <si>
    <t>500 нуска</t>
  </si>
  <si>
    <t>Көркөм  каталогдор боюнча көркөм адабий чыгармаларды басуу</t>
  </si>
  <si>
    <t xml:space="preserve"> Мамлекеттик тилдин кадыр-баркын жогорулатууга багытталган атайын программаларды, социалдык жана жарнамалык роликтерди түзүү</t>
  </si>
  <si>
    <t xml:space="preserve">Берүү программаларына ылайык </t>
  </si>
  <si>
    <t xml:space="preserve">Дүйнө адабиятынын жаңы үлгүлөрүн мамл. тилге которуу жана аларды басып чыгаруу: Нобель сыйлыгынын  лауреаттарынын чыгармалары, чыгыштын жана батыштын классикалык адабияты , түрк адабияты, лингвистикалык кыргыз тилининин маалыматтамасы </t>
  </si>
  <si>
    <t>Натыйжалуулук индикатору (программа боюнча натыйжалуулук индикатору)</t>
  </si>
  <si>
    <t xml:space="preserve">Кыргыз тилинин  сөздүктөрүн басып чыгаруу  </t>
  </si>
  <si>
    <t>Натыйжалуулук индикатору (чара боюнча натыйжалуулук индикатору)</t>
  </si>
  <si>
    <t>Котормо сөздүктөрдү басып чыгаруу</t>
  </si>
  <si>
    <t>Мамлекеттик тилдеги иш кагаздардын реквизиттери жана стилистикалык ченемдери боюнча методикалык-нускама басылмаларды басып чыгаруу</t>
  </si>
  <si>
    <t>ар бири 500 нуска</t>
  </si>
  <si>
    <t>Интернет порталдарды жана сайттарды мамлекеттик тилге которуу,  Интернет-ресурстарды тилди үйрөтүүдө колдонуу</t>
  </si>
  <si>
    <t>Бюджеттик чаралардын аталыштары илиминин жана терминдердин  электрондук формасы үчүн веб-портал түзүү</t>
  </si>
  <si>
    <t>51. Кыргыз Республикасынын Өкмөтүнө караштуу Жергиликтүү өз алдынча башкаруу жана  этностор аралык мамилелер иштери боюнча мамлекеттик агенттик</t>
  </si>
  <si>
    <t xml:space="preserve">001 программасы боюнча эмгек акыга  чыгашалардын бардык программалар боюнча эмгек акыга  чыгашалардын суммасына карата катышы </t>
  </si>
  <si>
    <t>Жалпы жетекчиликти  камсыз кылуу</t>
  </si>
  <si>
    <t xml:space="preserve">Калктын ишеним индекси
</t>
  </si>
  <si>
    <t xml:space="preserve">Финансылык менеджмент жана эсепке алуууну камсыз кылуу </t>
  </si>
  <si>
    <t>Бузууларсыз бюджетин  аткаруу пайызы</t>
  </si>
  <si>
    <t>Эмгек талаш-тартыштары боюнча утуп алынган сот процесстеринин үлүшү</t>
  </si>
  <si>
    <t xml:space="preserve">Тышкы байланыш жана коомчулук менен байланышты колдоо    </t>
  </si>
  <si>
    <t xml:space="preserve">ЖМКмин-лик/вед-волордун оң эскертүүлөр саны </t>
  </si>
  <si>
    <t>Укуктук камсыз кылуу</t>
  </si>
  <si>
    <t>Ишти  уюштуруу жана камсыз кылуу кызматы</t>
  </si>
  <si>
    <t>БА кызматкерлеринин жалпы санынан камсыз кылуу кызматтарынын кызматкерлеринин үлүшү</t>
  </si>
  <si>
    <t>Жергиликтүү өз алдынча башкаруунун өнүктүрүү, этностор аралык  ынтымакты түзүү жана чыңдоо</t>
  </si>
  <si>
    <t xml:space="preserve">Кыргыз Республикасында жергиликтүү өз алдынча башкарууну өнүктүрүү </t>
  </si>
  <si>
    <t xml:space="preserve"> Жергиликтүү өз алдынча башкаруу органдары чөйрөсүндөгү мамлекттик программалардын ишке ашыруунун толуктугу</t>
  </si>
  <si>
    <t xml:space="preserve">Этностор аралык мамилелер </t>
  </si>
  <si>
    <t xml:space="preserve"> Этностор аралык мамилелер чөйрөсүндө  чыр-чатактарды кыскартуу</t>
  </si>
  <si>
    <t>52. Кыргыз Республикасынын Өкмөтүнө караштуу Курчап турган чөйрөнү коргоо жана токой чарбасы мамлекеттик агенттиги</t>
  </si>
  <si>
    <t xml:space="preserve">КЧКТЧМА Борбордук Аппараты боюнча эмгек акы чыгымдарынын суммасына 001-Программасы боюнча эмгек акы чыгымдарына карата. </t>
  </si>
  <si>
    <t xml:space="preserve">Бузууларсыз бюджетти аткаруу пайызы </t>
  </si>
  <si>
    <t>Тышкы байланыштар жана коомчулук менен байланыштарды колдоо</t>
  </si>
  <si>
    <t xml:space="preserve">Эмгек талаш-тартышы боюнча уткан соттук прцесстердин үлүшү </t>
  </si>
  <si>
    <t xml:space="preserve"> Курчап турган чөйрөгө аяр мамиле  жасоону жана жаратылышты сарамжалдуу пайдаланууну пропагандалоо</t>
  </si>
  <si>
    <t>Соттук женип чыккан иштердин алардын жалпы санына карата мамилеси</t>
  </si>
  <si>
    <t>бир/бир</t>
  </si>
  <si>
    <t xml:space="preserve">ЖКРФ каражаттарынын эсебинен иш-чараларды өткөрүү </t>
  </si>
  <si>
    <t xml:space="preserve"> ММК мин-дин/вед-лордун туура билдируулорунун саны</t>
  </si>
  <si>
    <t>бирдиги</t>
  </si>
  <si>
    <t xml:space="preserve"> Курчап турган чөйрөгө аяр мамиле  жасоону жана жаратылышты сарамжалдуу пайдаланууну пропагандалоо боюнча иш-чаралардын, акциялардын, ММКга жарыялардын саны </t>
  </si>
  <si>
    <t xml:space="preserve">жактырылган долбоорлордун саны (отчеттуулукта баяндоо менен) </t>
  </si>
  <si>
    <t>факт боюнча</t>
  </si>
  <si>
    <t xml:space="preserve">"Экологоиялык натыйжалуулуктун индекси" рейтигиндеги Кыргыз Республикасынын  позициясы </t>
  </si>
  <si>
    <t xml:space="preserve">Экологиялык саясат боюнча ишти координациялоо </t>
  </si>
  <si>
    <t xml:space="preserve"> Айлана-чөйрөнү  коргоо жана климатты өзгөртүү жаатындагы ведомстволор аралык координациялык механизмдердин отурумдарынын саны</t>
  </si>
  <si>
    <t>Курчап турган чойрону коргоо же /болбосо ага корсотулгон терс таасирлерди томондотуу боюнча  улуттук жана  секторалдык  стратегиялык документтердеги атайын болумдордун саны</t>
  </si>
  <si>
    <t xml:space="preserve">Мамлекеттик экологиялык экспертиза жүргүзүү жана жаратылышты пайдаланууну жөнгө салуу </t>
  </si>
  <si>
    <t>Мамлекеттик  экологиялык  экспертизага тушкон объекттерге берилген корутундулардын саны</t>
  </si>
  <si>
    <t xml:space="preserve">түшүү чарасы боюнча </t>
  </si>
  <si>
    <t>экспертизанын жыйынтыгы боюнча</t>
  </si>
  <si>
    <t xml:space="preserve">Мамлекеттик экологиялык экспертизаны жургузуунун жыйынтыгы боюнча берилген терс корутундулардын саны </t>
  </si>
  <si>
    <t xml:space="preserve">  Стационардык булактардан атмосферага чыккан булгануучу заттардын чыгуусуна  берилген уруксааттардын саны</t>
  </si>
  <si>
    <t xml:space="preserve">Устунку суу объекттерине чыгарылган булгануучу саркынды суулардын агындысы </t>
  </si>
  <si>
    <t xml:space="preserve">Озон бузуучу заттарга уруксат алууга арыздардын каралган саны  </t>
  </si>
  <si>
    <t xml:space="preserve"> Токсикалык матер.жана заттардын, анын ичинде  радиоактивдуу калдыктарын утилдештирууго, сактоого, комууго, жок кылууга келген  арыздардын каралган саны</t>
  </si>
  <si>
    <t>Курчап турган чойронун абалына мониторинг жургузуу системасын онуктуруу</t>
  </si>
  <si>
    <t xml:space="preserve">Курчап турган чойронун компоненттеринин сапатын аныктоого алынган улгулор  </t>
  </si>
  <si>
    <t xml:space="preserve">Жургузулуучу лабораториялык изилдоолордун саны  </t>
  </si>
  <si>
    <t xml:space="preserve">Участкаларды байкоодогу жургузулуучу комиссиялык изилдоолордун саны </t>
  </si>
  <si>
    <t>Ысык-Колдун жээктеринин булганууну байкоо точкаларынын саны</t>
  </si>
  <si>
    <t xml:space="preserve">"Кереге"  маалымат системасынын байкоочу индикаторлорунун саны  </t>
  </si>
  <si>
    <t xml:space="preserve">Радиациялык, биологиялык жана химиялык коопсуздук боюнча иштерди координациялоо. </t>
  </si>
  <si>
    <t>Туруктуу органикалык булгоочулардан (ТОБ): эскирген пестициддер комулгон жайлардан курчап турган чойрого жана калктын ден соолугуна таасири томондотулгон тобокелдиктердин саны</t>
  </si>
  <si>
    <t>Туруктуу органикалык булгоочулардан (ТОБ): эскирген пестициддердин кампаларынан курчап турган чойрого жана калктын ден соолугуна таасири томондотулгон тобокелдиктердин саны</t>
  </si>
  <si>
    <t xml:space="preserve">Радиоактивдуу калдык сактоочу жайлардан жана и иондошулган нурдануу булактарынан курчап турган чойро жана калктын ден соолугу учун томондотулгон тобокелдердин саны </t>
  </si>
  <si>
    <t xml:space="preserve">Ондуруш жана керектоо калдыктарын башкаруу </t>
  </si>
  <si>
    <t xml:space="preserve"> КТК учун контейнерлер менен камсыздоо, керектөөдөн  %</t>
  </si>
  <si>
    <t>КТК ташып чыгаруу учун атайын техника менен камсыздоо, керектөөдөн  %</t>
  </si>
  <si>
    <t>Тазаланган таштандылардын саны</t>
  </si>
  <si>
    <t xml:space="preserve">Чаң жыйноочу менен камсыздоо, керектөөдөн % </t>
  </si>
  <si>
    <t>ЖКРФ каражаттарынын эсебинен иш-чараларды өткөрүү</t>
  </si>
  <si>
    <t xml:space="preserve">жактырылган долбоорлордун саны  (отчеттуулукта баяндоо менен) </t>
  </si>
  <si>
    <t xml:space="preserve">Токой бузуулардан жана орттордон коргоого тийиш болгон мамлекеттик токой фондунун аянты </t>
  </si>
  <si>
    <t>Токойлорду токой эрежелерин бузуулардан жана өрттөн коргоо</t>
  </si>
  <si>
    <t xml:space="preserve">Токой эрежелерин бузуулардан  жана өрттөн коргоого тийиштүү мамлекеттик токой фондунун аянты  </t>
  </si>
  <si>
    <t xml:space="preserve">Өрттүн жалпы санына карата учурунда өчүрүлгөн токой өрттөрүнүн санынын катышы  </t>
  </si>
  <si>
    <t>Токойлорду зыянкечтерден жана илдеттерден коргоо</t>
  </si>
  <si>
    <t xml:space="preserve">Токой зыянкечтерине каршы иштелип чыккан аянттын токой зыянкечтеринен жуккан жалпы аянтына карата катышы </t>
  </si>
  <si>
    <t>Токой ресурстарын кайра ондуруу</t>
  </si>
  <si>
    <t>Токой өсүмдүктөрүнүн байыр алуусу,  %</t>
  </si>
  <si>
    <t>МТФ жерлериндеги токой өсүмдүктөрүнүн жыл сайын отургузуу аянты</t>
  </si>
  <si>
    <t xml:space="preserve">Отургузулуучу материалдардын остурулгон саны </t>
  </si>
  <si>
    <t>млн.д.</t>
  </si>
  <si>
    <t>Токойлордун азыктуулугун жогорулатуу жана сактоо</t>
  </si>
  <si>
    <t>Тазалоо жургузулгон  аянт</t>
  </si>
  <si>
    <t>Токой пайдаланууну уюштуруу</t>
  </si>
  <si>
    <t xml:space="preserve">УСКга мамлекеттик статистикалык отчеттуулук берген токой пайдалануучуларынын саны </t>
  </si>
  <si>
    <t xml:space="preserve">миң адам  </t>
  </si>
  <si>
    <t xml:space="preserve">Токойдон  киреше алуучу калктын саны </t>
  </si>
  <si>
    <t>Токой чарбасын координациялоо жана жүргүзүүнү уюштуруу</t>
  </si>
  <si>
    <t xml:space="preserve">Департаменттин жана токой чарбасынын кызматкерлеринин жалпы санынан ТОП жана МОП жетекчилигинин, бухгалтерия, кадр кызматкерлеринин үлүшү </t>
  </si>
  <si>
    <t>Токой чарбасын региондук  деңгээлде жүргүзүүнү уюштуруу</t>
  </si>
  <si>
    <t xml:space="preserve"> Токой чарбасынын кызматкерлеринин жалпы санынан ТОП жана МОП токой чарбасынын жетекчилигинин, бухгалтерия кызматкерлеринин үлүшү</t>
  </si>
  <si>
    <t>ЖКРФ каражаттары аркылуу иш-чараларды өткөрүү</t>
  </si>
  <si>
    <t xml:space="preserve"> Токойлорду инвентаризациялоо боюнча,  токой чарбалык иш-чараларды пландаштыруу боюнча, жапайы жаныбарларды эсепке алуу боюнча, типология жана бонитировкалоо боюнча,  картографиялык материалдардын сандык моделдерин, токой жайгаштыруу долбоорлорунун, аңчылык  чарба ишинин стратегиялык планынын, чарбалар аралык аңчылыкты уюштуруу  долбоорлорунун маалыматтар базасын камтуу, %  </t>
  </si>
  <si>
    <t>миң га</t>
  </si>
  <si>
    <t>Токой-аңчылык  жайгаштыруу иштерин башкаруу жана уюштуруу</t>
  </si>
  <si>
    <t xml:space="preserve">"Токой аңчылык жайгаштыруу" ММ  кызматкерлеринин жалпы санынан жетекчиликтин, бухгалтерия, кадр, ТОП жана МОП  кызматкерлеринин үлүшү </t>
  </si>
  <si>
    <t>Токойлорду инвентаризациялоону жургузуу</t>
  </si>
  <si>
    <t xml:space="preserve"> Улуттук инвентаризация откорулгон токойлордун аянты  ( 2019-2020-ж.ж.)</t>
  </si>
  <si>
    <t>Токой жайгаштырууну жургузуу</t>
  </si>
  <si>
    <t>Токой жайгаштыруу тарабынан өткөрүлгөн аянт</t>
  </si>
  <si>
    <t>Бөлүкчөлөрдү баалоо</t>
  </si>
  <si>
    <t xml:space="preserve">Токой инвентаризациялоонун сыналуучу аянттарынын саны  </t>
  </si>
  <si>
    <t>Токой жайгаштыруу долбоорлору</t>
  </si>
  <si>
    <t>Анчылык жайгаштырууну жургузуу</t>
  </si>
  <si>
    <t>Чарба аралык аңчылык жайгаштыруу тарабынан жүргүзүлгөн аянт   (объекттерден көз каранды)</t>
  </si>
  <si>
    <t xml:space="preserve">Жапайы жаныбарларды эсепке алуучу байкоо пункттары </t>
  </si>
  <si>
    <t xml:space="preserve">Жапайы жаныбарларды эсепке алуу боюнча өтүлгөн маршруттардын узундугу </t>
  </si>
  <si>
    <t xml:space="preserve">Чарба аралык аңчылык жайгаштыруу долбоорлору </t>
  </si>
  <si>
    <t>Камералык иштерди жүргүзүү</t>
  </si>
  <si>
    <t xml:space="preserve"> ЖКРФ каражаттары аркылуу иш-чараларды өткөрүү</t>
  </si>
  <si>
    <t xml:space="preserve"> Кызыл китепке киргизилген корголуудагы айбандардын (омурткалуулар жана омурткасыздар) турлорунун саны</t>
  </si>
  <si>
    <t>Кызыл китепке киргизилген корголуудагы куштардын турлорунун саны</t>
  </si>
  <si>
    <t>Кызыл китепке киргизилген жогорку тузулуштогу осумдуктордун жана ат кулактардын турлорунун саны</t>
  </si>
  <si>
    <t xml:space="preserve">ӨКЖА иштерин  координациялоо жана экосистемаларды сактоо боюнча маселелерди пропагандалоо </t>
  </si>
  <si>
    <t xml:space="preserve">Башкаруунун натыйжалуулугун эл аралык баалоо киргизилген ОКЖА саны </t>
  </si>
  <si>
    <t>Өлкөнүн жалпы аянтына карата өзгөчө корголуучу жаратылыш аймактарынын үлүшү</t>
  </si>
  <si>
    <t xml:space="preserve">Улуттук жаратылыш  парктарынын жана коруктарынын аянты  </t>
  </si>
  <si>
    <t>ӨКЖАда иштелип чыккан экологиялык жолдордун саны</t>
  </si>
  <si>
    <t>ӨКЖАнын маалыматтык жана дубалдык аншлагдарынын саны</t>
  </si>
  <si>
    <t xml:space="preserve">ӨКЖА аймактарында биотүрдүүлүктү сактоо боюнча иш-чаралар </t>
  </si>
  <si>
    <t>биотүрдүүлүктү сактоо маселелерин пропагандалоо  боюнча жүргүзүлгөн иш-чаралардын саны</t>
  </si>
  <si>
    <t xml:space="preserve">ӨКЖАда аңчылык жаныбарлары үчүн коюлган шор топурактардын саны </t>
  </si>
  <si>
    <t>ӨКЖА аймагындагы тазаланган булактардын саны</t>
  </si>
  <si>
    <t>Өрттөрдүн саны</t>
  </si>
  <si>
    <t xml:space="preserve">Эсепке алынууга камтылган пайдаланылуучу жапайы жаныбарлардын турлору/турчолору  </t>
  </si>
  <si>
    <t xml:space="preserve"> ӨКЖА илимий-изилдөө иштерин жүргүзүү </t>
  </si>
  <si>
    <t xml:space="preserve">КР Кызыл китебине киргизилген, эсепке алынууга камтылган жапайы жаныбарлардын түрлөрү/түрчөлөрүнүн саны </t>
  </si>
  <si>
    <t xml:space="preserve">Жаныбарлар дүйнөсүнүн объекттерин колдоо, сактоо жана кайра өндүрүү  </t>
  </si>
  <si>
    <t>Мониторинг өткөрүлүүчү аянтчалардын саны</t>
  </si>
  <si>
    <t xml:space="preserve">КР жапайы жаныбарлар базасына киргизилген, жапайы жаныбарлардын түрлөрү/түрчөлөрү жөнүндө маалымат </t>
  </si>
  <si>
    <t xml:space="preserve">Атылган  "зыяндуу" жаныбарлардын саны </t>
  </si>
  <si>
    <t xml:space="preserve">Анчылык жаныбарлар учун шор топурак ташталган орундардын саны   </t>
  </si>
  <si>
    <t>Жаныбарлар дүйнөсүнө  жана улуттук жапайы жаныбарлардын маалыматтар базасынын  объектилерине мониторинг, эсепке алууну жана кадастр жүргүзүүнү киргизүү</t>
  </si>
  <si>
    <t xml:space="preserve">Аңчылык чарбалардын аймактарында тазаланган булактардын саны </t>
  </si>
  <si>
    <t xml:space="preserve">Жапайы жаныбарлардын ооруларды жайылтуусун табуу жана алдын алуу боюнча иш-чаралардын саны  </t>
  </si>
  <si>
    <t xml:space="preserve"> Орнотулган маалыматтык аншлагдардын жана  паннолордун жыл учун/бардыгынын саны </t>
  </si>
  <si>
    <t xml:space="preserve">Ачылган  аңчылык эрежелерин бузуулар жана броконьерлик учурлардын санына карата  катышы  </t>
  </si>
  <si>
    <t xml:space="preserve">Жаныбарлар жана осумдуктор дуйносунун жаратылыш ресурстарын жана алар жашаган/ осуп онгон чойросун коргоо, координациялоо жана пайдаланууну контролдоо </t>
  </si>
  <si>
    <t>Келтирилген зыяндын ордун толтуруу боюнча  өндүрүлгөн суммалардын катышы</t>
  </si>
  <si>
    <t xml:space="preserve">Аңчылык чарба ишин жүргүзүү укугуна берилген арыздардын каралган саны   </t>
  </si>
  <si>
    <t>Жаныбарлар дүйнөсүнүн ресурстарын биргелешип коргоого тартылган жергиликтүү жамааттардын саны</t>
  </si>
  <si>
    <t>Аңчылык ишин жүргүзүү укугун берүү үчүн каралган арыздардын саны</t>
  </si>
  <si>
    <t>Жапайы жаратылыш ресурстарын биргелешип коргоого катышкан жергиликтүү жамааттардын саны</t>
  </si>
  <si>
    <t>Аңчылыкты пайдалануучулардын ишин координациялоо</t>
  </si>
  <si>
    <t>аңчылыкты пайдалануучулардын саны</t>
  </si>
  <si>
    <t xml:space="preserve">Берилген мамлекеттик мергенчилик ырастамалардын саны </t>
  </si>
  <si>
    <t>Мамлекеттик долбоорлорду ишке ашыруу</t>
  </si>
  <si>
    <t>53. Кыргыз Республикасынын Өкмөтүнө караштуу Мамлекеттик каттоо кызматы</t>
  </si>
  <si>
    <t xml:space="preserve">Бардык программалар боюнча эмгек акыга  чыгашалардын суммасына карата 001 программасы боюнча эмгек акыга  чыгашалардын катышы </t>
  </si>
  <si>
    <t>Калктын  ишеним индекси</t>
  </si>
  <si>
    <t xml:space="preserve">Финансылык менеджметти жана эсепти камсыз кылуу  </t>
  </si>
  <si>
    <t xml:space="preserve">Бюджетти  аткаруу пайызы </t>
  </si>
  <si>
    <t>Эмгектик талаш-тартыштар боюнча утуп  чыккан сот процесстеринин  үлүшү</t>
  </si>
  <si>
    <t xml:space="preserve">Алардын жалпы санына карата утуп  чыккан сот иштеринин катышы </t>
  </si>
  <si>
    <t>бирлик/бирдик</t>
  </si>
  <si>
    <t xml:space="preserve">Тышкы байланыштарды жана коомчулук менен байланышты колдоо </t>
  </si>
  <si>
    <t>Борбордук аппараттын  кызматкерлеринин жалпы санынан камсыздоо кызматтарынын кызматкерлеринин үлүшү</t>
  </si>
  <si>
    <t xml:space="preserve">Мониторинг, анализ жана стратегиялык пландоону камсыз кылуу </t>
  </si>
  <si>
    <t>Кыргыз Республикасынын Өкмөтүнө караштуу Мамлекеттик каттоо кызматынын өнүктүрүү стратегиясын ишке ашыруу</t>
  </si>
  <si>
    <t>Калкты  жана жарандык абал актыларын каттоо</t>
  </si>
  <si>
    <t>Натыйжалуулук индикатору</t>
  </si>
  <si>
    <t>Калкты каттоо</t>
  </si>
  <si>
    <t xml:space="preserve">Персонификацияланган паспорттордун саны </t>
  </si>
  <si>
    <t>мин. даана</t>
  </si>
  <si>
    <t>Жарандык абал актыларын каттоо</t>
  </si>
  <si>
    <t xml:space="preserve">Жарандык абалдын катталган актыларынын саны </t>
  </si>
  <si>
    <t>Транспорт каражаттарын жана айдоочулук курамды каттоо</t>
  </si>
  <si>
    <t>Транспорт каражаттарын каттоо</t>
  </si>
  <si>
    <t>Катталган транспорт каражаттары</t>
  </si>
  <si>
    <t>Айдоочулук курамды каттоо</t>
  </si>
  <si>
    <t xml:space="preserve">Берилген айдоочулук күбөлүктөр </t>
  </si>
  <si>
    <t>КР архив фондунун документтеринин сакталышын камсыз кылуу</t>
  </si>
  <si>
    <t xml:space="preserve">Мамлекетин жана коомдун кызыкчылыгы үчүн КР Улуттук архивдик фондун  түзүү, комплектөө, сактоо жана пайдалануу  </t>
  </si>
  <si>
    <t>сактоо бирдиги</t>
  </si>
  <si>
    <t>Архив документтерин сактоодо сапатты жана коопсуздукту жогорулатуу</t>
  </si>
  <si>
    <t xml:space="preserve">Архивдик документтерди туруктуу негизде сактоо үчүн  сактоонун ченемдерин жана стандарттарын камсыздоого мүмкүндүк берет </t>
  </si>
  <si>
    <t>коробка саны</t>
  </si>
  <si>
    <t>Архив документтерин  санариптөө</t>
  </si>
  <si>
    <t>2015-2025 -жылдарда чет өлкөлөрдөгү аривдерде, музейлерде жана китепканалардагы кыргыздар жана Кыргызстан жөнүндө документтерди жана материалдарды табуу жана топтоо боюнча программа</t>
  </si>
  <si>
    <t xml:space="preserve">Архивдик  фондду баалуу тарыхый документтер менен толуктоо  </t>
  </si>
  <si>
    <t>барак/сактоо бирдиги</t>
  </si>
  <si>
    <t>Чет өлкөлүк архивдерде кыргыздар жана Кыргызстандын документалдык тарыхын изилдөө</t>
  </si>
  <si>
    <t>Илимий-изилдөө иштерин кеңейтүү</t>
  </si>
  <si>
    <t>күн саны</t>
  </si>
  <si>
    <t>Тарыхый мураска ээ болгон документтерди көчүрмөлөө жана КР  жеткирүү</t>
  </si>
  <si>
    <t xml:space="preserve">Чет өлкөлүк архивдерден алынган документтердин негизинде  архивдик фондду түзүү  </t>
  </si>
  <si>
    <t xml:space="preserve">Инфраструктуралык долбоорлорду ишке ашыруу </t>
  </si>
  <si>
    <t>Мамлектеттик инвестициялардын долбоорлорун ишке ашыруу (гранттар)</t>
  </si>
  <si>
    <t>Мамлектеттик инвестициялардын долбоорлорун ишке ашыруу (кредиттер)</t>
  </si>
  <si>
    <t>54. КРӨ караштуу Экологиялык жана техникалык коопсуздук боюнча мамлекеттик инспекциясы</t>
  </si>
  <si>
    <t>калктын ишеним индекси</t>
  </si>
  <si>
    <t>Финансы менеджментин жана эсепке алууну камсыздоо</t>
  </si>
  <si>
    <t xml:space="preserve">бюджетти бузууларсыз аткаруу пайызы </t>
  </si>
  <si>
    <t>ЭТКМИ иштелип чыккан ЧУА саны</t>
  </si>
  <si>
    <t>Ички контрол жана коррупциялык көрүнүштөрдү жоюуу</t>
  </si>
  <si>
    <t xml:space="preserve">Коомчулуктун коррупциянын деңгээлин кабыл алуусу </t>
  </si>
  <si>
    <t>ЭТКМИнын иши боюнча көрсөтүлгөн видеороликтердин саны</t>
  </si>
  <si>
    <t>Массалык маалымат каражаттарында, тынымсыз байланыш жана ушул сыяктуу иш-чараларда жүргүзүлгөн түшүндүрүү иштеринин, конференциялардын, семинарлардын саны</t>
  </si>
  <si>
    <t>Ишмердүүлүктү жана камсыздоону уюштуруу</t>
  </si>
  <si>
    <t>Борбордук аппараттын жана регионалдык башкармалыктардын кызматкерлеринин жалпы санынан камсыздоо кызматындагы кызматкерлердин  үлүшү</t>
  </si>
  <si>
    <t>Мониторнгди, анализди жана стратегиялык пландаштырууну камсыздоо</t>
  </si>
  <si>
    <t>Кыргыз Республикасынын экологиялык натыйжалуулуктун индекс рейтингине болгон позициясы</t>
  </si>
  <si>
    <t xml:space="preserve">Айлана-чөйрөнүн корголушуна, жаратылыш ресурстарынын сарамжалдуу пайдаланылышына, биоресурстарды колдонулушуна жана корголушуна,химиялык коопсуздукка мамлекеттик контрол </t>
  </si>
  <si>
    <t>калдыктарды жайгаштыруу объекттерин ченемдик абалга алып келүүгө көмөктөшүү</t>
  </si>
  <si>
    <t>жерлердин категорияларын таштанды жана полигон жерлерине өзгөртүүгө көмөктөшүү</t>
  </si>
  <si>
    <t>токой чарбаларына жана ООПТ токой чарбаларына мыйзамсыз кол салуулар менен күрөшүү</t>
  </si>
  <si>
    <t xml:space="preserve">өлкөнүн токой менен  капталган аянттарынын сакталышын камсыздоо </t>
  </si>
  <si>
    <t xml:space="preserve">Суу ресурстарын  жана объекттерин колдонулушуна көзөмөлдүктү жана контролдукту ишке ашыруу </t>
  </si>
  <si>
    <t xml:space="preserve">Суу ресурстарына жана объекттерине контролдоо жана крозөмолдөө процессин бузган объекттердин саны </t>
  </si>
  <si>
    <t>Жерлердин контролдонушуна жана корголушуна көзөмөлдуктү  ишке ашыруу</t>
  </si>
  <si>
    <t>Радиоактивдүү жана ядролук материалдар жана объекттер көзөмөлдүктү жана контролдукту ишке ашыруу</t>
  </si>
  <si>
    <t>1% га төмөндөө</t>
  </si>
  <si>
    <t>Эмгекти коргоо жана эмгектик мамилелер</t>
  </si>
  <si>
    <t>өлүм менен аяктаган травматизмдин жыштык коэффиценти ( 1000  жумушчу эсебинде иштеген орто тизмедеги санына бир жыл ичинде каза болгондордун саны</t>
  </si>
  <si>
    <t>Өнөр жай коопсуздугун камсыздоо</t>
  </si>
  <si>
    <t>Тоо-кен тармагын көзөмөлдөө</t>
  </si>
  <si>
    <t xml:space="preserve">Жер казынасын сарамжалдуу колдонуу </t>
  </si>
  <si>
    <t>Курулуп жаткан имраттардын жана курулуштардын сапатын жана ишенимдүүлүгүн камсыздоо</t>
  </si>
  <si>
    <t>Энергосистемасында технологиялык бузууларды жана бөөдө энерготравматизмди бөөдө кырсыктарын иликтөө</t>
  </si>
  <si>
    <t>Транспорттук коопсуздук чөйрөсүндө контролдукту жана көзомөлдүктү ишке ашыруу</t>
  </si>
  <si>
    <t xml:space="preserve">ЕАЭБ техникалык регламенттеринин талаптарына ылайык эмес продукцияларды  базарга чыгуусун болтурбоо </t>
  </si>
  <si>
    <t xml:space="preserve">Сапаттуу өлчөөлөр, сапаттуу өндүрүм </t>
  </si>
  <si>
    <t xml:space="preserve">КР "ЧБЖ" мыйзамынын талаптарынын бузуунун саны (текшерилбеген ЧК саны) </t>
  </si>
  <si>
    <t>Бажы биримдигинин техникалык регламенттеринин сактообосу менен байланышкан бузууларды ачыктоо</t>
  </si>
  <si>
    <t>55. Кыргыз Республикасынын Өнөр жай, энергетика жана жер казынасын  пайдалануу мамлекеттик комитети</t>
  </si>
  <si>
    <t>Комитеттин ишмердигин баалоо</t>
  </si>
  <si>
    <t>Тармакты өнүктүрүү стратегиясын иштеп чыгуу жана күчүнө кириши</t>
  </si>
  <si>
    <t>Өнөр жай, энергетика жана жер казынасын пайдаланууну жөнгө салуу боюнча ЧУА жана  стандарттарды кабыл алуу</t>
  </si>
  <si>
    <t>СУЛ түшүүсү боюнча РБнин киреше бөлүгүн аткаруу</t>
  </si>
  <si>
    <t xml:space="preserve">тармактык программаларды аткаруу даражасы </t>
  </si>
  <si>
    <t xml:space="preserve">Геологиялык чалгындоо иштери үчүн даярдалган кен азуу жеринин жалпы санындагы үлүшү  </t>
  </si>
  <si>
    <t xml:space="preserve">Геологиялык чалгындоо иштери жүргүзүлүүчү аянт </t>
  </si>
  <si>
    <t>чарчы км</t>
  </si>
  <si>
    <t xml:space="preserve">Аяктаган геологиялык чалгындоо иштеринин саны   </t>
  </si>
  <si>
    <t xml:space="preserve">Жер алдындагы суунун сапатына изилдөө жүргүзүлгөн суу пайдалануу объекттеринин саны  </t>
  </si>
  <si>
    <t xml:space="preserve">Экзогендик геологиялык процесстердин текшерилген участокторунун саны  </t>
  </si>
  <si>
    <t xml:space="preserve">Геологиялык материалдарды санарип алып жүрүүчүлөргө  өткөрүү жана аларды иштеп чыгуу </t>
  </si>
  <si>
    <t>барак</t>
  </si>
  <si>
    <t>Геологиялык-геохимиялык издөөлөрдүн бардык түрлөрү боюнча маалыматтар базасын түзүү</t>
  </si>
  <si>
    <t>миң сынам</t>
  </si>
  <si>
    <t>Атбашы СЭСин кайра конструкциялоо (Швейцария) (грант)</t>
  </si>
  <si>
    <t>СЭСти кайра конструкциялоо</t>
  </si>
  <si>
    <t xml:space="preserve">Долбоор CASA-1000 </t>
  </si>
  <si>
    <t>500 кВ  ЭБЧ курулушу башталган</t>
  </si>
  <si>
    <t xml:space="preserve">"Электр менен жабдуулоонун отчеттуулугун  жана  ишенимдүүлүгүн жогорулатуу" долбоору </t>
  </si>
  <si>
    <t xml:space="preserve">Көмөк станцияларды куруу жана эсепке алуу шайманын орнотуу </t>
  </si>
  <si>
    <t xml:space="preserve"> Лейлек районунун Аркин массивинин электр менен камсыздоону жакшыртуу (ИӨБ) (кредит)</t>
  </si>
  <si>
    <t>Камбарата СЭС-2  экинчи суу агрегатын пайдаланууга берүү</t>
  </si>
  <si>
    <t>120 МВт кубаттуулуктагы суу агрегатын орнотуу</t>
  </si>
  <si>
    <t xml:space="preserve"> Токтогул СЭСин реабилитациялоонун экинчи, үчүнчү фазасы</t>
  </si>
  <si>
    <t xml:space="preserve"> 2  генераторду алмаштыруу</t>
  </si>
  <si>
    <t>Генератор 1 даана</t>
  </si>
  <si>
    <t>Генератор 1 даан</t>
  </si>
  <si>
    <t>"Жылуулук менен камсыздоону жакшыртуу" долбоору</t>
  </si>
  <si>
    <t>Жеке жалпы үй жылуулук пункттарын модернизациялоо, "Чыгыш" магистралдык жылуулук тармагын алмаштыруу жана  кайра конструкциялоо.</t>
  </si>
  <si>
    <t>ЖЖП бирдик</t>
  </si>
  <si>
    <t xml:space="preserve">231 жаңы ЖЖП 1700 иштейт </t>
  </si>
  <si>
    <t>эсепке алуу шайманы би. жана суу өлчөө би.</t>
  </si>
  <si>
    <t>2000эсепке алуу шайманы жана 2000 суу өлчөгүчтөр</t>
  </si>
  <si>
    <t>Сордургуч станцияларды кайра конструкциялоо жана куруу</t>
  </si>
  <si>
    <t>Жылуулук менен камсыздоо системасын  модернизациялоо Бишкек ш.: (Сордургуч станцияларды кайра конструкциялоо), (модернизациялоо жана болгон  СКАДА системасын кеңейтүү)</t>
  </si>
  <si>
    <t>сордургучтар би.</t>
  </si>
  <si>
    <t xml:space="preserve"> 13 сордургуч станцияларына жүгүртүүлөрдү  жөнгө салуу саны менен 36 сордургучтарды орнотуу</t>
  </si>
  <si>
    <t>2 п. чечилүүчү сордургуч станциялар</t>
  </si>
  <si>
    <t>14  сордургуч станцияга жана 2 пунктка  көрсөтмөлөр жана жадуунун кошумча 5 сордургуч станциялар </t>
  </si>
  <si>
    <t>"Чыгыш электр"  ААКны реабилитациялоо</t>
  </si>
  <si>
    <t>"Чыгыш электр"  ААКны жоготууну кыскартуу. ЭКЭАС системасын ишке киргизүү</t>
  </si>
  <si>
    <t xml:space="preserve">ЭКЭАС миң даана, ӨИС кабели </t>
  </si>
  <si>
    <t>32 миң даана, ӨКИП (СИП) кабель -258 км</t>
  </si>
  <si>
    <t xml:space="preserve"> "Ош электр"  ААКны реабилитациялоо</t>
  </si>
  <si>
    <t>"Ош электр"  ААКны жоготууну кыскартуу. ЭКЭАС системасын ишке киргизүү</t>
  </si>
  <si>
    <t xml:space="preserve">22 тыс. шт., ӨКИП (СИП) кабель - 335 км </t>
  </si>
  <si>
    <t>Электр бөлүштүрүүчү тармактардын натыйжалуулугун жогорулатуу</t>
  </si>
  <si>
    <t>"Түндүк электр" ААКны жоготууну кыскартуу</t>
  </si>
  <si>
    <t>Энергетика  секторун кайра конструкциялоо</t>
  </si>
  <si>
    <t xml:space="preserve">Бишкек ш. СЭСин модернизациялоо </t>
  </si>
  <si>
    <t xml:space="preserve">ЖЭБди кайра конструкциялоо </t>
  </si>
  <si>
    <t>Энергетика  секторун өнүктүрүү</t>
  </si>
  <si>
    <t>ЭКЭАТ жана SKADA  системасын ПСга киргизүү, өчүргүчтөрдү алмаштыруу</t>
  </si>
  <si>
    <t>Бишкек жана Ош ш.  электр менен камсыздоону жакшыртуу</t>
  </si>
  <si>
    <t>220 кВ ПС кайра конструкциялоо жана  220 кВ АЛ куруу</t>
  </si>
  <si>
    <t xml:space="preserve"> Үч-Коргон СЭС модернизациялоо </t>
  </si>
  <si>
    <t>Отун-энергетикалык комплекстин техникалык каражаттарын иштетүүнүн ишенимдүүлүгүн  жана натыйжалуулугун жогорулатуу</t>
  </si>
  <si>
    <t>Электр техникалык каражаттарын жабдууларын иштетүүнүн ишенимдүүлүгүн  жана натыйжалуулугун жогорулатуу боюнча тажрыйбалык сунуштарды иштеп чыгуу</t>
  </si>
  <si>
    <t>отчеттордун саны</t>
  </si>
  <si>
    <t>Электр энергияны бюджеттик уюмдарда пайдалануунун натыйжалуулугуна энергетикалык изилдөө жүргүзүү</t>
  </si>
  <si>
    <t xml:space="preserve">Изилденген бюджеттик уюмдардын саны жана изилденген бюджеттик уюмдардагы котелдердин  энергетикалык, техникалык паспортторунун мониторинги </t>
  </si>
  <si>
    <t>объект даана</t>
  </si>
  <si>
    <t xml:space="preserve">КРдин бюджеттик керектөөчүлөрүнүн энергетикалык ресурстарын керектөөнүнүн ишенимдүү чоңдугун аныктоо </t>
  </si>
  <si>
    <t>"Кыргызжылуулукэнерго" мамлекеттик ишкана</t>
  </si>
  <si>
    <t>Борбордук жылуулук менен камсыз болгон абоненттеринин саны</t>
  </si>
  <si>
    <t xml:space="preserve">Калкка жылуулук энергиясын иштеп чыгуу жана ишке ашыруу. </t>
  </si>
  <si>
    <t xml:space="preserve">1 Гкал. өндүрүү учүн кетирилген күйүчүү май </t>
  </si>
  <si>
    <t>кВт/с</t>
  </si>
  <si>
    <t>Мештердин КПД сын жогорлатуу</t>
  </si>
  <si>
    <t>Сууну калкка берүү боюнча кызмат көрсөтүү</t>
  </si>
  <si>
    <t>мин.м3</t>
  </si>
  <si>
    <t>Мин-Куш боюча тургудардын суу менен камсыздоо жана саркынды сууларды чыгаруу боюнча сапаттуу кызмат көсөтүү.</t>
  </si>
  <si>
    <t>Санитардык тазалоо жана жакшыртуу</t>
  </si>
  <si>
    <t>тонна</t>
  </si>
  <si>
    <t>Радиоактивдик таштандыларды көмүү</t>
  </si>
  <si>
    <t>Радиоактивдүү заттар менен булганган кийимдм дезактивациалоо</t>
  </si>
  <si>
    <t>Радиоактивдүү заттар менен булганган кийимдм дезактивациалоо.</t>
  </si>
  <si>
    <t>56. Жаштар иштери, дене тарбия жана спорт боюнча мамлекеттик агенттик</t>
  </si>
  <si>
    <t xml:space="preserve">Өкмөттүн программасын ишке ашыруунун пайызы  </t>
  </si>
  <si>
    <t>Камсыздоо кызматтары</t>
  </si>
  <si>
    <t>Спорттук-массалык жана комплекстүү иш-чараларды өткөрүү</t>
  </si>
  <si>
    <t>Спорттун инфраструктурасын өнүктүрүү</t>
  </si>
  <si>
    <t xml:space="preserve"> III  Дүйнөлүк көчмөндөр оюнун өткөрүү</t>
  </si>
  <si>
    <t xml:space="preserve">Спорттун улуттук түрлөрү менен алектенүүгө калкты тартуу </t>
  </si>
  <si>
    <t>Ата мекендик спорттун ПАК (медаль жеңип алган спортсмендерге карата каржыланган спортсмендердин катышы)</t>
  </si>
  <si>
    <t>Спорт багыты боюнча жалпы орто атайын билим берүү менен камсыз кылуу</t>
  </si>
  <si>
    <t>Мамагенттиктин  карамагындагы мекемеде диплом, спорттук наам алгандардардын саны</t>
  </si>
  <si>
    <t xml:space="preserve">Балдарды жана жаштарды спорттун түрлөрүнө үйрөтүү, </t>
  </si>
  <si>
    <t>Эл аралык аренада сыйлуу орундарды ээлөө, олимпиадалык резервге даярдоо</t>
  </si>
  <si>
    <t>Антидопингдик камсыздоо</t>
  </si>
  <si>
    <t>Кыргыз Республикасынын алдыңкы спортсмендерин социалдык жактан корголушун жогорулатуу</t>
  </si>
  <si>
    <t>Региондогу тузулгон жаштар борборлору</t>
  </si>
  <si>
    <t xml:space="preserve">Жаштар саясаты чөйрөсүндө   региондук иш-чараларды өткөрүү  </t>
  </si>
  <si>
    <t>Республиканын региондорунда  өткөрүлгөн иш-чаралардын саны</t>
  </si>
  <si>
    <t>Жаштару уюмдар менен иш жүргүзүү</t>
  </si>
  <si>
    <t xml:space="preserve">Өткөрүлгөн иш-чаралардын тренингдердин саны </t>
  </si>
  <si>
    <t xml:space="preserve">Иштелип чыккан жана кабыл алынган ЧУАнын саны </t>
  </si>
  <si>
    <t>57. Кыргыз Республикасынын инвестицияларды илгерилетүү жана коргоо боюнча агенттиги</t>
  </si>
  <si>
    <t xml:space="preserve">Пландоо, башкаруу жана администрациялоо </t>
  </si>
  <si>
    <t>Программанын максаты: Агенттиктин системасынын ишин камсыз кылуу жана башка программаларды ишке ашырууну координациялоо</t>
  </si>
  <si>
    <t xml:space="preserve"> Жалпы жетекчиликти камсыз кылуу</t>
  </si>
  <si>
    <t>Финансылык  менеджментти жана эсепти  камсыз кылуу, укуктук колдоо жана ишти уюштуруу</t>
  </si>
  <si>
    <t xml:space="preserve">Белгиленген тартипте товарларды, кызмат көрсөтүүлөрдү, жумуштарды сатып алууну ишке ашыруу </t>
  </si>
  <si>
    <t>Инвестицияларды тартуу жана  экпортту илгерилетүү</t>
  </si>
  <si>
    <t>Программанын максаты:  Инвестицияларды илгерлетүү жана коштоо</t>
  </si>
  <si>
    <t>Инвестицияларды тартуу</t>
  </si>
  <si>
    <t>Ата мекендик товарларды экспортоону илгерлетүүгө көмөктөшүү</t>
  </si>
  <si>
    <t>Экспорттоого келишимдерди түзүү</t>
  </si>
  <si>
    <t>58. Кыргыз Республикасынын Өкмөтүнө караштуу  Финансы рыногун жөнгө салуу жана көзөмөлдөө мамлекеттик  кызматы</t>
  </si>
  <si>
    <t xml:space="preserve">Бардык программалар боюнча эмгек акыга чыгашалардын суммасына карата 001 Программа боюнча  эмгек акыга чыгашалардын катышы </t>
  </si>
  <si>
    <t xml:space="preserve">Финансылык  менеджментти жана эсепти  камсыз кылуу </t>
  </si>
  <si>
    <t>Уюштуруу иши (Адам ресурстарын башкаруу, тышкы байланыштарды колдоо, талдоо жана стратегиялык пландаштыруу)</t>
  </si>
  <si>
    <t xml:space="preserve">Эмгектик талаш-тартыштар боюнча утуп алган эмгек процесстеринин үлүшү </t>
  </si>
  <si>
    <t xml:space="preserve">ЖМКларда оң эскерүүлөрдүн саны </t>
  </si>
  <si>
    <t xml:space="preserve">Алардын жалпы санына карата утуп алган соттук иштердин катышы </t>
  </si>
  <si>
    <t xml:space="preserve">Борбордук аппараттын кызматкерлеринин жалпы санынан камсыз кылуу кызматынын кызматкерлеринин үлүшү </t>
  </si>
  <si>
    <t>Баалуу кагаздар рыногун өнүктүрүү</t>
  </si>
  <si>
    <t>Мамлекеттик баалуу кагаздарды биржага которуу</t>
  </si>
  <si>
    <t>млрд. сом</t>
  </si>
  <si>
    <t>Калктын финансылык сабаттуулугун жогорулатуу</t>
  </si>
  <si>
    <t>Фондулук рынок аркылуу инвестициялардын көлөмүнүн өсүшүнө дем берүү</t>
  </si>
  <si>
    <t xml:space="preserve">Фондулук рыноктун капиталдаштырылышы  </t>
  </si>
  <si>
    <t>Камсыздандыруу рыногун өнүктүрүү жана банктык эмес финансы-кредит мекемелеринин иши</t>
  </si>
  <si>
    <t>Милдеттүү жана ыктыярдуу камсыздандырууну өнүктүрүү</t>
  </si>
  <si>
    <t xml:space="preserve">Камсыздандыруунун милдеттүү түрлөрү боюнча камсыздандыруу сый акыларынын көлөмү  </t>
  </si>
  <si>
    <t>Кайра камсыздандыруунун улуттук системасын түзүү</t>
  </si>
  <si>
    <t xml:space="preserve">Улуттук кайра камсыздандыруунун үлүшү </t>
  </si>
  <si>
    <t>Банктык эмес финансылык уюмдарды өнүктүрүү (ТПФ, ломбарддар, лотереялар)</t>
  </si>
  <si>
    <t xml:space="preserve">ТПФте топтолгон пенсиялык каражаттардын көлөмү  </t>
  </si>
  <si>
    <t>млн. сом</t>
  </si>
  <si>
    <t>Ломбард уюмдарынын уставдык капиталынын өлчөмүнүн көбөйүшү</t>
  </si>
  <si>
    <t xml:space="preserve"> Аудитти жана бухгалтердик эсепти өнүктүрүү</t>
  </si>
  <si>
    <t xml:space="preserve">Аудиттин сапатын, өз мезгилдүүлүгүн жана ачык-айкындыгын жогорулатуу </t>
  </si>
  <si>
    <t xml:space="preserve">Сертификаттарды алган аудиторлордун саны  </t>
  </si>
  <si>
    <t>Кыргыз Республикасынын ишканаларында ФОЭАСты киргизүүнүн үлүшүн көбөйтүү</t>
  </si>
  <si>
    <t xml:space="preserve">ФОЭАСты пайдаланган ишканалардын саны  </t>
  </si>
  <si>
    <t>59. Кыргыз Республикасынын Мамлекеттик кадр кызматы</t>
  </si>
  <si>
    <t>МККнын планын аткаруунун %</t>
  </si>
  <si>
    <t>Адам  ресурстарын башкаруу</t>
  </si>
  <si>
    <t>Кызматчылардын жалпы санына карата квалификациясын жогорулаткан кызматчылардын үлүшү</t>
  </si>
  <si>
    <t>Карьералык пландоо (ротациялоо) жана кызматка көтөрүү боюнча кызмат оруну боюнча жогорулаган кызматчылардын үлүшү</t>
  </si>
  <si>
    <t>МККнын ички кадрлар резервинин курамына киргизилген кызматчылардын үлүшү</t>
  </si>
  <si>
    <t>Ишти уюштуруу жана камсыз кылуу  кызматтары (ТТП, КТП)</t>
  </si>
  <si>
    <t xml:space="preserve"> Борбордук аппараттын кызматкерлеринин жалпы санынан камсыз кылуу кызматынын кызматкерлеринин үлүшү </t>
  </si>
  <si>
    <t>Тапшырмаларды аткаруунун натыйжалуулук индекси</t>
  </si>
  <si>
    <t>Мамлекеттик жарандык кызмат жана муниципалдык кызмат чөйрөсүндөгү ченемдик укуктук базаны өркүндөтүү</t>
  </si>
  <si>
    <t>Ченемдик укуктук актылардын таасирин талдоо жана аларды өркүндөтүү боюнча сунуштарды иштеп чыгуу (түшкөн ЧУАдын санына салыштырганда)</t>
  </si>
  <si>
    <t>Мамлекеттик жарандык кызмат жана муниципалдык кызмат жөнүндө мыйзамдарга шайкеш келүүсү каралып чыккан ички жана тышкы ЧУА долбоорлорунун үлүшү (түшкөн долбоорлорунун санына салыштырганда)</t>
  </si>
  <si>
    <t>Мамлекеттик жарандык кызматка кирүү жана өтүү үчүн бирдей мүмкүнчүлүктү камсыз кылуу</t>
  </si>
  <si>
    <t>Мыйзамдарга ылайык толтурулган бош административдик мамлекеттик кызмат орундарынын үлүшү</t>
  </si>
  <si>
    <t>Карьералык өсүштүн алкагындагы мамлекеттик административдик бош кызмат орундарынын үлүшү</t>
  </si>
  <si>
    <t>Административдик мамлекеттик кызмат орундарынын квалификациялык талаптарын жана кызматтык нускамаларын бекиткен жана өз убагында киргизилген мамлекеттик органдардын үлүшү</t>
  </si>
  <si>
    <t xml:space="preserve">Мамлекеттик кызматка кирүүдө жана өтөөдө коррупцияга каршы чараларды киргизүү </t>
  </si>
  <si>
    <t>Кызматчылардын ишин баалоо системасын колдонгон мамлекеттик органдардын үлүшү</t>
  </si>
  <si>
    <t>Этика боюнча комиссия иштеген мамлекеттик  органдардын үлүшү</t>
  </si>
  <si>
    <t>Муниципалдык кызматка кирүүдө жана өтөөдө жарандардын бирдей жеткиликтүүлүгүн камсыз кылуу</t>
  </si>
  <si>
    <t>Мыйзамдарга ылайык ээленген административдик муниципалдык  бош кызмат орундарынын үлүшу</t>
  </si>
  <si>
    <t>Карьералык өсүштүн алкагында ээлеген бош административдик муниципалдык кызмат орундарынын үлүшү</t>
  </si>
  <si>
    <t>Административдик муниципалдык кызмат орундарына квалификациялык талаптарды жана кызматтык нускамаларды бекиткен ЖӨБ органдарынын үлүшү жана өзгөртүүлөрдү өз убагында киргизүү</t>
  </si>
  <si>
    <t>Муниципалдык кызматта коррупцияга каршы чараларды ишке ашыруу</t>
  </si>
  <si>
    <t>Кызматчылардын ишин баалоо системасын колдонгон ЖӨБ  органдардын үлүшү</t>
  </si>
  <si>
    <t>Этика боюнча комиссия иштеген ЖӨБ органдарынын үлүшү</t>
  </si>
  <si>
    <t>Мамлекеттик жана муниципалдык кызматка кирүүдө жана кызмат өтөөдө мыйзамдар боюнча тестирлөө өтүүдө ачык жана акыйкаттыкты касыздоо</t>
  </si>
  <si>
    <t>Тесттин катышуучуларынын саны</t>
  </si>
  <si>
    <t>Мамлекеттик жарандык кызмат жана муниципалдык кызмат чөйрөсүндөгү адам ресурстарын башкаруунун маалыматтык системасын ишке киргизүү (талдоо, колдоо жана коштоо)</t>
  </si>
  <si>
    <t>Адам ресурстарын башкаруунун маалыматтык системасынын программасынын техникалык тапшырмасы</t>
  </si>
  <si>
    <t xml:space="preserve">модуль (бирд.) </t>
  </si>
  <si>
    <t>Автоматташтырылган тапшырмалардын саны</t>
  </si>
  <si>
    <t>Автоматташтырылган системалар менен интеграциялоо</t>
  </si>
  <si>
    <t>Карьералык пландоо</t>
  </si>
  <si>
    <t>УКР катталган адамдардын саны</t>
  </si>
  <si>
    <t>УКР турган жана квалификациясын жогорулаткан адамдардын саны</t>
  </si>
  <si>
    <t>Массалык маалымат каражаттарында чагылдырылган  жана өткөрүлгөн иш-чаралардын үлүшү</t>
  </si>
  <si>
    <t>Түшүндүрүүчү жана кеңеш берүүчү басылмалардын саны</t>
  </si>
  <si>
    <t xml:space="preserve">Мамлекеттик жана муниципалдык кызматчыларды окутууга Мамлекеттик тапшырыкты мамлекеттик бюджеттин каражаттарынын эсебинен ишке ашыруу </t>
  </si>
  <si>
    <t>Мамлекеттик тапшырыкта план боюнча санына салыштырганда окутулган кызматчылардын үлүшү</t>
  </si>
  <si>
    <t>Мамлекеттик жарандык кызмат жана муниципалдык кызмат чөйрөсүндө мыйзамдарды сактоого мониторинг жүргүзүү</t>
  </si>
  <si>
    <t>Бекитилген планга ылайык мамлекеттик органдарда жана ЖӨБ органдарында өткөрүлгөн мониторингдердин саны</t>
  </si>
  <si>
    <t>Түшкөн даттануулардын санына карата  өз учурунда каралган даттануулардын үлүшү</t>
  </si>
  <si>
    <t>Мамлекеттик жана муниципалдык кызмат чөйрөсүндө Улуттук (мамлекеттик) программаларды жүзөгө ашыруу</t>
  </si>
  <si>
    <t>Мамлекеттик жана муниципалдык кызмат чөйрөсүндө жүзөгө ашырылган улуттук (мамлекеттик) программалардын (ЧУА) үлүшү</t>
  </si>
  <si>
    <t>Мамлекеттик жана муниципалдык кызматкерлердин сапаттык курамы жөнүндө кварталдык жана жылдык статистикалык маалыматтарды түзүү жана талдоо</t>
  </si>
  <si>
    <t xml:space="preserve">Берилген мамлекеттик органдардын жана жергиликтүү өз алдынча башкаруу органдарынын үлүшү
</t>
  </si>
  <si>
    <t>Коррупцияны алдын алуу чөйрөсүндө мамлекеттик саясатты жүзөгө ашыруу боюнча МККнын ишин координациялоо</t>
  </si>
  <si>
    <t>Коррупцияга каршы аракеттенүү Планынын иш-чараларынын пайызы</t>
  </si>
  <si>
    <t>Кадр саясатты аймактык деңгээлде жүзөгө ашыруу (БАӨ, ТүшАӨ, ТүнАӨ)</t>
  </si>
  <si>
    <t>Планга карата  мамлекеттик органдарда жана ЖӨБ органдарында өткөрүлгөн мониторингдердин үлүшү</t>
  </si>
  <si>
    <t>Планга карата  өткөрүлгөн окутуу жана практикалык семинарлардын үлүшү</t>
  </si>
  <si>
    <t>Түшкөн даттануулардын санына карата  каралган даттануулардын үлүшү</t>
  </si>
  <si>
    <t xml:space="preserve">60. Кыргыз Республикасынын Өкмөтүнө караштуу Архитектура, курулуш жана турак жай - коммуналдык чарба мамлекеттик агенттиги </t>
  </si>
  <si>
    <t xml:space="preserve">Пландоо, башкаруу жана администрациялоо  </t>
  </si>
  <si>
    <t xml:space="preserve">Программанын максаттары: Башка программаларды ишке ашырууга координациялоочу жана уюштуруучу таасир этүү </t>
  </si>
  <si>
    <t xml:space="preserve">Эмгектик талаш-тартыштар боюнча утуп алган сот  процесстеринин үлүшү </t>
  </si>
  <si>
    <t xml:space="preserve">ЖМКларда министрликтерди/ведомстволорду оң эскерүүлөрдүн саны </t>
  </si>
  <si>
    <t xml:space="preserve">Ишти уюштуруу жана камсыз кылуу  кызматтары </t>
  </si>
  <si>
    <t xml:space="preserve"> Мониторинг, талдоо жана   стратегиялык пландоону камсыз кылуу</t>
  </si>
  <si>
    <t xml:space="preserve">Региондук деңгээлде жалпы   координациялоо </t>
  </si>
  <si>
    <t xml:space="preserve">61. Кыргыз Республикасынын Өкмөтүнө караштуу Экономикалык кылмыштуулукка каршы күрөшүү боюнча мамлекеттик кызматы </t>
  </si>
  <si>
    <t>Калк ишенимнин индекси</t>
  </si>
  <si>
    <t xml:space="preserve">Катталгандардын жалпы санына карата оперативдүү жол аркылуу табылган  экономикалык жана коррупциялык укук бузуулардын үлүшү </t>
  </si>
  <si>
    <t xml:space="preserve">Катталгандардын жалпы санына карата оперативдүү жол аркылуу табылган  козголгон кылмыш ишинин үлүшү   </t>
  </si>
  <si>
    <t xml:space="preserve">Экономикалык жана коррупциялык укук бузууларды  алдын алуунун жана өз учурунда жоюунун натыйжалуулугун жогорулатуу </t>
  </si>
  <si>
    <t>Ачылган кылмыштардын жалпы санынан коомчулукка маалымдоо үчүн ЖМКга берилген материалдардын үлүшү</t>
  </si>
  <si>
    <t xml:space="preserve">Коррупцияга каршы багытта социалдык видеороликтерди түзүү </t>
  </si>
  <si>
    <t>62. Кыргыз Республикасынын Өкмөтүнө караштуу Санитардык, ветеринардык жана фитосанитардык коопсуздук боюнча мамлекеттик инспекция</t>
  </si>
  <si>
    <t>001 программасы боюнча эмгек акыга чыгымдардын бардык програмалар боюнча эмгек акыга чыгымдардын суммасына карата катышы</t>
  </si>
  <si>
    <t>Мониторинг, көзөмөл жана ветеринардык жана фитосанитардык коопсуздукту камсыз кылуу</t>
  </si>
  <si>
    <t>ЕАЭБ жана үчүнчү өлкөлөрдүн ишканаларынын реестрине Кыргыз Республикасынын жаңы ишканаларын (анын ичинде мал союучу жайларды) киргизүү.</t>
  </si>
  <si>
    <t>Мал азыктарына ветеринардык-санитардык экспертизаларды уюштурууну көзөмөлдөө</t>
  </si>
  <si>
    <t>Эпизоотикалык бакубатчылыкты, азык-түлүк коопсуздугун камсыз кылуу, ошондой эле адамдар менен жаныбарларга мүнөздүү болгон ооруларды контролдоо.</t>
  </si>
  <si>
    <t>Текшерилген ишкердик субъекттеринин саны</t>
  </si>
  <si>
    <t>Ветеринардык жана фитосанитардык көзөмөлдүн натыйжалуулугун жогорулатуу</t>
  </si>
  <si>
    <t xml:space="preserve">Эпизоотияга каршы иш-чараларды контролдоо </t>
  </si>
  <si>
    <t>Оорунун чыгышынын саны</t>
  </si>
  <si>
    <t>Эмделген жаныбарлардын саны</t>
  </si>
  <si>
    <t>млн.баш</t>
  </si>
  <si>
    <t>Жаныбарларды ветеринардык диагностикалоону өткөрүү</t>
  </si>
  <si>
    <t xml:space="preserve">Өткөрүлгөн ветеринардык-диагностикалык изилдөөлөрдүн саны </t>
  </si>
  <si>
    <t>миң баш</t>
  </si>
  <si>
    <t>Ветеринардык диагностикалоодон өткөн жаныбарлардын саны</t>
  </si>
  <si>
    <t>млн. баш</t>
  </si>
  <si>
    <t>Айыл чарба жаныбарларын идентификациялоо</t>
  </si>
  <si>
    <t>63. Кыргыз Республикасынын Маалыматтык технологиялар жана байланыш мамлекеттик комитети</t>
  </si>
  <si>
    <t>Башка программалар  боюнча учурдагы чыгашалардын суммасына карата Программа 1 боюнча  учурдагы чыгашалардын катышы</t>
  </si>
  <si>
    <t>Мамлекеттик саясатты ишке ашыруу жана маалыматташтыруу, электрондук башкаруу, электрондук колтамга, электрондук өкмөт, электрондук кызмат көрсөтүүлөр, электр жана почта байланышы, анын ичинде радио жана теле берүүлөр жаатында тармактар аралык координациялоону аткаруу</t>
  </si>
  <si>
    <t>Иштеп жаткан маалымат системаларынын, порталдарынын саны</t>
  </si>
  <si>
    <t>Маалыматтык системаларды түзүү, модернизациялоо, эксплуатациялоо жана  техникалык колдоо</t>
  </si>
  <si>
    <t>Санариптик трансформациялоо жолу менен модернизацияланган мамлекеттик органдардын башкаруучулук процесстеринин саны</t>
  </si>
  <si>
    <t>Санарип экономика</t>
  </si>
  <si>
    <t>Санарип экономика боюнча иш-чараларды аткаруу</t>
  </si>
  <si>
    <t>Кыргызстандын калктуу конуштарын байланыш (уюлдук) кызмат көрсөтүүлөрү менен орточо камтуу  %</t>
  </si>
  <si>
    <t>Электр жана почта байланышын жөнгө салуу ишке ашыруу</t>
  </si>
  <si>
    <t xml:space="preserve">Электр жана почта байланышы жаатындагы лицензия алуучулардын саны. </t>
  </si>
  <si>
    <t>Жабдуу жана байланыш кызмат көрсөтүүлөрүнө шайкештик сертификаттарын берүү</t>
  </si>
  <si>
    <t xml:space="preserve">Бөлүп берилген номерлештирүүнүн саны </t>
  </si>
  <si>
    <t>Бөлүп берүүгө мүмкүн болгон радио жыштыктарды тандоо</t>
  </si>
  <si>
    <t>Бир жылда берилген сертификаттардын саны</t>
  </si>
  <si>
    <t>Долбоору "Digital CASA - Кыргыз Республикасы"</t>
  </si>
  <si>
    <t>факт б-ча</t>
  </si>
  <si>
    <t>64. Кыргыз Республикасынын Дин иштери боюнча мамлекеттик комиссиясы</t>
  </si>
  <si>
    <t>Жалпы жетекчиликти жана   финансылык менеджментти камсыз кылуу</t>
  </si>
  <si>
    <t>Кызматкерлердин жалпы санындагы жардамчы персоналдын үлүшү</t>
  </si>
  <si>
    <t xml:space="preserve">66. Кыргыз Республикасынын Өкмөтүнүн Сот өкүлчүлүк борбору  </t>
  </si>
  <si>
    <t xml:space="preserve">Эл аралык жана жергиликтүү  сот органдарында  Кыргыз Республикасынын Өкмөтүнүн,  ошондой эле  Кыргыз Республикасынын  укуктарын жана кызыкчылыктарын  коргоо жана жактоо                                    </t>
  </si>
  <si>
    <t xml:space="preserve">Алардын жалпы санына жеңип чыккан сот иштеринин катышынын натыйжалуулук индикатору </t>
  </si>
  <si>
    <t xml:space="preserve">Талаш -тартыштардын кыйла жагымдуу чечилиши үчүн  эл аралык жана  жергиликтүү сотторго катышуу </t>
  </si>
  <si>
    <t xml:space="preserve">Утуп чыккан сот иштеринин  санынын натыйжалуулук индикатору </t>
  </si>
  <si>
    <t>68. ЮНЕСКО иштери боюнча Кыргыз Республикасынын улуттук комиссиясынын катчылыгы</t>
  </si>
  <si>
    <t xml:space="preserve">Финансылык менеджментти жана эсепти камсыз кылуу  </t>
  </si>
  <si>
    <t>70. Кыргыз Республикасынын стратегиялык изилдоолор улуттук институту</t>
  </si>
  <si>
    <t>Жалпы жетекчиликти, финансалык менеджментти  жана эсепке алууну камсыздоо</t>
  </si>
  <si>
    <t>Натыйжалуулук индикатрлорунун аткаруу пайызы</t>
  </si>
  <si>
    <t>Аналитикалык жана маалыматтык жогорку бийлик органдарынын колдоо иштери</t>
  </si>
  <si>
    <t>Натыйжалуулук индикаторлору(программалар боюнча индикаторлор)</t>
  </si>
  <si>
    <t>Ички жана тышкы саясатта приоритеттуу экономика тармагында изилдоолроду жургузуу</t>
  </si>
  <si>
    <t>Изилдоолор азыктарынын саны(отчеттор,аналитикалык каттар,тил каттар,сунуштар,макалалар,баяндамалар)методикалык аманаттар ж.б.экономика жана социалдык жаатындагы чойро</t>
  </si>
  <si>
    <t>71. Кыргыз Республикасынын Өкмөтүнө караштуу Финансылык чалгындоо мамлекеттик кызматы</t>
  </si>
  <si>
    <t xml:space="preserve">Финансылык чалгындоо мамлекеттик кызматынын  ишин талаптагыдай камсыз кылуу </t>
  </si>
  <si>
    <t xml:space="preserve">Тышкы байланышты жана коомчулук менен байланыштарды колдоо </t>
  </si>
  <si>
    <t>ЖМКга  жарыяланган материалдардын саны, Коомдук кенеш менен өткүлгөн жыйындардын саны</t>
  </si>
  <si>
    <t>зарылдыгына жараша</t>
  </si>
  <si>
    <t>Мониторинг, талдоо жана   стратегиялык пландоону камсыз кылуу</t>
  </si>
  <si>
    <t>Даярдалган документтердин саны (аналитикалык документтер жана ведомствонун иш-пландары)</t>
  </si>
  <si>
    <t>Финансылык чалгындоо мамлекеттик кызматынын ишин модернизациялоо</t>
  </si>
  <si>
    <t xml:space="preserve">Укук коргоо органдарына  жиберилүүчү  материалдардын сапатын жакшыртуунун эсебинен кылмыштуу кирешелерди легализациялоого (адалдоого) жана террористтик же экстремисттик ишти каржылоого каршы аракеттенүү боюнча  чаралардын  натыйжалуулугун жогорулатуу </t>
  </si>
  <si>
    <t xml:space="preserve">Укук коргоо органдарына  даярдалган жана  жөнөтүлгөн жалпыланган жана кошумча жалпыланган  материалдын саны </t>
  </si>
  <si>
    <t xml:space="preserve">Кылмыштуу кирешелерди легализациялоого (адалдоого) жана террористтик же экстремисттик ишти каржылоого каршы аракеттенүү чөйрөсүндө ченемдик укуктук базаны өркүндөтүү </t>
  </si>
  <si>
    <t xml:space="preserve">Иштеп чыгуу жана тийиштүү өзгөртүүлөрдү жана толуктоолорду  киргизүү зарыл болгон  ченемдик  укуктук актылардын саны  </t>
  </si>
  <si>
    <t>ЧУА</t>
  </si>
  <si>
    <t xml:space="preserve">Кылмыштуу кирешелерди легализациялоого (адалдоого) жана террористтик же экстремисттик ишти каржылоого каршы аракеттенүү чөйрөсүндө эл аралык милдеттенмелерди  тийиштүү аткаруу боюнча  укуктук жана институционалдык негиздерди өркүндөтүү   </t>
  </si>
  <si>
    <t xml:space="preserve">Кылмыштуу кирешелерди легализациялоого (адалдоого) жана террористтик же экстремисттик ишти каржылоого каршы аракеттенүү чөйрөсүндө эл аралык уюмдар жана чет мамлекеттердин финансылык чалгындоо бөлүктөрү менен өз ара аракеттешүүнү күчөтүү </t>
  </si>
  <si>
    <t xml:space="preserve">Жаңы автоматташтырылган иш орундар системасын, электрондук документтерди жүгүртүү  жана аналитикалык  инструменттерди киргизүү </t>
  </si>
  <si>
    <t xml:space="preserve">Контролдоого жана билдирүүгө тийиштүү болгон операциялар (бүтүмдөр) тууралуу иштелип чыккан маалыматтардын саны </t>
  </si>
  <si>
    <t xml:space="preserve">Финансылык чалгындоо мамлекеттик кызматынын Бирдиктүү маалыматтык системасында маалыматты топтоо жана сактоо системасын өнүктүрүү </t>
  </si>
  <si>
    <t xml:space="preserve">Контролдоого жана билдирүүгө тийиштүү болгон операциялар (бүтүмдөр) тууралуу кабыл алынган билдирүүлөрдүн саны </t>
  </si>
  <si>
    <t>72. КР Өкмөтүнө караштуу Монополияга каршы жөнгө салуу мамлекеттик агенттиги боюнча бюджеттик программаларынын жана чаралардын тузуму</t>
  </si>
  <si>
    <t>жарыяланган эмес</t>
  </si>
  <si>
    <t xml:space="preserve">Финансылык менеджментти жана эсепке алууну камсыздоо </t>
  </si>
  <si>
    <t xml:space="preserve">Эмгек талаш-тартыштары боюнча утуп алган сот процесстеринин үлүшү  </t>
  </si>
  <si>
    <t xml:space="preserve">Укуктук колдоону камсыздоо жана мамлекеттик сатып алууну жузого ашыруу </t>
  </si>
  <si>
    <t xml:space="preserve">Иштерди уюштуруу жана камсыздоо кызматы </t>
  </si>
  <si>
    <t>Коррупциянын алдын алуу</t>
  </si>
  <si>
    <t xml:space="preserve">Борбордук аппараттын кызматкерлеринин жалпы санынан камсыздоо кызматынын кызматкерлеринин үлүшү </t>
  </si>
  <si>
    <t>Ишке ашкан иш-чаралардын саны</t>
  </si>
  <si>
    <t>"Коррупция жөнүндө" КР М 11-беренесинин тиешелүү  талаптарына чарбакер субьекттерди экспертизалоонун саны </t>
  </si>
  <si>
    <t>ЕЭК аткарылган актылардын (чечимдердин протоколдору) саны  </t>
  </si>
  <si>
    <t>КР областарында аймактык окулчулук кызматкерлеринин орточо саны</t>
  </si>
  <si>
    <t>Монополияга каршы жана баардык жонго салуу жаатында мыйзамдардын сакталышын камсыздоо</t>
  </si>
  <si>
    <t>Натыйжалуулук индикаторлору( чаралар боюнча максаттуу индикаторлор)</t>
  </si>
  <si>
    <t>Натыйжалары ишинин жыйынтыгы боюнча кабыл алынган чечимдин аткаруу санын кобойтуу</t>
  </si>
  <si>
    <t>Атаандаштык чойросунун абалын талдоо жана ЕЭК менен оз ара кызматташуу</t>
  </si>
  <si>
    <t>Сынактын абалын талдоодогу саны</t>
  </si>
  <si>
    <t>планга ылайык</t>
  </si>
  <si>
    <t>Тушконотунмолордун жалпы санынын атаандаштык боюнча арыздарды кароо</t>
  </si>
  <si>
    <t>"Жарнама жонундо" КР мыйзамдарын бузуунун жалпы саны</t>
  </si>
  <si>
    <t>тушуруусуно жараша</t>
  </si>
  <si>
    <t>Жарандык коомдордон тушкон арыздардын жалпы санынан он тарапка каралган арыздардын улушу</t>
  </si>
  <si>
    <t>Чарбакер субьектер арасында атаандаштыкты чектеген табылган табылган тартип бузуулардын улушу.</t>
  </si>
  <si>
    <t>Тушкон арыздардын жалпы санынан ак ниет эмес атаандаштык боюнча он каралган арыздардын улушу</t>
  </si>
  <si>
    <t>Табылган тартип бузуулардын жалпы санынан "Керектоочулордун укутарын коргоо жонундо" КР мыйзам бузууларынан жоюлгандардын улушу</t>
  </si>
  <si>
    <t>КМШ олколорунун жана алыскы чет олколорунун атаандаштык ведомстволору менен оз ара кызматташуу</t>
  </si>
  <si>
    <t>Тиешелуу документтерди тузуу зарылдыгына жараша</t>
  </si>
  <si>
    <t>Белгиленген баалардын (тарифтердин) саны</t>
  </si>
  <si>
    <t>Контрактардын макулдашылган формаларынын саны</t>
  </si>
  <si>
    <t>Негиздуу баалар (тарифтер) боюнча макулдашылган кызматтардын саны</t>
  </si>
  <si>
    <t>73. Кыргыз Республикасынын Өкмөтүнө караштуу Мамлекеттик миграция кызматы</t>
  </si>
  <si>
    <t xml:space="preserve">Жалпы жетекчиликти камсыз кылуу, финансылык менеджментти жана эсепти камсыз кылуу, адам ресурстарын башкаруу, укуктук колдоо, тышкы байланышты жана коомчулук менен байланыштарды колдоо,  мониторинг, талдоо жана   стратегиялык пландоону камсыз кылуу, ишти уюштуруу жана камсыз кылуу  кызматтары </t>
  </si>
  <si>
    <t>Ведомствонун ишмердигин ЖМКларда чагылдыруулардын саны</t>
  </si>
  <si>
    <t>Системалуу саясий коррупцияны демонтаждоо боюнча планды аткаруу</t>
  </si>
  <si>
    <t>Кыргыз Республикасынын Миграциялык саясат концепциясынын биринчи этабын ишке ашыруу боюнча беш жолку иш-чаралардын планын иштеп чыгуу, Мекендештер форумун өткөрүү менен чет жердеги мекендештерди жана диаспораларды колдоо жаатында бирдиктүү саясат иш-чараларын иштеп чыгуу жана жүзөгө ашыруу</t>
  </si>
  <si>
    <t>Стратегиялык документтердин саны (стратегия, концепция, мамлекеттик программалар)</t>
  </si>
  <si>
    <t>1        
61370</t>
  </si>
  <si>
    <t>Чет элдик жумушчу күчүн тартуу жана колдонуу процесстерин жөнгө салуу, иммигранттын статусун кароо, заманбап санариптик шаймандарды киргизүү, мамлекеттик кызматтарды көрсөтүү</t>
  </si>
  <si>
    <t>Чет өлкөлүк жарандарга жана жарандыгы жок адамдарга каралган уруксат документтеринин саны, берилген иммигрант статусу</t>
  </si>
  <si>
    <t>Иммигранттардын (этникалык кыргыздар, кайрылмандар) жана качкындардын корголушун жана укуктарын камсыз кылуу</t>
  </si>
  <si>
    <t>Каралган жана берилген документтердин саны (качкын статусу)</t>
  </si>
  <si>
    <t>Берилген документтердин саны (кайрылман күбөлүгү),</t>
  </si>
  <si>
    <t>КР жарандарынын мыйзамдуу укуктарын, кызыкчылыктарын коргоо жана Россия Федерациясындагы миграция жана эмгек ишмердиги маселелери боюнча көмөк көрсөтүү</t>
  </si>
  <si>
    <t>Колдоо жана кеңеш алуу үчүн кайрылган Кыргыз Республикасынын жарандарынын саны</t>
  </si>
  <si>
    <t>Россия Федерациясынын аймагына кирүүгө чектөө коюлган жарандардын саны (кара тизме)</t>
  </si>
  <si>
    <t>Өкүлчүлүктүн жардамы менен калыбына келтирилген суммалардын суммасы</t>
  </si>
  <si>
    <t xml:space="preserve">Эмгектин тышкы рыногунда КР жарандарынын ишке орношуусуна көмөк көрсөтүү,                                      КР жарандарынын денелерин мекенине жеткирүүгө байланышкан чыгашаларга компенсацияларды төлөө </t>
  </si>
  <si>
    <t xml:space="preserve">Тышкы эмгек миграциясы жана уюштурулган жумушка орноштуруу маселелери боюнча консультация алышкан жарандардын саны </t>
  </si>
  <si>
    <t>74. Кыргыз Республикасынын Улуттук статистика комитети</t>
  </si>
  <si>
    <t>Улутстаткомдун системасынын ишмердигин уюштуруу жана  координациялоо. (Финансылык, адамдык жана укуктук менеджментти  камсыздоо)</t>
  </si>
  <si>
    <t xml:space="preserve">Чыгаруу графигине ылайык өз убагында чыгарыла турган статистикалык маалыматтын үлүшү. </t>
  </si>
  <si>
    <t>Калктын жалпы санынан статистикалык маалыматты пайдалануучулардын үлүшү.</t>
  </si>
  <si>
    <t>Расмий статистикалык маалыматка карата пайдалануучулардын ишениминин индекси</t>
  </si>
  <si>
    <t>Облустук жана региондук деңгээлде жалпы  координация.</t>
  </si>
  <si>
    <t xml:space="preserve">Чогултула турган баштапкы (чарбалык субъектилердин) маалыматтын саны                                                                                                                                </t>
  </si>
  <si>
    <t>миң бирдик</t>
  </si>
  <si>
    <t>Мамлекеттик статистикалык каттоого даярдык көрүү жана өткөрүү</t>
  </si>
  <si>
    <t xml:space="preserve">Чогултула турган (каттоонун субъектилеринин) маалыматтын саны </t>
  </si>
  <si>
    <t>Статистикалык көрсөткүчтөрдү чогултуу жана техникалык жактан иштеп чыгуу  (КР УСК БЭБ)</t>
  </si>
  <si>
    <t xml:space="preserve">Техникалык-экономикалык жана социалдык маалыматтын классификаторлорун СББМРга (Статистикалык бирдиктердин Бирдиктүү мамлекеттик регистри) киргизүү, коштоо жана контролдоо. Статистикалык регистрге киргизилген чарбалык субъекттердин саны. </t>
  </si>
  <si>
    <t>Статистикалык маалыматтын сапаты</t>
  </si>
  <si>
    <t xml:space="preserve">Базалык статистикалык көрсөткүчтөр,  керектөө рыногунун статистикасы, үй чарбалары, айыл чарбалары, эмгек жана жумуштуулук, өнөр жай, курулуш жана инвестициялар, тышкы соода, экономикалык өнүгүү, социалдык өнүгүү статистикасы жана   курчап турган чөйрө статистикасы боюнча маалыматты  талдоо                                  </t>
  </si>
  <si>
    <t>Экономикалык ишмердиктин түрлөрү жана экономиканын институционалдык секторлору боюнча улуттук эсептер системасынын көрсөткүчтөрүн түзүү,  керектөө рыногу,  үй чарбалары,  эмгек жана жумуштуулук боюнча,  курулуш жана инвестициялар боюнча, экономикалык өнүгүү боюнча, реалдуу жана финансы сектору боюнча,  социалдык өнүгүү боюнча,  курчап турган чөйрө боюнча, туризм жана өзгөчө кырдаал статистикасы боюнча респонденттердин саны.  Басылмалардын саны</t>
  </si>
  <si>
    <t>Эл аралык стандарттарды өздөштүрүү (эл аралык уюмдар тарабынан түзүлгөн статистикалык жыйнактардын шайкеш келтирилген көрсөткүчтөрдүн толтурулушу)</t>
  </si>
  <si>
    <t>Статистикалык маалыматты чогултуу үчүн статистикалык байкоолордун жаңы заманбап методдорун ишке киргизүү</t>
  </si>
  <si>
    <t>Статистикалык маалыматты чогултуу, иштетүү жана талдоо методикасын өркүндөтүү</t>
  </si>
  <si>
    <t>Иштелип чыккан методикалардын жана сунуштардын жалпы санынан стат.органдардын күндөлүк ишине киргизилген жаңы методикалардын үлүшү</t>
  </si>
  <si>
    <t>Стат.органдардын кызматчыларынын  квалификациясын жогорулатуу</t>
  </si>
  <si>
    <t>Керектөөдөн квалификациясын жогорулаткан, стат.органдардын кызматчыларынын үлүшү</t>
  </si>
  <si>
    <t>Иш-чаралардын саны</t>
  </si>
  <si>
    <t>75.  Кыргыз Республикасынын Мамлекеттик мүлктү башкаруу боюнча фонд</t>
  </si>
  <si>
    <t xml:space="preserve">Мамлекеттик мүлктү натыйжалуу башкаруу жана менчиктештирүү болюнча мамлекеттик саясатты ишке ашыруу  </t>
  </si>
  <si>
    <t xml:space="preserve">Бардык программалар боюнча эмгек акы төлөмүнө 001 чыгымдардын суммасына Программа боюнча эмгек акы чыгашаларына катышы  </t>
  </si>
  <si>
    <t xml:space="preserve">Бюджеттин аткарылыш пайызы </t>
  </si>
  <si>
    <t xml:space="preserve">Ички контролдоо, стратегиялык, узак мөөнөттүү жана жылдык өнүгүү пландар системасына сереп жана баалоо  </t>
  </si>
  <si>
    <t xml:space="preserve">Республиканын бюджетине мамлекет катышкан акционердик коомдордун акцияларынын мамлекеттик пакетине дивиденддердин түшүүсү  </t>
  </si>
  <si>
    <t xml:space="preserve">Республиканын бюджетине мамлекеттик ишканалардын таза пайдасынан түшүүсү  </t>
  </si>
  <si>
    <t xml:space="preserve">Мамлекеттик мүлктү менчиктештирүүдөн каражаттардын түшүүсү  </t>
  </si>
  <si>
    <t xml:space="preserve">Мамлекеттик мүлктү ижарага берүүдөн каражаттардын түшүүсү  </t>
  </si>
  <si>
    <t>76. Кыргыз Республикасынын Өкмөтүнө караштуу Мамлекеттик материалдык резервдер фонду</t>
  </si>
  <si>
    <t xml:space="preserve">Пландоо, башкаруу жана администрациялоо                                                                                                                               
Программанын максаттары: Башка программаларды ишке ашырууга координациялоочу жана уюштуруучу таасир этүү </t>
  </si>
  <si>
    <t>Өкмөттүн иш-чараларынын аткарылышынын деңгээли жана төраганын иш планы/милдеттенмеси</t>
  </si>
  <si>
    <t>Региондук деңгээлде жалпы координациялоо</t>
  </si>
  <si>
    <t xml:space="preserve">Кызматкерлеринин жалпы санынан региондук кызматкерлердин үлүшү </t>
  </si>
  <si>
    <t>Кыргыз Республикасынын мобилизациялык муктаждыгын камсыз кылуу</t>
  </si>
  <si>
    <t>Мамлекеттик резервдин материалдык баалуулуктарын башкаруу</t>
  </si>
  <si>
    <t>Материалдык баалуулуктарды топтоо (мам.резервдер)</t>
  </si>
  <si>
    <t>Мобилизациялык резервдин материалдык баалуулуктарын башкаруу</t>
  </si>
  <si>
    <t>Материалдык баалуулуктарды топтоо (моб.резервдер)</t>
  </si>
  <si>
    <t>Мамматрезервдерди орнотуу, топтоо, сактоо жана колдонууну уюштуруу  (ММРФ- "Азык-түлүк  программасы")</t>
  </si>
  <si>
    <t xml:space="preserve">Материалдык баалуулуктарды ченемге чейин жеткирүү </t>
  </si>
  <si>
    <t>77. Кыргыз Республикасынын Жогорку аттестациялык комиссиясы</t>
  </si>
  <si>
    <t>Бардык  программа боюнча эмгек акыга чыгымдардын суммасына 001 Програама боюнча эмгек акыга чыгымдардын катышы</t>
  </si>
  <si>
    <t xml:space="preserve">Эмгектик талаш-тартыштар боюнча утуп алган сот процессинин  үлүшү/кызматкерлерди кызматка алуу/кызматтан алуу боюнча процедураларды бузбай откоруу менен кадрлык эсепти уюштуруу </t>
  </si>
  <si>
    <t xml:space="preserve">Жеңип алган сот иштеринин алардын санына карата катышы/ЖАКтын Президиумунун чечимдерине карата келип тушкон аппеляцияларды белгиленген моонотто кароонун пайызы </t>
  </si>
  <si>
    <t>Экспертик кеңештердин корутундусуна ЖАК  Президиумунун чечимдеринин жана оң чечимдерге берилген дипломдордун пайызы</t>
  </si>
  <si>
    <t xml:space="preserve"> Диссертац.  жана  эксперттик кеңештердин ишин уюштуруу, илимий даража, наамдарды ыйгаруу</t>
  </si>
  <si>
    <t xml:space="preserve"> Диссертация иштерин  жана  аттестация иштерин мөөнөтүндө кароо менен түшкөн иштердин жалпы санына карата катышы </t>
  </si>
  <si>
    <t xml:space="preserve"> Илимий жана илимий-педагогикалык кадрларды   аттестациялоо маселеси боюнча  эл аралык келишимдерди даярдоо жана түзүү</t>
  </si>
  <si>
    <t>Эл аралык түзүлгөн келишимдердин саны</t>
  </si>
  <si>
    <t xml:space="preserve"> "Антиплагиат" программалар б-ча электр прог. жана  материалдык базасын киргизүү жана пайдалануу</t>
  </si>
  <si>
    <t xml:space="preserve"> "Антиплагиат" прог б-ча материалдык  базас жана текш диссер иштер санариптелген саны</t>
  </si>
  <si>
    <t>Улуттук коопсуздукту камсыз кылуу жаатында бирдиктүү мамлекеттик саясатты жүзөгө ашыруу боюнча Кыргыз Республикасынын Коопсуздук Кеңешинин ишин камсыз кылуу</t>
  </si>
  <si>
    <t xml:space="preserve">КР Коопсуздук кеңешинин жыйынында каралган маселелердин саны </t>
  </si>
  <si>
    <t>ШКУ, ЖККУ жана КМШ өлкөлөрү менен кызматташуунун алкагындагы эки тараптуу жана көп тараптуу жолугушуулардын саны</t>
  </si>
  <si>
    <t>80. Кыргыз Республикасынын Улуттук илимдер академиясы</t>
  </si>
  <si>
    <t xml:space="preserve">Пландоо, башкаруу жана администрлөө                                                                                                                              
</t>
  </si>
  <si>
    <t xml:space="preserve"> бюджеттик программа боюнча натыйжалуулук индикаторлорунун аткарылыш %</t>
  </si>
  <si>
    <t>Жаш кадрларды тартуу</t>
  </si>
  <si>
    <t xml:space="preserve">Кыргыз Республикасынын Улуттук илимдер академиясынын илимий мекемелеринин илимий-уюштуруу иштерин координациялоо </t>
  </si>
  <si>
    <t>Чыгарылган токтомдордун саны</t>
  </si>
  <si>
    <t>д</t>
  </si>
  <si>
    <t xml:space="preserve">Кыргыз Республикасынын Улуттук илимдер академиясынын илимпоздорунун эл аралык илимий кызматташуусун уюштуруу </t>
  </si>
  <si>
    <t>УИА чет элдик илимий уюдарда мүчолүгү</t>
  </si>
  <si>
    <t>Технологиялык иштеп чыгууларлы өндурушкө киргизүү</t>
  </si>
  <si>
    <t xml:space="preserve">Ири ГЭСтер жайгашкан райондордогу сейсмикалык коркунучту баалоо жана инженердик-сейсмикалык кызматты түзүү </t>
  </si>
  <si>
    <t xml:space="preserve">Суу ресурстарын талдоо жана суу ресурстарын башкарууну контролдоо методдорун жана каражаттарын түзүү. Сары-Жаз дарыясында гидроэнергетикалык ресурстарды сарамжалдуу өздөштүрүүнүн илимий негиздери </t>
  </si>
  <si>
    <t xml:space="preserve">Жогорку вольттук энергетикалык объектилердин  жабдууларына автоматташкан  мониторинг системасын иштеп чыгуу.   Аэрокосмостук видеомаалыматтардын иштетүү жана сактоонун  структурасын жана методдорун  изилдөө жана иштеп чыгуу    </t>
  </si>
  <si>
    <t>Геологиялык картага жаны изилдоолор саны.</t>
  </si>
  <si>
    <t xml:space="preserve">Химия-технол мед-биол жана айыл чарба изилдөөлөрүн өнүктүрүү </t>
  </si>
  <si>
    <t xml:space="preserve">Кыргызстандагы өсүмдүктөрдү интродукциялоо, селекциялоо жана сактоо. Аларды сактоо жана туруктуу пайдалануу максатында Кыргызстандын токой өсүмдүк ресурстарын  изилдөө.  Жаратылыш запастарын талдоо жана Кыргызстандын пайдалуу жана дарылык өсүмдүктөрүнөн турган биоактивдүү бирикмелерди алуу технологиясын иштеп чыгуу </t>
  </si>
  <si>
    <t>Дарак жана бадал өсүмдүктөрүнүн көчөттөрү, отун, мөмө жемиш өсүмдүктөрү, дары өсүмдүктөрү, жайылып өскөн чөп өсүмдуктөрү, розалар, гүл өсүмдүктөрүнүн уруктары   Көчөттөр, отун</t>
  </si>
  <si>
    <t>мин сом</t>
  </si>
  <si>
    <t>Кыргызстанда  өсүмдүктөрдү интродукциялоо жана селекциялоо жана сактоо.  Сактоо жана туруктуу колдонуу үчүн Кыргызстандын  токой өсүмдүктөрүнүн ресурстарын  изилдөө. Кыргызстандын  жаратылыш запастарын изилдөө жана пайдалуу жана дары өсүмдүктөрүнөн биоактивдүү кошулмаларды алуу технологияларын  иштеп чыгуу</t>
  </si>
  <si>
    <t>Уйлардын биоаттестациясын өткөрүү. Өсүмдүктөрдүн коллекциялык фондун толтуруу.</t>
  </si>
  <si>
    <t xml:space="preserve">Минералдык жана органикалык чийки заттарды комплекстик кайра иштетүүнүн инновациялык технологияларын иштеп чыгуу; адаптациялык мүмкүнчүлүктөрдү  оптималдаштыруу каражаттарын иликтөө жана тоо калкынын жашоосунун сапатын жогорулатуу </t>
  </si>
  <si>
    <t>Активдештирилген көмүрдү алуу үчүн карбонизаттарды (таш көмүрдү) активдештирүүнүн жаңы жолун иштеп чыгуудагы өткөрүлгөн мамэкспертизалардын саны.Тоодо жашаган элдердин адаптациялык мүмкүнчүлүктөрүн жана жашоосунун сапатын оптимизациялоо үчүн каражаттарды издөө</t>
  </si>
  <si>
    <t>Гумманитардык изилдөөнү өнүктүрүү</t>
  </si>
  <si>
    <t>Жарыялоо (статья, монография, окуу материал)</t>
  </si>
  <si>
    <t xml:space="preserve">Кыргыздардын жана Кыргызстандын байыркы замандан  тартып азыркв күнгө чейинки тарыхын изилдөө; изилдөө проблемалары, Кыргызстандын маданий мурасын пайдалануу. Кыргыз Республикасынын рыноктук институттарынын өнүктүрүүнүн жана өркүндөтүү проблемаларынын өзгөчөлүгү </t>
  </si>
  <si>
    <t>Мыйзамдарды мамлекеттик экспертизадан откоруу</t>
  </si>
  <si>
    <t xml:space="preserve">Илимдин методология маселелерин изилдөө жана тоолуу райондордо социалдык изилдөөлөрдү жүргүзүү </t>
  </si>
  <si>
    <t>"КР де этникалар арасы конфликттер:социологиялык  анализ" "Кыргызстандын экономикасы:табыгый ресурстардын рационалдуу колдонуу проблемалары" темалары боюнча чыгарылган илимий иштер</t>
  </si>
  <si>
    <t xml:space="preserve">Регионалдык тарыхый-философиялык,  этно-лингвистикалык жана социалдык-экономикалык проблемаларды изилдөө  </t>
  </si>
  <si>
    <t xml:space="preserve">Өткөрүлгөн илимий конференциялардын саны </t>
  </si>
  <si>
    <t>81.  Кыргыз Республикасынын Президентинин жана Өкмөтүнүн Иш башкармасынын Клиникалык ооруканасы</t>
  </si>
  <si>
    <t>Медициналык кызматтарды көрсөтүү  системасын оптималдаштыруу жана Клиникалык оорукана тарабынан көрсөтүлүүчү кызматтардын сапатын жогорулатуу.</t>
  </si>
  <si>
    <t xml:space="preserve">Дарыланган бейтаптардын саны </t>
  </si>
  <si>
    <t>82. Кыйноолорду жана башка катаал, адамкерчиликсиз же кадыр-баркты басмырлаган мамиленин жана жазанын түрлөрүнүн алдын алуу боюнча Кыргыз Республикасынын Улуттук борбору</t>
  </si>
  <si>
    <t>Бардык программалар боюнча эмгек акыга чыгымдардын суммасына карата 001 Программа боюнча эмгек акыга чыгымдардын катышы</t>
  </si>
  <si>
    <t>Калктын ишениминин индекси</t>
  </si>
  <si>
    <t>Бюджетти эреже бузууларсыз аткаруу пайызы</t>
  </si>
  <si>
    <t>Эмгек талаш-тартыштары боюнча утуп алган сот процесстеринин үлүшү</t>
  </si>
  <si>
    <t>Утуп алган сот иштеринин алардын жалпы санына карата катышы</t>
  </si>
  <si>
    <t>Тышкы байланыштарды колдоо жана коомчулук менен байланышуу</t>
  </si>
  <si>
    <t>Министрликтердин/ведомств.-дун жалпыга маалымдоо каражаттарында жакшы мааниде чагылдыруулардын саны</t>
  </si>
  <si>
    <t>Иштерди уюштуруу жана камсыздоо кызматы</t>
  </si>
  <si>
    <t>Борбордук аппараттын кызматкерлеринин жалпы санынан камсыздоо кызматынын кызматкерлеринин үлүшү</t>
  </si>
  <si>
    <t>Мониторинг, талдоо жана стратегиялык пландоону камсыздоо</t>
  </si>
  <si>
    <t xml:space="preserve">Жалпы мониторингдин натыйжаларынын санынан расмий ички документтерде аткарууга кабыл алынган мониторингдин натыйжаларынын улушу </t>
  </si>
  <si>
    <t>Региондордо откорулгон алдын алуу баруулардын санынын борбордук аппаратта алдын алуу баруулардын санына болгон пайыздык катышы</t>
  </si>
  <si>
    <t>Эркиндигинен ажыратуу жана чектоо жайларында, балдар уйундо жана психоневрологиялык диспансерлерде кыйноолордун жана катаал мамиленин фактыларынын азайуу динамикасы (кобойушу)</t>
  </si>
  <si>
    <t>Кыйноого жана катаал мамилеге коомчулукта сабырсыздыкты пайда кылуу</t>
  </si>
  <si>
    <t>Иш чаранын саны, (тегерек стол, уйротуу, тренинг).</t>
  </si>
  <si>
    <t>Эркиндигинен ажыратуу жана чектоо жайларында мыйзамдуу укуктарын камсыз кылуу</t>
  </si>
  <si>
    <t>Башка мамлекеттик мучолору аткарууга кабыл алган улуттук борбордун тарабынан иштелип чыккан сунуштарынын саны.</t>
  </si>
  <si>
    <t xml:space="preserve">Эркиндигинен ажыратуу жана чектоо жайларында, балдар уйундо жана психоневрологиялык диспансерлерде кармоо шарттарын жакшыртууга комок корсотуу    </t>
  </si>
  <si>
    <t>Эркиндигинен ажыратуу жана чектоо жайларында, балдар уйундо жана психоневрологиялык диспансерлеринде кармоо шарттары он жака озгорушу менен канаттануу.</t>
  </si>
  <si>
    <t>Эркиндигинен ажыратуу жана чектоо жайларында, балдар уйундо жана психоневрологиялык диспансерде алдын алуу баруулардын узгултусуз откорулушун камсыз кылуу.</t>
  </si>
  <si>
    <t>Республика боюнча тушкон кабарлар жана арыздар боюнча алдын алуу баруулардын жалпы саны</t>
  </si>
  <si>
    <t>Алардын ичинен Улуттук борбордун ар жылдык планы ылайык алдын алуу баруулардын саны.</t>
  </si>
  <si>
    <t xml:space="preserve">Кыргыз Республикасы тарабынан кыйнолорду жана катаал мамиленин туп тамыры менен жок кылуу боюнча Эл аралык ковенциянын талаптарынын аткарылышын мониторинг жана анализ кылуу. </t>
  </si>
  <si>
    <t>Кыйнолор алдын алуу боюнча эл аралык макулдаштыктардын аткарылышынын пайыздык корсоткучтору.</t>
  </si>
  <si>
    <t xml:space="preserve">83. Кыргыз Республикасынын Өкмөтүнө караштуу Отун-энергетикалык комплексин жөнгө салуу боюнча мамлекеттик агенттик </t>
  </si>
  <si>
    <t>Энергетика секторун тарифтик жөнгө салуу</t>
  </si>
  <si>
    <t>Энергетика секторунда тарифтерди белгилөө</t>
  </si>
  <si>
    <t xml:space="preserve"> ОЭК чөйрөсүндө мыйзамдуулуктун сакталышын контролдонуу ишке ашыруу</t>
  </si>
  <si>
    <t xml:space="preserve">Аныкталган бузуулар боюнча чегерүүлөрдүн суммасы  </t>
  </si>
  <si>
    <t>84. "Эркин Тоо" гезитинин редакциясы</t>
  </si>
  <si>
    <t xml:space="preserve">"Эркин- Тоо" гезитин басып чыгаруу </t>
  </si>
  <si>
    <t xml:space="preserve">Кыргыз Республикасынын Өкмөтүнүн, Президентинин, Жогорку Кеңешинин ченемдик укуктук актыларын "Эркин-Тоо" гезитине жарыялоо </t>
  </si>
  <si>
    <t xml:space="preserve">Өз учурунда жарыяланган ченемдик укуктук актылардын үлүшү </t>
  </si>
  <si>
    <t xml:space="preserve">85. Кыргыз Республикасынын Телерадиоберүү компаниялары </t>
  </si>
  <si>
    <t xml:space="preserve">Кыргыз Республикасынын Коомдук телерадиоберүү корпорациясы </t>
  </si>
  <si>
    <t>Эмгектик талаш-тартышьар боюнча жеңип чыккан сот иштеринин катышы</t>
  </si>
  <si>
    <t>Тышкы байланыштарды жана коомчулук менен байланыштарды колдоо</t>
  </si>
  <si>
    <t>Ишти уюштуруу жана камсыздоо кызматтары</t>
  </si>
  <si>
    <t>Техникалык контролду камсыздоо</t>
  </si>
  <si>
    <t>Берүү объектисинин сапатын контролдоо</t>
  </si>
  <si>
    <t>Маалыматтык-аналитикалык, социалдык, экономикалык программалар</t>
  </si>
  <si>
    <t>Бардык көрсөткүчтөр боюнча  рейтинг</t>
  </si>
  <si>
    <t>орун</t>
  </si>
  <si>
    <t>Балдар, маданий, спорт - оюн зоок программалары</t>
  </si>
  <si>
    <t>Бардык көрсөткүчтөр боюнча рейтинг</t>
  </si>
  <si>
    <t>ТВ программаларынын дирекциясы</t>
  </si>
  <si>
    <t>Берүү көлөмү</t>
  </si>
  <si>
    <t>саат</t>
  </si>
  <si>
    <t>Телепрограммаларды бүткүл республика боюнча жайылтуу</t>
  </si>
  <si>
    <t>Телепрограммаларды техникалык камсыздоо</t>
  </si>
  <si>
    <t>Көрсөтүлгөн техникалык кызмат көрсөтүүлөрүнүн сапаты</t>
  </si>
  <si>
    <t>Маалыматтык-аналитикалык программа</t>
  </si>
  <si>
    <t>Бардык көрсөткүчтөр боюнча изилдөө рейтинги</t>
  </si>
  <si>
    <t>Балдар, маданий - оюн зоок программалары</t>
  </si>
  <si>
    <t>Радиопрограммаларды чыгаруу техникалык контролдоонуу камсыздоо</t>
  </si>
  <si>
    <t>Радиопрограммаларды чыгарууну программалаштыруу</t>
  </si>
  <si>
    <t>Радиопрограммаларды бүткүл республика боюнча жайылтуу</t>
  </si>
  <si>
    <t>Калкты камтуу</t>
  </si>
  <si>
    <t>Радиопрограммаларды техникалык камсыздоо</t>
  </si>
  <si>
    <t>Көрсөтүлүүчү техникалык кызматтын сапаты</t>
  </si>
  <si>
    <t>Кино-видео продукцияларын прокатка берүү</t>
  </si>
  <si>
    <t>Көркөм, хроникалык-документалдык телетасмаларды тартуу, телеберүүлөрдү чыгаруу</t>
  </si>
  <si>
    <t>Фильмдин, көрсөтүүлөрдүн саны</t>
  </si>
  <si>
    <t xml:space="preserve">Кыргыз Республикасынын  Мамлекеттик  ЭлТР телерадиоберүү  компаниясы    </t>
  </si>
  <si>
    <t>Бардык программалар боюнча  эмгек акы  жалпы чыгашасына карата 001 программа боюнча эмгек акыга чыгымдардын катышы</t>
  </si>
  <si>
    <t>Министрликтерди/ведомств.-ду жалпыга маалымдоо каражаттарында оң  мааниде эскерүүлөрдүн саны</t>
  </si>
  <si>
    <t xml:space="preserve">Телепрограммаларды өндүрүү жана эфирге чыгаруу </t>
  </si>
  <si>
    <t>Телепрограммалардын рейтинги</t>
  </si>
  <si>
    <t xml:space="preserve">Телеберүүлөрдү  техникалык камсыздоо </t>
  </si>
  <si>
    <t xml:space="preserve">ТБ менен камтылган Кыргыз Республикасынын аймагынын салыштырма салмагы </t>
  </si>
  <si>
    <t xml:space="preserve">Радиопрограммаларды өндүрүү жана эфирге чыгаруу </t>
  </si>
  <si>
    <t>Радио программалардын рейтинги</t>
  </si>
  <si>
    <t xml:space="preserve">Кыргыз Республикасында "МИР" мамлекет аралык телерадиоберүү компаниясынын улуттук филиалы </t>
  </si>
  <si>
    <t>КР калкын  ТВ жана РВ берүү менен камтуу</t>
  </si>
  <si>
    <t>Кадрлардын эсеби, иш кагаздарын жүргүзүү</t>
  </si>
  <si>
    <t>Компанияны юридикалык тейлөө, келишимдерди даярдоо</t>
  </si>
  <si>
    <t>Телевизиондук жана радио программаларды чыгаруу жана аларды жайылтуу</t>
  </si>
  <si>
    <t xml:space="preserve">"Мир" МТРКсынын консолидацияланган эфиринде ТБ жана РБ филиалдары тарабынан түзүлгөн программалардын жалпы саны </t>
  </si>
  <si>
    <t>ТБ программаларды түзүү жана жайылтуу</t>
  </si>
  <si>
    <t>"Мир" МТРК үчүн ТБ филиалы тарабынан  түзүлгөн программалардын хронометражы.</t>
  </si>
  <si>
    <t>РБ программаларын түзүү жана жайылтуу</t>
  </si>
  <si>
    <t>"Мир" МТРК үчүн РБ филиалы тарабынан  түзүлгөн программалардын хронометражы.</t>
  </si>
  <si>
    <t xml:space="preserve">ТБ и РБ программаларын техникалык камсыз кылуу жана </t>
  </si>
  <si>
    <t>КР калкын теле жана радио берүү менен камтуу</t>
  </si>
  <si>
    <t>86. Кыргыз Республикасынын Өкмөтүнө караштуу Мамлекеттик соттук-эксперттик кызматы</t>
  </si>
  <si>
    <t xml:space="preserve">Бардык программалар боюнча  эмгек акы  жалпы чыгашасына карата 001 программа боюнча эмгек акыга чыгашалардын катышы </t>
  </si>
  <si>
    <t xml:space="preserve">Финансылык менеджметти жана эсепке алууну камсыз кылуу </t>
  </si>
  <si>
    <t>Бюджеттин мыйзам бузуусуз аткарылышынын пайызы</t>
  </si>
  <si>
    <t>Эмгек талаш-тартыштарында утуп чыккан соттук процесстердин пайызы</t>
  </si>
  <si>
    <t>Жеңилген учурлардын жалпы санына карата катышы</t>
  </si>
  <si>
    <t>Башкы офистин жалпы штаттык бирдигинде колдоо кызматтарынын кызматкерлеринин үлүшү</t>
  </si>
  <si>
    <t xml:space="preserve">Жүргүзүлгөн соттук экспертизалардын сапатын жогорулатуу </t>
  </si>
  <si>
    <t xml:space="preserve">Соттук экспертизалоону ишке ашыруу </t>
  </si>
  <si>
    <t>Жүргүзүлгөн соттук экспертизалардын саны</t>
  </si>
  <si>
    <t>87. Кыргызтест мамлекеттик мекемеси</t>
  </si>
  <si>
    <t>Иш-чараларды уюштуруу жана колдоо кызматтары</t>
  </si>
  <si>
    <t>Өз убагында камсыздоо пайызы</t>
  </si>
  <si>
    <t xml:space="preserve">Республика боюнча тестирлөөнү жүргүзүү  </t>
  </si>
  <si>
    <t xml:space="preserve">Тесттен өткөрүлгөндөрдүн саны </t>
  </si>
  <si>
    <t>Расмий тилди билүү деңгээлин баалоо боюнча ченемдик-методикалык документтерди иштеп чыгуу жана басып чыгаруу (А2)</t>
  </si>
  <si>
    <t xml:space="preserve">Нусканын саны </t>
  </si>
  <si>
    <t xml:space="preserve"> Мамлекеттик жана расмий тил боюнча тесттик тапшырмаларды жана экспертизаны иштеп чыгуу </t>
  </si>
  <si>
    <t xml:space="preserve">Тесттик тапшырмалардын саны </t>
  </si>
  <si>
    <t>Мамлекеттик тил боюнча электрондук окуу китебин иштеп чыгуу   (А2)</t>
  </si>
  <si>
    <t>Окуу китептердин аталышынын саны</t>
  </si>
  <si>
    <t xml:space="preserve">Окуу китебинин биринчи бөлүгүн иштеп чыгуу (аяктоо пайызы) </t>
  </si>
  <si>
    <t xml:space="preserve">Мамлекеттик, расмий тилдерди билүүнү тестирлөө үчүн  интернет-ресурстарды колдонуу </t>
  </si>
  <si>
    <t>Дистанттык тестирлөө үчүн "Кыргызтест"  системасынын мобилдик тиркемесин техникалык колдоо жана өнүктүрүү</t>
  </si>
  <si>
    <t>88.  "Манас" жана Ч. Айтматов Улуттук академиясы</t>
  </si>
  <si>
    <t>001 программасы боюнча эмгек акыга кеткен чыгымдардын бардык программалар боюнча эмгек акыга кеткен чыгымдардын суммасына карата катышы</t>
  </si>
  <si>
    <t>"Манас" эпосу жана Ч.Айтматовдун мурасы боюнча маданий иш-чараларды, эл аралык симпозиумдарды, конгресстерди уюштуруу жана өткөрүү. Манас жана чыңгыз таануу жаатындагы илимий материалдарды жарыялоо</t>
  </si>
  <si>
    <t>Өлчөө бирдиги</t>
  </si>
  <si>
    <t>ИДПнын реалдуу өсүш темпи, мурунку жылга карата % менен</t>
  </si>
  <si>
    <t>ИДП түзүмүндө ЧОИ үлүшү</t>
  </si>
  <si>
    <t>Экспорттун көлөмүнүн өсүш темпи, мурунку жылга карата % менен</t>
  </si>
  <si>
    <t>анын ичинде алтындын үлүшү</t>
  </si>
  <si>
    <t>Чет өлкөлүк түз инвестициялардын агымы</t>
  </si>
  <si>
    <t>Республикалык бюджетке келип түшүүлөр</t>
  </si>
  <si>
    <t>Бизнес жүргүзү "Төлөө жөндөмсүздүгүн чечүү" индикатору</t>
  </si>
  <si>
    <t>Бизнес жүргүзү "Салык салуу" индикатору</t>
  </si>
  <si>
    <t>Региондорду социалдык экономикалык өнүктүрүүнү баалоонун рейтингдик системасын ишке киргизүү. Башкаруу чечимдеринин системалуулугун, негиздүүлүгүн жана обьективдүүлүгүн, натыйжалуулугун жогорулатуу.</t>
  </si>
  <si>
    <t>Бирдиктүү тизмеге киргизилген товарлардын экспортуна жана импортуна электрондук форматта берилген лицензиялардын үлүшү</t>
  </si>
  <si>
    <t>Товарларды, жумуштарды жана консультациялык кызмат көрсөтүүлөрдү тартип бузбастан сатып алуу</t>
  </si>
  <si>
    <t>бюджетик каражаттын эсебинен окутулган кызматкерлер, % менен</t>
  </si>
  <si>
    <t>Целевые значения</t>
  </si>
  <si>
    <t>Программанын максаты: Бизнести өнүктүрүү үчүн жагымдуу чөйрөлүк шарттарды түзүү</t>
  </si>
  <si>
    <t>Жаңы ишке кирген ишканалардын саны</t>
  </si>
  <si>
    <t>Жаңы түзүлгөн жумушчу орундарынын саны</t>
  </si>
  <si>
    <t>Кайра түзүү, реабилитациялоо, санация жана тынчтык макулдашуусу колдонулган ишканалардын саны</t>
  </si>
  <si>
    <t>Демилгелеген МЖӨ долбоорлорунун саны</t>
  </si>
  <si>
    <t>Окуудан өткөн мамлекеттик жана муниципалдык кызматкерлердин, бизнестин өкүлдөрүнүн, облустарда жана райондордо бардык кызыкдар болгон жактардын саны</t>
  </si>
  <si>
    <t>Кыргыз Республикасынын ДСУ өлкөлөрү менен тышкы соода жүгүртүүсүнүн көлөмү</t>
  </si>
  <si>
    <t>өсүш темпи</t>
  </si>
  <si>
    <t xml:space="preserve">Окуудан өткөн адамдардын саны </t>
  </si>
  <si>
    <t>Ички бизнес процесстери толугу менен автоматташтырылган, тартылган ведомстволор тарабынан "бирдиктүү терезе" принциби боюнча берилген документтердин үлүшү</t>
  </si>
  <si>
    <t>Керектөөчүлөрдүн кайрылуусу же маалыматтык абонент боюнча керектөөчүнүн өзүнө электрондук документтерди автоматтык издөөнү жана көчүрмөсүн берүүнү  камсыздоо программасын иштеп чыгуу жана ишке киргизүү</t>
  </si>
  <si>
    <t>Бизнестин кызыкчылыгын коргоо максатында улуттук стандарттардын негизинде мамлекеттер аралык стандарттарды иштеп чыгуу</t>
  </si>
  <si>
    <t>Башка өлкөлөрдүн улуттук институттары менен өлчөөнүн түрлөрү боюнча кошумча бирдиктерди рекалибрлөө жана метрология боюнча региондук органдардын алкагында өлчөөнүн түрлөрүнө карата эталондорду салыштырууга катышуу аркылуу ББ техникалык регламенттеринин талаптарын сактоо үчүн өлчөө бирдейлигин жана өлчөөнү байкого алууну камсыздоо</t>
  </si>
  <si>
    <t>КРда колдонулуучу стандарттарды айкалыштыруунун деңгээли</t>
  </si>
  <si>
    <t>Мамлекеттер аралык стандарттарды иштеп чыгууга байланыштуу,  тамак-аш продукциялары боюнча стандартташтыруу жаатындагы мамлекеттер аралык техникалык комитетердин ишине катышуу</t>
  </si>
  <si>
    <t xml:space="preserve">Эл аралык стандарттардын талаптарына сыноо, калибрлөө, медициналык лабораториялардын шайкештиги жөнүндө тастыктама берүү </t>
  </si>
  <si>
    <t>Продукцияларды/кызмат көрсөтүүлөрдү сертификациялоо, менеджмент системасын сертификациялоо, персоналдарды сертификациялоо боюнча органдардын, контролдоо органдарынын шайкештигин тастыктоо жөнүндө документ берүү</t>
  </si>
  <si>
    <t>Министрликтер, Өкмөттүн Аппараты жана Президенттин Аппараты үчүн аналитикалык кат даярдоо</t>
  </si>
  <si>
    <t>Отчетторду, буклеттерди, китепчелерди жарыялоо</t>
  </si>
  <si>
    <t xml:space="preserve">Иштелип чыккан техникалык-экономикалык негиздеме </t>
  </si>
  <si>
    <t xml:space="preserve">
Өлкөдө 10 миң калкка дарыгерлер менен камсыз кылуу</t>
  </si>
  <si>
    <t>"Мамлекеттик аткаруу бийлигинин жана жергиликтүү өз алдынча башкаруу органдарынын ишине баа берүү" индекси</t>
  </si>
  <si>
    <t xml:space="preserve"> Курагы боюнча стандартташтырылган ашыкча салмак коэффициенти / семирүү / аз салмак катышы</t>
  </si>
  <si>
    <t>Маалымат компанияларды камтылган приоритеттүү оорулардын саны.</t>
  </si>
  <si>
    <t>ДССУнун Дени сак шаарлар долбооруна кирген шаарлардын саны</t>
  </si>
  <si>
    <t>Ден-соолукту коргоо жана чыңдоо боюнча калктын маалымдуу бөлүгү</t>
  </si>
  <si>
    <t>Вакцина комплекси менен камтылган 2 жашка чейинки балдардын үлүшү</t>
  </si>
  <si>
    <t>Төмөнкү ооруларга көрсөткүчтөр: грипп, БЦЖ - (кургак учук, гепатит В,) (АКДС - дифтерия, көк жөтөл, селейме), паротит, пневмококк инфекциясы, кызылча жана кызамык</t>
  </si>
  <si>
    <t>Өзгөчө кооптуу жана карантиндик инфекциялардын алдын алуу үчүн эпидемиологиялык көрсөткүчтөргө эмделген адамдардын үлүшү (кутурма, чума, вирустук энцефалитке каршы)</t>
  </si>
  <si>
    <t>Кургак учукка чалдыгуу жылына</t>
  </si>
  <si>
    <t>Кургак учукту аныктоо үчүн туберкулин сатып алуу</t>
  </si>
  <si>
    <t>ВИЧ-инфекция боюнча толук консультация жана тестирлөөдөн өткөн жана алардын натыйжаларын билген кош бойлуу аялдардын үлүшү</t>
  </si>
  <si>
    <t>ВИЧ-инфекциясы менен жашаган жана статусун билген жана антиретровирустук терапия алгандардын үлүшү</t>
  </si>
  <si>
    <t>БМСЖ алкагында дарылоону ийгиликтүү аяктаган кургак учук менен ооругандардын үлүшү</t>
  </si>
  <si>
    <t>Жеке коргоочу каражаттардын камсыз кылуу</t>
  </si>
  <si>
    <t>Дары-дармектер менен камсыз кылуу</t>
  </si>
  <si>
    <t>Курактык топтор боюнча аныкталган / дарыланган жугуштуу оорулардын пайызы (ВГВ, ВГС) бруцеллёз, ЖЖБИ (хламидиоз, микоплазмоз, уреаплазмоз, сифилис)</t>
  </si>
  <si>
    <t xml:space="preserve">
Чумадан табигый очоктордогу иштетилген аймактардын аянты</t>
  </si>
  <si>
    <t>Кургак учукка байланыштуу амбулатордук жардам кызматын алуучулардын саны</t>
  </si>
  <si>
    <t>Паллиативдик жардам кызматы менен байланыштуу кызмат алуучулардын саны</t>
  </si>
  <si>
    <t>Психикалык бузулуулар менен байланыштуу кызмат алуучулардын саны</t>
  </si>
  <si>
    <t>ВИЧ, бруцеллёз, гепатит, сифилис боюнча социалдык маанилүү жугуштуу оорулардын сапаттуу, ишенимдүү изилдөөлөрүн камсыз кылган тышкы баалоо программаларына катышкан лабораториялардын саны.</t>
  </si>
  <si>
    <t>Аккредитацияланган лабораториялардын саны</t>
  </si>
  <si>
    <t>Калкка көрсөтүлүп жаткан БМСЖ кызматтарына канааттануу деңгээли (кызмат көрсөтүүлөрдүн жеткиликтүүлүгү, кызматтардын сапаты)</t>
  </si>
  <si>
    <t>Саламаттык сактоонун бардык деңгээлдеринде пациенттердин электрондук медициналык картасын киргизген саламаттык сактоо уюмдарынын үлүшү</t>
  </si>
  <si>
    <t>Саламаттык сактоо кызматына кайрылууда онлайн кызматын колдонгон калктын үлүшү</t>
  </si>
  <si>
    <t>ДССУ тарабынан кайрадан квалификацияланган дары-дармектердин тизмесин Кыргыз Республикасында таануу көрсөткүчү</t>
  </si>
  <si>
    <t>Даярдалган компоненттердин жана кан азыктарынын көлөмү</t>
  </si>
  <si>
    <t>Инсулин менен камсыздалган бейтаптардын саны.</t>
  </si>
  <si>
    <t>Антигемофилдик дары-дармектерди сатып алуу үчүн каржылоону көбөйтүү, камтуу, муктаж адамдардын саны</t>
  </si>
  <si>
    <t>Химиопрепараттар менен камсыздалган рак менен ооругандардын үлүшү</t>
  </si>
  <si>
    <t>Химиопрепараттар менен камсыздалган онкологиялык оорулары бар балдардын пайызы</t>
  </si>
  <si>
    <t>Иммуносупрессанттар менен капталган бейтаптардын үлүшү</t>
  </si>
  <si>
    <t xml:space="preserve">
Энелердин өлүмүнүн көрсөткүчү (ЦУР 3.1.1)</t>
  </si>
  <si>
    <t>Жаңы төрөлгөн балдардын өлүмүнүн көрсөткүчү (ЦУР 3.2.2)</t>
  </si>
  <si>
    <t xml:space="preserve">
Беш жашка чейинки балдардын өлүмү (ЦУР 3.2.1)</t>
  </si>
  <si>
    <t>Квалификациялуу медициналык кызматкерлер катышкан төрөттүн үлүшү</t>
  </si>
  <si>
    <t xml:space="preserve"> Жатын ичиндеги спираль медициналык жана социалдык аялуу катмарындагы аялдарды камтуу</t>
  </si>
  <si>
    <t>Калктын социалдык аялуу катмарындагы аялдарды камтуу КОК</t>
  </si>
  <si>
    <t>Каттоодо жок кош бойлуу аялдардын пайызы</t>
  </si>
  <si>
    <t>Репродуктивдик курактагы аялдарды аборттун коопсуз кызматтары менен камтуу.</t>
  </si>
  <si>
    <t>Кош бойлуулуктун алгачкы 12 жумасында катталган кош бойлуу аялдардын үлүшү</t>
  </si>
  <si>
    <t>Аз кандуулуктун таралышы</t>
  </si>
  <si>
    <t>Эндемикалык богоктун жайылышы</t>
  </si>
  <si>
    <t>Кош бойлуу аялдарды төрөткө чейинки жана төрөттөн кийинки патронаж боюнча ЧУА тарабынан кесиптик жамааттардын кеңешинин негизинде кабыл алынган</t>
  </si>
  <si>
    <t>Реабилитациялык жардам алган бейтаптардын саны</t>
  </si>
  <si>
    <t>ЖТФ программасынын алкагында кымбат жана жогорку технологиялык жардам алган бейтаптардын саны (бөйрөк трансплантациясы, эндопротез, жүрөк клапандары, стенддер, окклюзерлер, оксигинизаторлор, кан тамыр протездери менен ооруган бейтаптар үчүн дары-дармектер)</t>
  </si>
  <si>
    <t>Аймактардагы медициналык персоналдын саны</t>
  </si>
  <si>
    <t>Күбөлөндүрүлгөн үй-бүлөлүк дарыгерлердин саны</t>
  </si>
  <si>
    <t xml:space="preserve"> Айыл аймактарынын алыскы аймактарында жана чакан шаарларда иштеген дарыгерлерди кошумча стимулдаштыруу программага киргизилген дарыгерлердин саны</t>
  </si>
  <si>
    <t>Ординатураны аяктагандан кийин айыл жеринде ишин уланткан жаш адистердин үлүшү</t>
  </si>
  <si>
    <t>Саламаттык сактоо кадрдык ресурстардын маалымат тутуму</t>
  </si>
  <si>
    <t>саламаттык сактоо тутумунун персоналын баалоо тутуму</t>
  </si>
  <si>
    <t>Саламаттык сактоо уюмдарынын жетекчилерин даярдоо жана квалификациясын жогорулатуу тутуму</t>
  </si>
  <si>
    <t>Республикалык бюджеттин эсебинен кайра даярдалган адистердин саны</t>
  </si>
  <si>
    <t>Республикалык бюджеттин эсебинен квалификациясын жогорулатуу курстарын бүткөн адистердин саны</t>
  </si>
  <si>
    <t>Жылына дарыгерлердин жалпы санынан 50 кредит алган дарыгерлердин үлүшү</t>
  </si>
  <si>
    <t>Республикалык бюджеттин эсебинен окутулган бүтүрүүчүлөрдүн жалпы санынын ичинен Кыргыз Республикасынын медициналык мекемелериндеги (Бишкек жана Ош шаарларын кошпогондо) иштеген бүтүрүүчүлөрдүн үлүшү</t>
  </si>
  <si>
    <t>Республикалык бюджеттин эсебинен бакалавриат деңгээлинде билим алган КММАнын бүтүрүүчүлөрүнүн саны</t>
  </si>
  <si>
    <t>Аспирантура деңгээлинде республикалык бюджеттин эсебинен даярдалган КММА жана КММИПиПК бүтүрүүчүлөрүнүн саны</t>
  </si>
  <si>
    <t>Түзүлгөн симуляциялык борборлордун саны</t>
  </si>
  <si>
    <t>Стимулдаштыруу программасы боюнча контракттан бюджеттик негизге өткөн студенттердин саны</t>
  </si>
  <si>
    <t>Алыскы аймактарда жана айыл жерлеринде университетти аяктагандан кийин иштеген бүтүрүүчүлөрдүн саны</t>
  </si>
  <si>
    <t>Медициналык, фармацевтикалык жана коомдук саламаттык сактоо кадрларын дипломго чейинки жана дипломдон кийинки даярдоонун компетенцияларынын жана талаптарынын каталогу иштелип чыккан.</t>
  </si>
  <si>
    <t>Республикалык бюджеттин эсебинен билим алган медициналык колледждердин бүтүрүүчүлөрүнүн саны</t>
  </si>
  <si>
    <t>Кыргыз Республикасынын медициналык мекемелеринде иштеген медициналык колледждердин бүтүрүүчүлөрүнүн саны</t>
  </si>
  <si>
    <t>Кыргыз Республикасынын медициналык мекемелеринде иштеген медициналык колледждердин бүтүрүүчүлөрүнүн саны (Бишкек жана Ош шаарларын кошпогондо)</t>
  </si>
  <si>
    <t>Медайымдар адистиги боюнча билим алуу үчүн бөлүнгөн гранттык орундардын саны</t>
  </si>
  <si>
    <t>Медайымдардын функцияларынын кеңейишин эске алуу менен БМСЖ уюмдарынын бардык үй-бүлөлүк медицина адистери жана бөлүмдөрү үчүн бухгалтердик эсеп жана отчеттуулук формалары, жаңы алгоритмдер жана стандарттар иштелип чыккан жана ишке киргизилген.</t>
  </si>
  <si>
    <t>Тез жардам кызматынын медициналык адистерине квалификациялык талаптар иштелип чыгып, ишке ашырылды</t>
  </si>
  <si>
    <r>
      <t xml:space="preserve">КР ЖС судьяларынын  көз карандысыздыгын камсыз кылуу      </t>
    </r>
    <r>
      <rPr>
        <i/>
        <sz val="10"/>
        <rFont val="Times New Roman"/>
        <family val="1"/>
        <charset val="204"/>
      </rPr>
      <t xml:space="preserve">Программанын максаты:  Кыргыз Республикасында сот өндүрүшүнүн жетектөөчү  принциптерине ылайык сот адилеттигин камсыз кылуу </t>
    </r>
  </si>
  <si>
    <t>17. Кыргыз Республикасынын Эсептөө Палатасы</t>
  </si>
  <si>
    <t xml:space="preserve"> Ишти жана  камсыздоо кызматын камсыздоо</t>
  </si>
  <si>
    <t xml:space="preserve"> ЖК КР ЖК ЭП отчетун берүү </t>
  </si>
  <si>
    <t xml:space="preserve"> Иш чарадларды каржылоону камсыздоо</t>
  </si>
  <si>
    <t xml:space="preserve"> Кызматкерлердин жалпы санына  жогорку балл менен ишти баалоо өткөн кызматкерлердин үлүшү (4,1-5) ;</t>
  </si>
  <si>
    <t xml:space="preserve">Жалпы кызматкерлердин  санан  квалификациясын жогорулаткан кызматкерлердин үлүшү; </t>
  </si>
  <si>
    <t>Укук коргоо  органдарынын,  прокуратура органдарынын  суроо-талаптарынын каралгандар саны</t>
  </si>
  <si>
    <t xml:space="preserve">Материалдык-техникалык камсыздоо </t>
  </si>
  <si>
    <t xml:space="preserve">Пландалган аудитордук  иш-чаралардын  иш жүзүндө аткарылышынын %саны </t>
  </si>
  <si>
    <t>Мамлекеттик аудитти жүргүзүү</t>
  </si>
  <si>
    <t>экз.</t>
  </si>
  <si>
    <t>КНИА "Кабар"</t>
  </si>
  <si>
    <t>инф</t>
  </si>
  <si>
    <r>
      <t xml:space="preserve">Название программы
</t>
    </r>
    <r>
      <rPr>
        <i/>
        <sz val="10"/>
        <color indexed="8"/>
        <rFont val="Times New Roman"/>
        <family val="1"/>
        <charset val="204"/>
      </rPr>
      <t>Цель программы</t>
    </r>
  </si>
  <si>
    <r>
      <rPr>
        <b/>
        <sz val="10"/>
        <color indexed="8"/>
        <rFont val="Times New Roman"/>
        <family val="1"/>
        <charset val="204"/>
      </rPr>
      <t xml:space="preserve">Индикатор результативности </t>
    </r>
    <r>
      <rPr>
        <sz val="10"/>
        <color indexed="8"/>
        <rFont val="Times New Roman"/>
        <family val="1"/>
        <charset val="204"/>
      </rPr>
      <t>(</t>
    </r>
    <r>
      <rPr>
        <i/>
        <sz val="10"/>
        <color indexed="8"/>
        <rFont val="Times New Roman"/>
        <family val="1"/>
        <charset val="204"/>
      </rPr>
      <t>целевой индикатор по Программе</t>
    </r>
    <r>
      <rPr>
        <sz val="10"/>
        <color indexed="8"/>
        <rFont val="Times New Roman"/>
        <family val="1"/>
        <charset val="204"/>
      </rPr>
      <t>)</t>
    </r>
  </si>
  <si>
    <r>
      <t>Индикатор результативности (</t>
    </r>
    <r>
      <rPr>
        <i/>
        <sz val="10"/>
        <color indexed="8"/>
        <rFont val="Times New Roman"/>
        <family val="1"/>
        <charset val="204"/>
      </rPr>
      <t>индикатор результатов по мере</t>
    </r>
    <r>
      <rPr>
        <sz val="10"/>
        <color indexed="8"/>
        <rFont val="Times New Roman"/>
        <family val="1"/>
        <charset val="204"/>
      </rPr>
      <t>)</t>
    </r>
  </si>
  <si>
    <t>Министрликтин ишмердүүлүгүн жөнгө салуу, бирдиктүү мамлекеттик саясатты жүзөгө ашырууну камсыз кылуу программасы</t>
  </si>
  <si>
    <t xml:space="preserve">Тапшырылган милдеттерди жана функцияларды ишке ашыруу боюнча бөлүмдөрдүн күнүмдүк ишмердүүлүгүн жүзөгө ашыруу </t>
  </si>
  <si>
    <t>Өзгөчө кырдаалдар министрлигинин Борбордук аппаратынын иштешин ар тараптуу камсыз кылуу боюнча иш-чараларды жүргүзүү</t>
  </si>
  <si>
    <t>Коркунучтуу жаратылыш жана техногендик кубулуштардын  процессине мониторинг жана кээ бир кооптуу аймактарга илимий изилдөөлөрдү жүргүзүү</t>
  </si>
  <si>
    <t>Прогноздук маалыматтардын баардык түрлөрүн, адистештирилген гидрометеорологиялык маалыматтарды жана айлана-чөйрөнүн булганышы жөнүндө маалыматтарды берүү</t>
  </si>
  <si>
    <t>Кырсыктардын тобокелдигин азайтууга жергиликтүү инвестицияларды тартуучу механизмди иштеп чыгуу,</t>
  </si>
  <si>
    <t>Биринчи кезектеги алдын алуу, авариялык – калыбына келтирүү, коргоочу иш-чараларды жүргүзүү, селден коргоочу инженердик курулмаларды куруу жана эксплуатациялоо</t>
  </si>
  <si>
    <t>Мурдагы уран казып алуу өнөр жайынын калдыктарына жана төгүндүлөрүнө комплекстүү мониторинг жүргүзүү, алдын алуу жана авариялык – калыбына келтирүү</t>
  </si>
  <si>
    <t xml:space="preserve">Кырсыктардын коркунучун азайтуу боюнча тармактык жана аймактык программа/пландарды иштеп чыгуу жана ишке ашыруу иштерин уюштуруу, </t>
  </si>
  <si>
    <t>Потенциалдуу коркунучтуу участоктордун кооптуулук деңгээлин төмөндөтүү боюнча "Жашыл долбоорду" ишке ашыруу</t>
  </si>
  <si>
    <t>Жарандык коргонуу мамлекеттик системасынын бардык деңгээлдеги башкаруу даярдыгын жогорулатуу</t>
  </si>
  <si>
    <t>Өзгөчө жана кризистик кырдаалдарда бирдиктүү маалыматтык башкаруу системасынын автоматташтырылган башкаруу жана кабарлоо системасын өнүктүрүү</t>
  </si>
  <si>
    <t xml:space="preserve">Жергиликтүү калкты өзгөчө кырдаалдардан коргоонун ыкмалары боюнча окутуу </t>
  </si>
  <si>
    <t xml:space="preserve">Калктын ишениминин индекси </t>
  </si>
  <si>
    <t>Кооптуу жаратылыш изилдөөлөрүнүн саны/техногендик процесстер жана кубулуштар</t>
  </si>
  <si>
    <t>Гидрометеорологиялык прогноздорду өз убагында даярдоону күчөтүү</t>
  </si>
  <si>
    <t>Өздөштүрүлгөн
мамлекеттик инвестициялар (сом менен)</t>
  </si>
  <si>
    <t xml:space="preserve">
Корголуучу турак жайлардын саны / айыл чарба жерлери (га) / жыл</t>
  </si>
  <si>
    <t>Уран калдыктарынан калыбына келтирилген объектилеринин саны, объекттерди көзөмөлдөө жана тейлөө</t>
  </si>
  <si>
    <t>Иштелип чыккан тармактык жана аймактык пландардын саны</t>
  </si>
  <si>
    <t>Отургузулган жашыл аянттардын саны / жыл</t>
  </si>
  <si>
    <t xml:space="preserve">Өткөрүлгөн машыгуулардын саны </t>
  </si>
  <si>
    <t xml:space="preserve">
Орнотулган электр сирена / видео маалымат терминалдарынын саны</t>
  </si>
  <si>
    <t>Өзгөчө кырдаалдан коргоонун ыкмалары боюнча окутулган калктын саны</t>
  </si>
  <si>
    <t>45. Кыргыз Республикасынын  Өзгөчө кырдаалдар министрлиги</t>
  </si>
  <si>
    <t>Жалпы жетекчиликти  камсыздоо</t>
  </si>
  <si>
    <t>Тышкы байланыштарды жана коомчулук менен байланышты колдоо</t>
  </si>
  <si>
    <t>Ишти уюштуруу жана камсыздоо кызматы</t>
  </si>
  <si>
    <t>Лабораториялык корпусту капиталдык ондоо</t>
  </si>
  <si>
    <t xml:space="preserve">Кооптуу жаратылыш ресурстарын, климатты жана суу ресурстарын жана геоэкологияны изилдөө жана мониторинг тутумун түзүү </t>
  </si>
  <si>
    <t xml:space="preserve">Кыргызстандын негизги мөңгүлөрүн жана Ысык-Көлдүн    бассейнин изилдөө </t>
  </si>
  <si>
    <t xml:space="preserve">Мониторинг базасын жана кооптуу жаратылыш процесстеринин геомаалымдык базасын иштеп чыгуу </t>
  </si>
  <si>
    <t>бюджетти бузууларсыз аткаруу пайызы</t>
  </si>
  <si>
    <t>ЖМКларда мин-к/вед-волорду оң эскерүүлөрдүн саны</t>
  </si>
  <si>
    <t>БА  кызматкерлеринин жалпы санынан камсыздоо кызматынын кызматкерлеринин үлүшү</t>
  </si>
  <si>
    <t>Басылмалар тууралуу маалымат</t>
  </si>
  <si>
    <t>Мониторингдин маалыматтары</t>
  </si>
  <si>
    <t>Тренинг жана семинарлар</t>
  </si>
  <si>
    <t>Мониторинг тармактарын кеңейтүү жана модернизациялоо ( станцияларды)</t>
  </si>
  <si>
    <t>Реалдуу убакытта маалымат базаларын толуктоо</t>
  </si>
  <si>
    <t>46. Жерди прикладдык изилдөө Борбордук Азиялык институту</t>
  </si>
  <si>
    <t>Салыктарды, салыктык эмес төлөмдөрдү жана касыздандыруу төлөмдөрүнүн толук жыйналашын камыз кылуу</t>
  </si>
  <si>
    <t>Салык салууну жөнөкөйлөтүүгө багытталган иш-чаралар</t>
  </si>
  <si>
    <t>Салык калдыгын кыскартуу боюнча комплекстүү иш-чараларды өткөрүү</t>
  </si>
  <si>
    <t>Салык жол-жоболорун фискалдаштыруунун электрондук системасын киргизүү</t>
  </si>
  <si>
    <t>Жалпы декларациялоого өтүү жана кирешелерди легалдаштыруу боюнча кампанияны өткөрүү</t>
  </si>
  <si>
    <t>001 программа боюнча эмгек акыга чыгымдардын катышы бардык программалар боюнча эмгек акынын чыгымдарынын суммасына</t>
  </si>
  <si>
    <t>Бузууларсыз бюджетти аткаруу пайызы</t>
  </si>
  <si>
    <t>утуп алынган сот процесстеринин алардын жалпы санына катышы</t>
  </si>
  <si>
    <t xml:space="preserve">БА кызматкерлеринин жалпы санынан камсыздоо кызматтарынын кызматкерлеринин үлүшү </t>
  </si>
  <si>
    <t>Салыктык жыйымдардын өсүү темпи</t>
  </si>
  <si>
    <t>Салыктарды чогултуу пландык көрсөткүчтөрүнүн аткаруу %</t>
  </si>
  <si>
    <t xml:space="preserve">Отчеттуулукту электрондук түрдө берген салык төлөөчүлөрдүн саны: </t>
  </si>
  <si>
    <t>Салыктык түшүүлөрдүн жалпы көлөмүнөн салык калдыгынын үлүшү</t>
  </si>
  <si>
    <t>Салык жүгү (анын ичинде социальдык чегерүүлөр),%</t>
  </si>
  <si>
    <t>Декларацияланбаган мүлктү жана кирешелерди көмүскөдөн  чыгаруу</t>
  </si>
  <si>
    <t>47.Кыргыз Республикасынын Өкмөтүнө караштуу Мамлекеттик салык кызматы</t>
  </si>
  <si>
    <t>48. Кыргыз Республикасынын Өкмөтүнө караштуу мамлекеттик Бажы кызматы</t>
  </si>
  <si>
    <t xml:space="preserve">Финансы менеджментин жана эсепке алууну камсыздоо  </t>
  </si>
  <si>
    <t xml:space="preserve">Тышкы байланыштарды жана коомчулук менен байланышты кармоо  </t>
  </si>
  <si>
    <t xml:space="preserve">Ишмердикти жана кызматты уюштуруу  </t>
  </si>
  <si>
    <t xml:space="preserve">Мониторингдөө, талдоо жана стратегиялык пландоону камсыз кылуу  </t>
  </si>
  <si>
    <t xml:space="preserve">Бажы төлөмдөрүн жыйноо жана бажы жол-жоболорун жүзөгө ашыруу  </t>
  </si>
  <si>
    <t xml:space="preserve">Жайгаштыруу, өткөрүү пункттарын жабдуу  </t>
  </si>
  <si>
    <t xml:space="preserve">Бажы укук бузууларын алдын алуу жана бөгөт коюу  </t>
  </si>
  <si>
    <t xml:space="preserve">Бардык программалар боюнча эмгек акысынын чыгымдар суммасына 001 Программасы боюнча эмгек акысына чыгымдардын мамилеси  </t>
  </si>
  <si>
    <t xml:space="preserve">Бюджеттин чыгаша бөлүгүн бузуусус аткаруунун пайызы  </t>
  </si>
  <si>
    <t>Эмгек талаштары боюнча утуп алган сот процесстерин үлүшү</t>
  </si>
  <si>
    <t xml:space="preserve">Утуп алган сот иштеринин алардын жалпы санына карата саны  </t>
  </si>
  <si>
    <t xml:space="preserve">Массалык маалымат каражаттарында мин-лик/вед-во тууралуу жакшы пикирлеринин саны  </t>
  </si>
  <si>
    <t xml:space="preserve">Борбордук аппараттын жана ведомстволук органдардын кызматкерлеринин жалпы санынан камсыздоо кызматтарынын кызматкерлеринин үлүшү   </t>
  </si>
  <si>
    <t xml:space="preserve">Бажы кызматынын ишмердигин өнүктүрүүнү мониторингдөө, талдоо жана стратегиялык пландоо  </t>
  </si>
  <si>
    <t>Республикалык бюджеттин киреше бөлүгүн толуктоо пайызы  %</t>
  </si>
  <si>
    <t xml:space="preserve">Бажы органдарынын жаңы курулган/оңдолгон өткөрүү пункттарынын саны  </t>
  </si>
  <si>
    <t xml:space="preserve">укук бузууларды аныктоо </t>
  </si>
  <si>
    <t xml:space="preserve">Компетенттүү органдарга өткөрүлгөн материалдардын саны  </t>
  </si>
  <si>
    <t xml:space="preserve">Административдик укук бузуулар жөнүндө иштердин саны  </t>
  </si>
  <si>
    <t>КАЛКТЫН ИШЕНИМ ИНДЕКСИ</t>
  </si>
  <si>
    <r>
      <t>Натыйжалуулуктун индикатору (Прграммасы боюнча максаттуу индикаторлор</t>
    </r>
    <r>
      <rPr>
        <sz val="10"/>
        <color indexed="8"/>
        <rFont val="Times New Roman"/>
        <family val="1"/>
        <charset val="204"/>
      </rPr>
      <t>)</t>
    </r>
  </si>
  <si>
    <t>49. Кыргыз азиздер жана дүлөйлөр коомунун Борбордук башкармасы.</t>
  </si>
  <si>
    <t>Китепкананы кармоо</t>
  </si>
  <si>
    <t>Көрүү жана угуу мүмкүнчүлүктөрү чектелген майыптардын ден соолугу чың  коомго жуурулушуна керектуу тифлосурдо каражаттарды сатып алуу</t>
  </si>
  <si>
    <t>Кыргыз азиздер жана дулойлор коомунуна ,  Социалдык фондго жумуш бергендерден  которулган (17.25%) каражаттарын кайтарып алуусу</t>
  </si>
  <si>
    <t>Кыргыз азиздер жана дүлөйлөр коомунун мобилдик атайын Китепкана түзүү</t>
  </si>
  <si>
    <t>Санариптик залга баруу</t>
  </si>
  <si>
    <t>Кыргыз тил синтезатору менен китептерди санариптелиши жана айтылып-окулушу</t>
  </si>
  <si>
    <t>Ун жазуу студиясында китеп фондуна ылайык аудио-китептерди СД дисктерге жана компьютердин сактоо дисктерине кыргыз жана орус тилинде түзүү</t>
  </si>
  <si>
    <t>Тифлосурдо каражатта менен камсыздоо - көрүү жана угуу мүмкүнчүлүктөрү чектелген майыптарга тифлоплеерлер менен камсыз кылуу</t>
  </si>
  <si>
    <t>Кыргыз азиздер жана дүлөйлөр коомунун окутуу жана өндүрүштүк ишканасында майыптарды жумуш менен камсыз кылуу</t>
  </si>
  <si>
    <t>2018-жылга карата иш жүзүндө чыгарылган продуктун өндүрүү .</t>
  </si>
  <si>
    <t>Коруу жана угуу мумкунчулуктору чектелген майыптардын 2017-жылга карта айлык акысынын өсүшү</t>
  </si>
  <si>
    <t>Көрүү жана угуу мүмкүнчүлүктөрү чектелген  майыптардын 2017-жыл  айлык маянасынын  өсүшү</t>
  </si>
  <si>
    <t>Кыргыз азиздер жана дүлөйлөр коомунун окутуу жана өндүрүштүк ишканаларынан жана уюмдарынан өндүрүштүн эсебинен пайда алуу</t>
  </si>
  <si>
    <t xml:space="preserve">Улуттук аң-сезимди бекемдөө, Кыргыз Республикасында элдердин улуттар аралык ынтымагын, рухий, маданий баалуулуктарды жана салттарды өнүктүрүүгө жана өз ара байытууга активдүү көмөк көрсөтүү, "Манас" эпосунун рухий жана адеп-ахлактык мурасын үгүттөөнү активизациялоо </t>
  </si>
  <si>
    <t>Комплекстин аймагында экскурсиялык, туристтик, мейманканалык ишти, илимий- агартуучулук жана маданий-жалпы иштерди уюштуруу</t>
  </si>
  <si>
    <t xml:space="preserve"> Комплекске келгендердин саны</t>
  </si>
  <si>
    <t>Экспонаттардын саны</t>
  </si>
  <si>
    <t>Экскурсиялардын саны</t>
  </si>
  <si>
    <t>Жарыяланган маалыматтардын түрлөрүнүн саны  (иштиктүү папкалар, дубал календарлары , блокнот, буклет, брошюралар ( орус жана  кыргыз тилдеринде), китептер</t>
  </si>
  <si>
    <t>Публикациялардын саны</t>
  </si>
  <si>
    <t>Каржылык менеджмент жана эсепке алууну камсыздоо</t>
  </si>
  <si>
    <t>Тышкы байланыштар жана коомчулук менен байланышты колдоо</t>
  </si>
  <si>
    <t xml:space="preserve">Бюджеттик чендин аталышы-Биздин өлкө тууралуу маалыматтарды чет элдик окурманга чейин жеткирүү  </t>
  </si>
  <si>
    <t>Бюджеттик чендин аталышы-Анализ жүргүзүү</t>
  </si>
  <si>
    <t>Эмгек акыга чыгымдардын суммасына карата 001 программасы боюнча эмгек акыга чыгымдардын катышы</t>
  </si>
  <si>
    <t>Бюджетти мыйзам бузуусуз аткаруунун пайызы</t>
  </si>
  <si>
    <t xml:space="preserve">Эмгек талаштары боюнча уткан сот процесстеринин үлүшү </t>
  </si>
  <si>
    <t xml:space="preserve">Уткан сот иштеринин алардын жалпы санына катышы </t>
  </si>
  <si>
    <t>Министрлик/ведомство жөнүндө ЖМКга чыккан оң эскертүүлөрдүн саны</t>
  </si>
  <si>
    <t>БАнын кызматкерлеринин жалпы санынан камсыздоо кызматынын кызматкерлеринин үлүшү</t>
  </si>
  <si>
    <t xml:space="preserve">күнүнө ар бир журналист тарабынан кыргыз жана орус тилдеринде чыгарылган маалыматтардын хронометражы 9-12 түзөт
</t>
  </si>
  <si>
    <t xml:space="preserve">
маалыматтарды жана аналитикалык материалдарды англис жана түрк тилдерине которуу 
</t>
  </si>
  <si>
    <t xml:space="preserve">Сайттагы көрүүлөрдүн орточо жылдык хронометражы </t>
  </si>
  <si>
    <t xml:space="preserve">Адабият, искусство жана архитектура жаатында  мамлекеттик сыйлыгын тапшыруу                                </t>
  </si>
  <si>
    <t xml:space="preserve">Жалпы жетекчиликти, финансылык менеджментти жана эсепке алууну камсыз кылуу  </t>
  </si>
  <si>
    <t>Адабият, искусство жана архитектура жаатында Токтогул атындагы Кыргыз Республикасынын мамлекеттик сыйлыгын тапшыруу</t>
  </si>
  <si>
    <t xml:space="preserve">Бюджеттин бузууларсыз аткарылышынын пайызы </t>
  </si>
  <si>
    <t>001 программасы боюнча эмгек акыга чыгашалардын бүткүл Комитет боюнча эмгек акыга кеткен чыгашалардын суммасына карата катышы</t>
  </si>
  <si>
    <t>Мамлекеттик сыйлык алган катышуучулардын саны</t>
  </si>
  <si>
    <r>
      <rPr>
        <b/>
        <sz val="10"/>
        <rFont val="Times New Roman"/>
        <family val="1"/>
        <charset val="204"/>
      </rPr>
      <t xml:space="preserve">«Пландаштыруу, башкаруу жана администрациялоо»,                                   </t>
    </r>
    <r>
      <rPr>
        <sz val="10"/>
        <rFont val="Times New Roman"/>
        <family val="1"/>
        <charset val="204"/>
      </rPr>
      <t xml:space="preserve">                                                                                         
</t>
    </r>
    <r>
      <rPr>
        <i/>
        <sz val="10"/>
        <rFont val="Times New Roman"/>
        <family val="1"/>
        <charset val="204"/>
      </rPr>
      <t xml:space="preserve">Программанын максаты: Башка программаларды ишке ашырууга координациялоочу жана уюштуруучу таасир этүүлөр   </t>
    </r>
    <r>
      <rPr>
        <sz val="10"/>
        <rFont val="Times New Roman"/>
        <family val="1"/>
        <charset val="204"/>
      </rPr>
      <t xml:space="preserve">                                                                                                                  </t>
    </r>
  </si>
  <si>
    <r>
      <rPr>
        <b/>
        <sz val="10"/>
        <rFont val="Times New Roman"/>
        <family val="1"/>
        <charset val="204"/>
      </rPr>
      <t xml:space="preserve">«Кыргыз Республикасынын Жогорку Кеңешинин өкүлчүлүк функциясы аркылуу элдин кызыкчылыгын жана эркин чагылдыруу </t>
    </r>
    <r>
      <rPr>
        <sz val="10"/>
        <rFont val="Times New Roman"/>
        <family val="1"/>
        <charset val="204"/>
      </rPr>
      <t xml:space="preserve">
</t>
    </r>
    <r>
      <rPr>
        <i/>
        <sz val="10"/>
        <rFont val="Times New Roman"/>
        <family val="1"/>
        <charset val="204"/>
      </rPr>
      <t xml:space="preserve"> Программанын максаты: өлкөнүн өнүктүрүү артыкчылыктарын аныктоочу чечимдерди кабыл алууда элдин өз эркин эске алуу, жарандардын бардык категорияларынын укуктарын жана кызыкчылыктарын коргоонун жогорку деңгээли, Жогорку Кеңештин ишинин айкындуулугу жана коом алдында отчеттуулугу </t>
    </r>
  </si>
  <si>
    <r>
      <rPr>
        <b/>
        <sz val="10"/>
        <rFont val="Times New Roman"/>
        <family val="1"/>
        <charset val="204"/>
      </rPr>
      <t>Жогорку Кеңештин контролдук функциясы аркылуу мыйзамдардын аткарылышын камсыз кылуу</t>
    </r>
    <r>
      <rPr>
        <sz val="10"/>
        <rFont val="Times New Roman"/>
        <family val="1"/>
        <charset val="204"/>
      </rPr>
      <t xml:space="preserve"> 
</t>
    </r>
    <r>
      <rPr>
        <i/>
        <sz val="10"/>
        <rFont val="Times New Roman"/>
        <family val="1"/>
        <charset val="204"/>
      </rPr>
      <t>Программанын максаты: Кыргыз Республикасынын Конституциясын жана мыйзамдарын натыйжалуу аткаруу, Өкмөттүн жана башка мамлекеттик органдардын ишинин отчеттуулугунун жана айкындуулугунун жогорку деңгээли</t>
    </r>
  </si>
  <si>
    <r>
      <rPr>
        <b/>
        <sz val="10"/>
        <rFont val="Times New Roman"/>
        <family val="1"/>
        <charset val="204"/>
      </rPr>
      <t>Жогорку Кеңештин контролдук функциясы аркылуу мыйзамдардын аткарылышын камсыз кылуу</t>
    </r>
    <r>
      <rPr>
        <sz val="10"/>
        <rFont val="Times New Roman"/>
        <family val="1"/>
        <charset val="204"/>
      </rPr>
      <t xml:space="preserve">
</t>
    </r>
    <r>
      <rPr>
        <i/>
        <sz val="10"/>
        <rFont val="Times New Roman"/>
        <family val="1"/>
        <charset val="204"/>
      </rPr>
      <t>Программанын максаты: Кыргыз Республикасынын Конституциясын жана мыйзамдарын натыйжалуу аткаруу, Өкмөттүн жана башка мамлекеттик органдардын ишинин отчеттуулугунун жана айкындуулугунун жогорку деңгээли</t>
    </r>
  </si>
  <si>
    <t>Бюджеттик программалар/
Бюджеттик чаралар</t>
  </si>
  <si>
    <t xml:space="preserve">Аткаруу бийликтин мамлекеттик органдарынын ишин координациялоо аркылуу КР Өкмөтүнүн ишин камсыздоо жана алардын ыйгарым укуктарын   о.э.,  КР  Премьер-министрдин ыйгарым укуктарын  ишке ашырууга мониторинг                                                                                                       </t>
  </si>
  <si>
    <t>Республикада өткөрүлгөн социалдык- маданий жана башка иш чараларга байланыштуу алдын -алынбаган чыгымдардын пайда болуусунда  мамлекеттик колдоону көрсөтүү</t>
  </si>
  <si>
    <t>Архивдик документтерди кабыл алуу жана сактоо. Документтерди картондоштуруу</t>
  </si>
  <si>
    <t>КР жергиликтүү сотторго жана Сот департаментинин сот өндүрүшү процессинин ишин үзгүлтүксүз камсыздоо</t>
  </si>
  <si>
    <r>
      <rPr>
        <b/>
        <sz val="10"/>
        <color theme="1"/>
        <rFont val="Times New Roman"/>
        <family val="1"/>
        <charset val="204"/>
      </rPr>
      <t xml:space="preserve">Сот департаментинин бюджетинин ачыктыгын камсыздоо </t>
    </r>
    <r>
      <rPr>
        <sz val="10"/>
        <color theme="1"/>
        <rFont val="Times New Roman"/>
        <family val="1"/>
        <charset val="204"/>
      </rPr>
      <t>/ алдыга коюлган максаттарга жетүү үчүн бюджеттик каражаттар колдонулду</t>
    </r>
  </si>
  <si>
    <t>КР ЖС караштуу Сот департаментинин бюджетининн бузуусуз негизсиз кармалуусуз  аткарылышынын үлүшүнүн  пайызы</t>
  </si>
  <si>
    <t xml:space="preserve">Тиешелүү жылга пландалган мамлекеттик максаттуу программанын иш-чараларын  өз учурундаишке ашыруу   үлүшү </t>
  </si>
  <si>
    <t>Дүйнөлүк экономикалык форумдун атаандашдыкка жөндөмдүүлүктүн Глобалдык индексинин рейтингиндеги Кыргызстандын орду (а.и. "соттордун көз карандысыздыгы" көрсөткүчү боюнча)</t>
  </si>
  <si>
    <t>Сот корпусунун ачыктуулугун жана кесипкөйлүгүн күчөтүү</t>
  </si>
  <si>
    <t>Маалыматтык системалар менен жабдылган соттордун саны (видео жазуу жана сот процесстерин трансляциялоо, аудио жана протоколдоштуруу ж.б.) / Соттук териштирүүлөрдүн толук ачык-айкындыгын камсыз кылуу</t>
  </si>
  <si>
    <t xml:space="preserve"> КР Судьялар Кеӊешинин жана КР Судьялар  Кеӊешинин Тартип комиссиясынын ишин  камсыздоо  </t>
  </si>
  <si>
    <t>КР сот систмеасынын өнүктүрүүнүн артыкчылыктарын аныктоо/ соттук өз алдынча башкаруу органдарынын потенциалын күчөтүү</t>
  </si>
  <si>
    <t xml:space="preserve">Сот процесстеринин тараптарынын катышуучулары үчүн шарттарды түзүү / соттордун кызматтык жайлары үчүн бекитилген нормативдерге жооп берүүчү КР жергиликтүү соттору үчүн модернизацияланган жана жаӊы курулган имараттардын саны </t>
  </si>
  <si>
    <t>Сот корпусунун ачыктыгын жана кесипкөйлүгүн күчөтүү</t>
  </si>
  <si>
    <t>Сот имараттарына техникалык каражаттарды жана коопсуздук системасын киргизүү</t>
  </si>
  <si>
    <t>Сот чечимдеринин аткаруунун өз ара аракет моделин өркүндөтүү / сот чечимдерин аткаруунун үлүшүнүн көбөйүшү</t>
  </si>
  <si>
    <t>Жарандарга реалдуу жеткиликтүүлүк жана квалификациялуу юридикалык жардам</t>
  </si>
  <si>
    <t>Сот адилеттүүлүгүн жүргүзүү  сапатын жакшыртуу</t>
  </si>
  <si>
    <t xml:space="preserve">Соттордун саны, сот иштерин тез  маалыматтык технологиялардын киргизүүлөрдүн тез чечилишин киргизүү  </t>
  </si>
  <si>
    <r>
      <t xml:space="preserve">Пландаштыруу, башкаруу жана администрациялоо 
</t>
    </r>
    <r>
      <rPr>
        <i/>
        <sz val="10"/>
        <rFont val="Times New Roman"/>
        <family val="1"/>
        <charset val="204"/>
      </rPr>
      <t>Программанын максаты: Сот департаментини системасынын ишин камсыздоо, ведомствонун башка программаларын ишке ашырууну  координациялоо</t>
    </r>
  </si>
  <si>
    <r>
      <t xml:space="preserve">Натыйжалуу жана жеткиликтүү сот адилеттүүлүгү                              </t>
    </r>
    <r>
      <rPr>
        <i/>
        <sz val="10"/>
        <color theme="1"/>
        <rFont val="Times New Roman"/>
        <family val="1"/>
        <charset val="204"/>
      </rPr>
      <t>Программанын максаты:сот чечимдеринин  сот адилеттүүлүгүн жана  боло турган адилеттүүлүктү ишке ашыруу</t>
    </r>
  </si>
  <si>
    <r>
      <t xml:space="preserve">Пландоо, башкаруу жана администрациялоо  </t>
    </r>
    <r>
      <rPr>
        <i/>
        <sz val="10"/>
        <rFont val="Times New Roman"/>
        <family val="1"/>
        <charset val="204"/>
      </rPr>
      <t>Программанын максаты: Бул стратегияга киргизилген башка программаларды ишке ашырууга координациялоочу жана уюштуруучу таасир берүүлөр</t>
    </r>
  </si>
  <si>
    <r>
      <t xml:space="preserve">Бюджетти түзүү, жана бюджеттин  теңдештирүүнүн  жана туруктуулугун камсыз кылуу.                                                        
</t>
    </r>
    <r>
      <rPr>
        <i/>
        <sz val="10"/>
        <color theme="1"/>
        <rFont val="Times New Roman"/>
        <family val="1"/>
        <charset val="204"/>
      </rPr>
      <t xml:space="preserve">Программанын максаты: Бюджеттин ачыктуулугун жогорулатуу жана реалдуу бюджетти даярдоо, бюджеттин киреше бөлүгүнүн болжолун жакшыртуу жана бюджеттик иш-чаралардын наркын аныктоо. </t>
    </r>
  </si>
  <si>
    <r>
      <t xml:space="preserve">Бюджеттер аралык мамилелер                                                                                                                                                               </t>
    </r>
    <r>
      <rPr>
        <i/>
        <sz val="10"/>
        <rFont val="Times New Roman"/>
        <family val="1"/>
        <charset val="204"/>
      </rPr>
      <t>Программанын максаты: Бюджет аралык мамилелер системасын өркүндөтүү.</t>
    </r>
  </si>
  <si>
    <r>
      <t xml:space="preserve">Мамлекеттик карызды башкаруу                                                                                                                                              </t>
    </r>
    <r>
      <rPr>
        <i/>
        <sz val="10"/>
        <rFont val="Times New Roman"/>
        <family val="1"/>
        <charset val="204"/>
      </rPr>
      <t xml:space="preserve">Программанын максаты: Кыргыз Республикасынын  мамлекеттик карызынын туруктуулугу </t>
    </r>
  </si>
  <si>
    <r>
      <t xml:space="preserve">Кирешелер жана чыгашалар боюнча  бюджетти аткарууда кассалык  тейлөө.                                                                                              </t>
    </r>
    <r>
      <rPr>
        <i/>
        <sz val="10"/>
        <color indexed="8"/>
        <rFont val="Times New Roman"/>
        <family val="1"/>
        <charset val="204"/>
      </rPr>
      <t>Программанын  максаты:  Бюджетти аткаруу  жана отчеттуулук  процессин жакшыртуу</t>
    </r>
  </si>
  <si>
    <r>
      <t xml:space="preserve">Баалуу металлдар жана асыл таштар, алардан жасалган зер буюмдар  менен операциялар боюнча  мамлекеттик саясатты ишке ашыруу. </t>
    </r>
    <r>
      <rPr>
        <i/>
        <sz val="10"/>
        <color indexed="8"/>
        <rFont val="Times New Roman"/>
        <family val="1"/>
        <charset val="204"/>
      </rPr>
      <t>Программанын максаты: Кыргыз Республикасынын аймагында  баалуу металлдар жана асыл таштар  менен  операцияларды  натыйжалуу  мамлекеттик контролду жана жөнгө салууну уюштуруу.</t>
    </r>
  </si>
  <si>
    <r>
      <t xml:space="preserve">Мамлекеттик  финансыларды башкаруунун мониторинги жана  аудити                                                                                                   </t>
    </r>
    <r>
      <rPr>
        <i/>
        <sz val="10"/>
        <color indexed="8"/>
        <rFont val="Times New Roman"/>
        <family val="1"/>
        <charset val="204"/>
      </rPr>
      <t>Программанын максаты: Финансылык башкарууну жана контролдоону өркүндөтүү</t>
    </r>
  </si>
  <si>
    <r>
      <t xml:space="preserve">Бюджеттик саясатты ишке ашыруу жана методологияны өркүндөтүү                                                                                                                                                                      </t>
    </r>
    <r>
      <rPr>
        <i/>
        <sz val="10"/>
        <color indexed="8"/>
        <rFont val="Times New Roman"/>
        <family val="1"/>
        <charset val="204"/>
      </rPr>
      <t>Программанын  максаты: Кыргыз Республикасында  мамлекеттик финансыны  башкаруу системасындагы  реформаларды ишке ашыруу</t>
    </r>
  </si>
  <si>
    <r>
      <t xml:space="preserve">Экономикалык өсүш үчүн шарттарды түзүү                                                                                                                           </t>
    </r>
    <r>
      <rPr>
        <i/>
        <sz val="10"/>
        <color indexed="8"/>
        <rFont val="Times New Roman"/>
        <family val="1"/>
        <charset val="204"/>
      </rPr>
      <t xml:space="preserve">Программанын максаты: Мамлекеттик заемдук каражаттарды кайтаруу </t>
    </r>
  </si>
  <si>
    <r>
      <t xml:space="preserve">Пландоо, башкаруу жана  тескөө                                                                                                                                                </t>
    </r>
    <r>
      <rPr>
        <i/>
        <sz val="10"/>
        <rFont val="Times New Roman"/>
        <family val="1"/>
        <charset val="204"/>
      </rPr>
      <t xml:space="preserve">Программанын максаты: Бирдиктүү төлөөчү катары ММК фондун институционалдык жактан күчтөндүрүү. Башка программаларды жүзөгө ашырууга координациялык жана уюштуруучулук таасир этүү </t>
    </r>
  </si>
  <si>
    <r>
      <t xml:space="preserve">Баштапкы медициналык-санитардык жардам кызматын көрсөтүү                                                                                                                                     </t>
    </r>
    <r>
      <rPr>
        <i/>
        <sz val="10"/>
        <rFont val="Times New Roman"/>
        <family val="1"/>
        <charset val="204"/>
      </rPr>
      <t xml:space="preserve">Программанын максаты: Баштапкы медициналык-санитардык жардамдын деңгээлинде ооруну эрте аныктоо, медициналык жана профилактикалык жардам көрсөтүүнүн сапатын жана натыйжалуулугун жогорулатуу  </t>
    </r>
  </si>
  <si>
    <r>
      <t xml:space="preserve">Калкка МКПнын көлөмүнөн тышкары көрсөтүлүүчү  медициналык жана башка кызматтарга жеткиликтүүлүктү камсыз кылуу                                                                                                                                                    </t>
    </r>
    <r>
      <rPr>
        <i/>
        <sz val="10"/>
        <rFont val="Times New Roman"/>
        <family val="1"/>
        <charset val="204"/>
      </rPr>
      <t>Программанын максаты: Менчигинин түрүнө карабастан саламаттык сактоо уюмдары тарабынан кеңири спектрдеги кызмат көрсөтүү аркылуу жарандардын канааттангандыгын жогорулатуу</t>
    </r>
  </si>
  <si>
    <r>
      <rPr>
        <b/>
        <sz val="10"/>
        <color theme="1"/>
        <rFont val="Times New Roman"/>
        <family val="1"/>
        <charset val="204"/>
      </rPr>
      <t xml:space="preserve">Натыйжалуулуктун индикатору </t>
    </r>
    <r>
      <rPr>
        <sz val="10"/>
        <color theme="1"/>
        <rFont val="Times New Roman"/>
        <family val="1"/>
        <charset val="204"/>
      </rPr>
      <t>(</t>
    </r>
    <r>
      <rPr>
        <sz val="10"/>
        <color indexed="8"/>
        <rFont val="Times New Roman"/>
        <family val="1"/>
        <charset val="204"/>
      </rPr>
      <t>Программа боюнча максаттуу индикатор) Пенсионердин ПЖМ төмөн пенсия алган пенсионерлердин санын төмөндөтүшү.</t>
    </r>
  </si>
  <si>
    <r>
      <rPr>
        <b/>
        <sz val="10"/>
        <rFont val="Times New Roman"/>
        <family val="1"/>
        <charset val="204"/>
      </rPr>
      <t>КРдин территориясын жана анын аймактарын топографиялык-геодезиялык жана картографиялык жаатта камсыздоо</t>
    </r>
    <r>
      <rPr>
        <sz val="10"/>
        <rFont val="Times New Roman"/>
        <family val="1"/>
        <charset val="204"/>
      </rPr>
      <t xml:space="preserve">
</t>
    </r>
    <r>
      <rPr>
        <i/>
        <sz val="10"/>
        <rFont val="Times New Roman"/>
        <family val="1"/>
        <charset val="204"/>
      </rPr>
      <t xml:space="preserve">Программанын максаты: Өлкөнүн геосаясий кызыкчылыгын камсыздоо үчүн КРдин территориясында заманбап картографиялык жана геодезиялык негиз </t>
    </r>
  </si>
  <si>
    <r>
      <rPr>
        <b/>
        <sz val="10"/>
        <rFont val="Times New Roman"/>
        <family val="1"/>
        <charset val="204"/>
      </rPr>
      <t>Кыргыз Республикасынын мамлекеттик чек арасын делимитациялоо жана демаркациялоо</t>
    </r>
    <r>
      <rPr>
        <sz val="10"/>
        <rFont val="Times New Roman"/>
        <family val="1"/>
        <charset val="204"/>
      </rPr>
      <t xml:space="preserve">
</t>
    </r>
    <r>
      <rPr>
        <i/>
        <sz val="10"/>
        <rFont val="Times New Roman"/>
        <family val="1"/>
        <charset val="204"/>
      </rPr>
      <t>Программанын максаты:  Өлкөнүн геосаясий кызыкчылыгын камсыздоо үчүн КРдин территориясында заманбап картографиялык жана геодезиялык негиз</t>
    </r>
  </si>
  <si>
    <r>
      <t xml:space="preserve">Пландаштыруу, башкаруу жана администрациялоо                             
</t>
    </r>
    <r>
      <rPr>
        <i/>
        <sz val="10"/>
        <rFont val="Times New Roman"/>
        <family val="1"/>
        <charset val="204"/>
      </rPr>
      <t xml:space="preserve">Программанын максаты: тергөөдөгүлөрдү жана соттологондорду оңдоо жана багуу </t>
    </r>
  </si>
  <si>
    <r>
      <rPr>
        <sz val="10"/>
        <color indexed="8"/>
        <rFont val="Times New Roman"/>
        <family val="1"/>
        <charset val="204"/>
      </rPr>
      <t>Дарылоо мекемелеринде жалпы ооруларды азайтуу</t>
    </r>
    <r>
      <rPr>
        <b/>
        <sz val="10"/>
        <color indexed="8"/>
        <rFont val="Times New Roman"/>
        <family val="1"/>
        <charset val="204"/>
      </rPr>
      <t xml:space="preserve"> </t>
    </r>
  </si>
  <si>
    <r>
      <t xml:space="preserve">КРда интеллектуалдык менчик тутумун өнүктүрүүнүн мамлекеттик программасын ишке ашыруу               </t>
    </r>
    <r>
      <rPr>
        <b/>
        <i/>
        <sz val="10"/>
        <color theme="1"/>
        <rFont val="Times New Roman"/>
        <family val="1"/>
        <charset val="204"/>
      </rPr>
      <t xml:space="preserve">                                                                                                                                                             </t>
    </r>
    <r>
      <rPr>
        <i/>
        <sz val="10"/>
        <color indexed="8"/>
        <rFont val="Times New Roman"/>
        <family val="1"/>
        <charset val="204"/>
      </rPr>
      <t xml:space="preserve">Программанын максаты: 2021-жылга интеллектуалдык менчик рыногун иштетүү үчүн шарттарды түзүү </t>
    </r>
  </si>
  <si>
    <r>
      <t xml:space="preserve">2022-жылга чейинки мезгилге КРны илимий-инновациялык өнүктүрүүнүн концепциясын ишке ашыруу               </t>
    </r>
    <r>
      <rPr>
        <b/>
        <i/>
        <sz val="10"/>
        <color theme="1"/>
        <rFont val="Times New Roman"/>
        <family val="1"/>
        <charset val="204"/>
      </rPr>
      <t xml:space="preserve">                                                                                                                                                                            </t>
    </r>
    <r>
      <rPr>
        <i/>
        <sz val="10"/>
        <color indexed="8"/>
        <rFont val="Times New Roman"/>
        <family val="1"/>
        <charset val="204"/>
      </rPr>
      <t xml:space="preserve">Программанын максаты: Мамлекеттик инновациялык саясаттын максаттарынын, артыкчылыктарынын жана инструменттеринин  тутумун түзүү   </t>
    </r>
  </si>
  <si>
    <r>
      <t xml:space="preserve">Пландаштыруу, башкаруу жана администрациялоо 
</t>
    </r>
    <r>
      <rPr>
        <i/>
        <sz val="10"/>
        <rFont val="Times New Roman"/>
        <family val="1"/>
        <charset val="204"/>
      </rPr>
      <t>Программанын максаты: Башка программаларды ишке ашырууга координациялоочу жана уюштуруучу таасир этүүлөр</t>
    </r>
  </si>
  <si>
    <r>
      <t xml:space="preserve">Кыргыз Республикасынын Президентине караштуу Мамлекеттик башкаруу академиясы тарабынан жогорку кесиптик билим берүү 
</t>
    </r>
    <r>
      <rPr>
        <i/>
        <sz val="10"/>
        <rFont val="Times New Roman"/>
        <family val="1"/>
        <charset val="204"/>
      </rPr>
      <t xml:space="preserve">Программанын максаты: эмгек рыногунун талаптарына ылайык  жогорку кесиптик билим берүү  менен кадрларды даярдоо </t>
    </r>
  </si>
  <si>
    <r>
      <t xml:space="preserve">Мамлекеттик жана  муниципалдык кызматкерлердин квалификацияны жогорулатуу
</t>
    </r>
    <r>
      <rPr>
        <i/>
        <sz val="10"/>
        <rFont val="Times New Roman"/>
        <family val="1"/>
        <charset val="204"/>
      </rPr>
      <t xml:space="preserve">Программанын максаты: мамлекеттик жана  муниципалдык кызматкерлерди даярдоо, кайра даярдоо жана квалификациясын жогорулатуу </t>
    </r>
  </si>
  <si>
    <r>
      <t xml:space="preserve"> Кыргыз Республикасынын Президентине караштуу Мамлекеттик башкаруу академиясы тарабынан орто кесиптик билим берүү 
</t>
    </r>
    <r>
      <rPr>
        <i/>
        <sz val="10"/>
        <rFont val="Times New Roman"/>
        <family val="1"/>
        <charset val="204"/>
      </rPr>
      <t xml:space="preserve">Программанын максаты: эмгек рыногунун талаптарына ылайык  орто кесиптик билим берүү  менен кадрларды даярдоо </t>
    </r>
  </si>
  <si>
    <r>
      <t xml:space="preserve">Программанын аталышы-Маалыматтык кызматтар
</t>
    </r>
    <r>
      <rPr>
        <i/>
        <sz val="10"/>
        <color indexed="8"/>
        <rFont val="Times New Roman"/>
        <family val="1"/>
        <charset val="204"/>
      </rPr>
      <t>Программанын максаты-Мамлекеттик бийликтин расмий булактарынан КР калкына жана чет элдик окурмандарга маалыматтык кызмат көрсөтүү</t>
    </r>
  </si>
  <si>
    <r>
      <rPr>
        <b/>
        <sz val="10"/>
        <color indexed="8"/>
        <rFont val="Times New Roman"/>
        <family val="1"/>
        <charset val="204"/>
      </rPr>
      <t xml:space="preserve">Натыйжалуулук көрсөткүчү </t>
    </r>
    <r>
      <rPr>
        <sz val="10"/>
        <color indexed="8"/>
        <rFont val="Times New Roman"/>
        <family val="1"/>
        <charset val="204"/>
      </rPr>
      <t>(</t>
    </r>
    <r>
      <rPr>
        <i/>
        <sz val="10"/>
        <color indexed="8"/>
        <rFont val="Times New Roman"/>
        <family val="1"/>
        <charset val="204"/>
      </rPr>
      <t>Программа боюнча максаттуу көрсөткүч</t>
    </r>
    <r>
      <rPr>
        <sz val="10"/>
        <color indexed="8"/>
        <rFont val="Times New Roman"/>
        <family val="1"/>
        <charset val="204"/>
      </rPr>
      <t xml:space="preserve">) агенттик тарабынан чыгарылган маалыматтардын жалпы саны </t>
    </r>
  </si>
  <si>
    <r>
      <t xml:space="preserve">Пландаштыруу,  башкаруу жана администрациялоо.                                    </t>
    </r>
    <r>
      <rPr>
        <i/>
        <sz val="10"/>
        <color indexed="8"/>
        <rFont val="Times New Roman"/>
        <family val="1"/>
        <charset val="204"/>
      </rPr>
      <t>Программанын максаты: башка программаларды ишке ашыруудагы  жөнгө салуучу  жана уюштуруучу  таасир этүү</t>
    </r>
  </si>
  <si>
    <r>
      <t xml:space="preserve">Пландаштыруу, башкаруу жана администрациялоо                                                                                                                              
</t>
    </r>
    <r>
      <rPr>
        <i/>
        <sz val="10"/>
        <rFont val="Times New Roman"/>
        <family val="1"/>
        <charset val="204"/>
      </rPr>
      <t xml:space="preserve">Программанын максаты: Башка программалдарды ишке ашырууга координациялоочу жана уюштуруучу таасирлер </t>
    </r>
  </si>
  <si>
    <r>
      <rPr>
        <b/>
        <sz val="10"/>
        <rFont val="Times New Roman"/>
        <family val="1"/>
        <charset val="204"/>
      </rPr>
      <t xml:space="preserve">Пландоо, башкаруу жана администрациялоо </t>
    </r>
    <r>
      <rPr>
        <sz val="10"/>
        <rFont val="Times New Roman"/>
        <family val="1"/>
        <charset val="204"/>
      </rPr>
      <t xml:space="preserve">
</t>
    </r>
  </si>
  <si>
    <r>
      <t xml:space="preserve">Пландоо, башкаруу жана администрациялоо                                                                                                                               
</t>
    </r>
    <r>
      <rPr>
        <i/>
        <sz val="10"/>
        <rFont val="Times New Roman"/>
        <family val="1"/>
        <charset val="204"/>
      </rPr>
      <t xml:space="preserve">Программанын максаттары: Башка программаларды ишке ашырууга координациялоочу жана уюштуруучу таасир этүү </t>
    </r>
  </si>
  <si>
    <r>
      <t xml:space="preserve">Экономикалык жана коррупциялык укук бузууларды  алдын алуунун жана өз учурунда жоюунун натыйжалуулугун жогорулатуу 
</t>
    </r>
    <r>
      <rPr>
        <i/>
        <sz val="10"/>
        <rFont val="Times New Roman"/>
        <family val="1"/>
        <charset val="204"/>
      </rPr>
      <t>Программанын максаты: Кылмыштуулуктун алдын алуу, экономикалык жана коррупциялык укук бузуулардын болушунун себептерин жана шарттарын жоюу</t>
    </r>
    <r>
      <rPr>
        <b/>
        <i/>
        <sz val="10"/>
        <rFont val="Times New Roman"/>
        <family val="1"/>
        <charset val="204"/>
      </rPr>
      <t xml:space="preserve">
</t>
    </r>
  </si>
  <si>
    <r>
      <rPr>
        <b/>
        <sz val="10"/>
        <color theme="1"/>
        <rFont val="Times New Roman"/>
        <family val="1"/>
        <charset val="204"/>
      </rPr>
      <t xml:space="preserve">Пландоо, башкаруу жана администрлөө     </t>
    </r>
    <r>
      <rPr>
        <sz val="10"/>
        <color theme="1"/>
        <rFont val="Times New Roman"/>
        <family val="1"/>
        <charset val="204"/>
      </rPr>
      <t xml:space="preserve">                                                                                                                         
П</t>
    </r>
    <r>
      <rPr>
        <i/>
        <sz val="10"/>
        <color theme="1"/>
        <rFont val="Times New Roman"/>
        <family val="1"/>
        <charset val="204"/>
      </rPr>
      <t>рограмманын максаты: Башка программаларды ишке ашырууга координациялоочу жана уюштуруучу таасирлер</t>
    </r>
  </si>
  <si>
    <r>
      <t>Натыйжалуулук индикаторлору (</t>
    </r>
    <r>
      <rPr>
        <sz val="10"/>
        <color indexed="8"/>
        <rFont val="Times New Roman"/>
        <family val="1"/>
        <charset val="204"/>
      </rPr>
      <t>Программалар боюнча максаттуу индикаторлор)</t>
    </r>
  </si>
  <si>
    <r>
      <t xml:space="preserve">Миграция чөйрөсүндөгү саясатты ишке ашыруу                                                                                                                            </t>
    </r>
    <r>
      <rPr>
        <i/>
        <sz val="10"/>
        <rFont val="Times New Roman"/>
        <family val="1"/>
        <charset val="204"/>
      </rPr>
      <t xml:space="preserve">Программанын максаты: Миграция чөйрөсүндөгү мамлекеттик саясатты ишке ашыруу              </t>
    </r>
  </si>
  <si>
    <r>
      <t xml:space="preserve">Пландоо, башкаруу жана администрациялоо                                                                                                                               
</t>
    </r>
    <r>
      <rPr>
        <i/>
        <sz val="10"/>
        <color indexed="8"/>
        <rFont val="Times New Roman"/>
        <family val="1"/>
        <charset val="204"/>
      </rPr>
      <t xml:space="preserve">Программанын максаттары: Башка программаларды ишке ашырууга координациялоочу жана уюштуруучу таасир этүү </t>
    </r>
  </si>
  <si>
    <r>
      <t>Энергетика секторун өнүктүрүү үчүн экономикалык өбөлгөлөрдү түзүү.</t>
    </r>
    <r>
      <rPr>
        <i/>
        <sz val="10"/>
        <color theme="1"/>
        <rFont val="Times New Roman"/>
        <family val="1"/>
        <charset val="204"/>
      </rPr>
      <t xml:space="preserve">
Программанын максаты - ОЭК тармагында иш жүргүзүшкөн чарба жүргүзүүчү субъекттердин экономикалык натыйжалуулугун жогорулатууга жана ишенимдүү иштөөлөрүнө шарттарды түзүү</t>
    </r>
  </si>
  <si>
    <r>
      <t xml:space="preserve">Пландаштыруу, башкаруу жана администрациялоо 
</t>
    </r>
    <r>
      <rPr>
        <i/>
        <sz val="10"/>
        <rFont val="Times New Roman"/>
        <family val="1"/>
        <charset val="204"/>
      </rPr>
      <t xml:space="preserve">Программанын максаты: Соттук-эксперттик ишти координациялоо </t>
    </r>
  </si>
  <si>
    <r>
      <t xml:space="preserve">Соттук эксперттик иштерди ишке ашыруу 
</t>
    </r>
    <r>
      <rPr>
        <i/>
        <sz val="10"/>
        <color indexed="8"/>
        <rFont val="Times New Roman"/>
        <family val="1"/>
        <charset val="204"/>
      </rPr>
      <t xml:space="preserve">Программанын максаты: Соттук экспертизаларды жүргүзүү </t>
    </r>
  </si>
  <si>
    <t xml:space="preserve">Саммиттерди жана башка мамлекеттик маанидеги иш-чараларды уюштурууну камсыздоо </t>
  </si>
  <si>
    <t>Мамлекеттик  кызмат көрсөтүүлөрдүн, ошондой эле мамл протколду камсыздоонун жогорку деңгээлин камсыз кылуу</t>
  </si>
  <si>
    <t>Мамлекеттик мекемелердин бирдиктүү байл каналыны программалык жана  техникалык камсыздоо жана шайлоолор, референдум ачыктыгын камсыздоо</t>
  </si>
  <si>
    <t xml:space="preserve">Жогорку соттун аппараттарынын кызматкерлеринин кызматтык милдеттерине байланыштуу укук бузуулардын саны </t>
  </si>
  <si>
    <t>Эмгек жөнүндө жана мамлекеттик кызмат чөйрөсүндөгү мыйзам бузуулардын саны</t>
  </si>
  <si>
    <t>Конституциялык адилеттүүлүктүн автоматизациялышын баардык системасынын иштеши</t>
  </si>
  <si>
    <t xml:space="preserve"> КР ЖС АЖМ аппаратынын кызматкерлеринин кызматтык милдеттерине байланыштуу бузуулардын саны</t>
  </si>
  <si>
    <t xml:space="preserve"> КР ЖС АЖМ  бузуусуз жана  себепсиз кармалууларсыз бюджетти аткаруунун пайызы  </t>
  </si>
  <si>
    <t xml:space="preserve"> Аудиторияларга  видеобайкоо системасын киргизүү</t>
  </si>
  <si>
    <t xml:space="preserve">КРдин судьларды тандоо  боюнча Кеңеш тарабынан судьларды көз карандысыз тандоо </t>
  </si>
  <si>
    <t>Жалпы санда процессуалдык нормаларды бузуу себебинен сот токтомдорунун   жокко чыгарылган жана  өзгөртүлгөндөрдун үлүшү</t>
  </si>
  <si>
    <r>
      <t xml:space="preserve">«Пландаштыруу, башкаруу жана администрациялоо»,                                                                                                                            
</t>
    </r>
    <r>
      <rPr>
        <i/>
        <sz val="10"/>
        <rFont val="Times New Roman"/>
        <family val="1"/>
        <charset val="204"/>
      </rPr>
      <t xml:space="preserve">Программанын максаты: Башка программаларды ишке ашырууга координациялоочу жана уюштуруучу таасир этүүлөр                                                                                                                     </t>
    </r>
  </si>
  <si>
    <t xml:space="preserve">Координациялоо жана жалпы жетекчиликти камсыздоо </t>
  </si>
  <si>
    <t xml:space="preserve">Финансылык  менеджмент жана эсепке алуунун камсыздоо </t>
  </si>
  <si>
    <t xml:space="preserve">Аудит жана  аудит натыйжалуулугу: республикалык бюджетти аткаруунун натый,  жерг бюджетти, бюджеттик эмес жана атайын каражатарды түзүү жана аткаруу,  мамл жана муницип менчикти пайдалануу,мамл аудитин эл аралык стандарттарын камсыздоо жана ишке ашыруу.
</t>
  </si>
  <si>
    <t>Ведомствоаралык макулдашуулардын ченемдик-укутук актылар долбоорлорунун каралган саны</t>
  </si>
  <si>
    <t xml:space="preserve">Пландалган  аудитордук иш чаралардын саны </t>
  </si>
  <si>
    <t>Эсептөө палатасынын Кеңешинин токтомунун каралган саны</t>
  </si>
  <si>
    <t xml:space="preserve"> Президент, депутатов Жогорку Кенеша К Р ЖК, жерг кеңештердин  депутаттарын шайлоодорун, аткар бийл органдарын башчыларын  уюштуруу жана даярдоо Кыргыз Республикасынын Президентин, Кыргыз Республикасынын Жогорку Кеңешинин депутаттарын, жергиликтүү кеңештердин депутаттарын, жергиликтүү өз алдынча башкаруунун аткаруу органдарынын башчыларын шайлоону жана референдумду даярдоону жана өткөрүүнү уюштуруу</t>
  </si>
  <si>
    <t xml:space="preserve">Адамд ресурстарын башкаруу </t>
  </si>
  <si>
    <t xml:space="preserve">Эмгек талаштар боюнча уткан соттук процесстердин үлүшү </t>
  </si>
  <si>
    <t>Камсыздоо кызматынын кызматкерлеринин саны жалпы борбордук аппараттын  кызматкерлердин санынынүлүшү</t>
  </si>
  <si>
    <t xml:space="preserve">Жургүзүлгөн текшерүүлөрдүн саны (2019-жылы аныкталган бузуулар), көрүлгөн прокурордук чаралардын саны, келтирилген прокурордук актылардын саны, тартиптик жана административдик жоопкерчиликке тартылгандардын саны жана келтирилген прокурордук актылардын негизинде өндүрүлгөн зыяндын суммасы </t>
  </si>
  <si>
    <t xml:space="preserve">Жургүзүлгөн текшерүүлөрдүн саны (2019-жылы аныкталган бузуулар), көрүлгөн прокурордук чаралардын саны, келтирилген прокурордук актылардын саны, тартиптик жана административдик жоопкерчиликке тартылгандардын саны.  </t>
  </si>
  <si>
    <t xml:space="preserve">Утуштуу соттук процесстердин саны </t>
  </si>
  <si>
    <t xml:space="preserve">Иштелип чыккан ченемдик актылардын жалпы санындагы кошумча иштеп чыгууга кайтарылган ченемдик актылардын саны  </t>
  </si>
  <si>
    <t xml:space="preserve">Аскер сотунун чечими менен колдоого алынган мамлекеттик айыптоолордун саны  </t>
  </si>
  <si>
    <t xml:space="preserve">Куралдуу Күчтөрдөгү бети ачылган кылмыштардын саны </t>
  </si>
  <si>
    <t>Адамдардын укугун эркиндигин коргоону жакшыртуу</t>
  </si>
  <si>
    <r>
      <t xml:space="preserve">Мамлекеттик органдардын мыйзам долбоорлоо иштерин координациялоо, экспертизалоо,  ченемдик актыларды  тутумдаштыруу жана кодификациялоо.                          
</t>
    </r>
    <r>
      <rPr>
        <i/>
        <sz val="10"/>
        <rFont val="Times New Roman"/>
        <family val="1"/>
        <charset val="204"/>
      </rPr>
      <t xml:space="preserve">Программанын максаты: Ченемдик укуктук камсыз кылуу, мыйзам долбоорлоо иштерин координациялоо жана экспертизалоонун сапатын жогорулатуу </t>
    </r>
  </si>
  <si>
    <t>Мамлекеттик каттоону, кайра каттоону, ишке ашыруужана юридикалык жак жана филиал (өкүлчүлүк) ишин токтотуу  жана  облус аймагында түзгөн ЖМК маалыматары түзгөн ,о.э калкка нотариалдык кызматтарды көрсөтүү</t>
  </si>
  <si>
    <t xml:space="preserve">Мамл каттоону, кайра каттоону, юрид жак жана филиал (өкүлчүлүк)  жана  обл аймагында түзгөн жмк маалыматары түзгөн, о.э калкка нотариалдык кызматтарды көрсөтүү </t>
  </si>
  <si>
    <t>Нормативдик укуктук , соттук-эксперттик, адвокаттыкнотариалдык пробац ишти жөнгө салуу жаатында  мамл саясатты иштеп чыгуу жана ишке ашыруу функ камсыздоо</t>
  </si>
  <si>
    <t>Мыйзам алдындагы актылардын экспертизаларынын саны, эл аралык келишимдердин долбоорлорунун саны, ченемдик укуктук актылардын кабыл алынышы</t>
  </si>
  <si>
    <t>Юрид жактардын, филиал (өкүлчүлүк) маалыматтар базасын өркүндөтүү жана актуалдаштыруу камсыздоо</t>
  </si>
  <si>
    <t xml:space="preserve">Программалык камсыздоону иштеп чыгуу жана киргизүү </t>
  </si>
  <si>
    <t xml:space="preserve">Тышкы иштер чөйрөсүндө башкарууну жүзөгө ашыруу 
</t>
  </si>
  <si>
    <t xml:space="preserve">Тышкы иштер чөйрөсүндө башкарууну жүзөгө ашыруу   
</t>
  </si>
  <si>
    <t>ММК фондунун маалыматтык тутумдарын жана маалымат базаларын тейлөө</t>
  </si>
  <si>
    <t>1-программа боюнча жыйынтык</t>
  </si>
  <si>
    <t>2-программа боюнча жыйынтык</t>
  </si>
  <si>
    <t>3-программа боюнча жыйынтык</t>
  </si>
  <si>
    <t>Саламаттык сактоо уюмдарынын финансылык туруктуулугун жана талаптагыдай иштешин камсыз кылуу (коопсуздук запасын түзүү)</t>
  </si>
  <si>
    <t>Саламаттык сактоо уюмдарын колдоо, өнүктүрүү жана материалдык-техникалык жабдууну колдоо</t>
  </si>
  <si>
    <t>Саламаттык сактоо уюмдарын саламаттыкты сактоону өнүктүрүүгө бөлгөн үлүш ү</t>
  </si>
  <si>
    <t>АӨБ долбоору</t>
  </si>
  <si>
    <t>Саламаттык сактоо уюмдары тарабынан көрсөтүлгөн ден соолук жана сергектик кызматтарды каржылоо үчүн бөлүнгөн каражаттардын жалпы суммасы 1-айдан кем эмес өлчөмүндө каржылык туруктуулук үлүшү</t>
  </si>
  <si>
    <t>Кымбат баалуу жабдууларды камсыз кылуу үчүн жөнөтүүчүлөр менен түзүлгөн келишимдердин саны</t>
  </si>
  <si>
    <t>4-программа боюнча жыйынтык</t>
  </si>
  <si>
    <t>Бюджеттик кредиттерди башкаруу боюнча МА</t>
  </si>
  <si>
    <t xml:space="preserve">"Улуттук Ипотекалык компаниясы" ААК </t>
  </si>
  <si>
    <t>Табигый кырсыктарды жоюу боюнча иш-чаралар</t>
  </si>
  <si>
    <t>Тендɵɵчу трансферттер</t>
  </si>
  <si>
    <t>Максаттуу трансферттер</t>
  </si>
  <si>
    <t>Өлкөнүн эл аралык рейтингдери боюнча ар жылдык отчетторду жаңылоо жана жарыялоо (Бизнес жүргүзүү жана көз карандысыз рейтинг)</t>
  </si>
  <si>
    <t>Мамлекеттик инвестиция долбоорлорун ишке ашыруу</t>
  </si>
  <si>
    <t>Топуракты иликтөөнү оңдоо, айдоо аянттарын мониторингдөө, долбоорлоо жана изилдөө, жерге жайгаштыруу боюнча изилдөө иштери</t>
  </si>
  <si>
    <t xml:space="preserve">Чек аранын жанындагы аймактарда топографиялык карталарды жаңылоо </t>
  </si>
  <si>
    <t>Кыргыз Республикасынын мамлекеттик чек ара линиясы боюнча чек ара белгилери</t>
  </si>
  <si>
    <r>
      <t xml:space="preserve">Соттолгондорду жана тергөөдөгүлөрдү багуу.  
</t>
    </r>
    <r>
      <rPr>
        <i/>
        <sz val="10"/>
        <color indexed="8"/>
        <rFont val="Times New Roman"/>
        <family val="1"/>
        <charset val="204"/>
      </rPr>
      <t xml:space="preserve">Программанын максаты:  Жазаны өтөөнү, жазанын максаттарына жетишүүнү  камсыз кылуучу жана   соттолгондордун жазадан бошотулгандан кийин  ресоциалдаштырууга көмөктөшүүчү шарттарды түзүү жана колдоо  </t>
    </r>
  </si>
  <si>
    <t>Сот-укуктук реформа</t>
  </si>
  <si>
    <r>
      <t xml:space="preserve">Атайын контингенттин ден соолугун камсыз кылуу.  
</t>
    </r>
    <r>
      <rPr>
        <i/>
        <sz val="10"/>
        <color indexed="8"/>
        <rFont val="Times New Roman"/>
        <family val="1"/>
        <charset val="204"/>
      </rPr>
      <t xml:space="preserve">Программанын максаты: Соттолгондорго жана тергөөдөгүлөргө зарыл болгон медициналык кызматтарды көрсөтүү </t>
    </r>
  </si>
  <si>
    <r>
      <t xml:space="preserve">Жазаларды аткаруу мамлекеттик кызмат системасында  мектепке чейинки билим берүүнү колдоо                                                              </t>
    </r>
    <r>
      <rPr>
        <i/>
        <sz val="10"/>
        <color indexed="8"/>
        <rFont val="Times New Roman"/>
        <family val="1"/>
        <charset val="204"/>
      </rPr>
      <t>Программанын максаты: балдарды мектепке даярдоо</t>
    </r>
  </si>
  <si>
    <r>
      <rPr>
        <b/>
        <sz val="10"/>
        <rFont val="Times New Roman"/>
        <family val="1"/>
        <charset val="204"/>
      </rPr>
      <t xml:space="preserve">Түзөтүү мекемелерин кайтаруу, соттолгондорду жана камакка алынган адамдарды конвой менен коштоп жүрүү    </t>
    </r>
    <r>
      <rPr>
        <b/>
        <i/>
        <sz val="10"/>
        <rFont val="Times New Roman"/>
        <family val="1"/>
        <charset val="204"/>
      </rPr>
      <t xml:space="preserve">   </t>
    </r>
    <r>
      <rPr>
        <i/>
        <sz val="10"/>
        <rFont val="Times New Roman"/>
        <family val="1"/>
        <charset val="204"/>
      </rPr>
      <t xml:space="preserve">                                                                                        Программанын максаты: Түзөтүү мекемелеринде соттолгондордун жана камакка алынган адамдардын  режимди сактоосун камсыздоо.</t>
    </r>
  </si>
  <si>
    <r>
      <t xml:space="preserve">
Пландоо, башкаруу жана жетектөө                                                                                                                            
</t>
    </r>
    <r>
      <rPr>
        <i/>
        <sz val="10"/>
        <color theme="1"/>
        <rFont val="Times New Roman"/>
        <family val="1"/>
        <charset val="204"/>
      </rPr>
      <t>Программанын максаты: Башка программаларды жүзөгө ашырууга координациялык жана уюштуруучулук таасир</t>
    </r>
  </si>
  <si>
    <r>
      <t xml:space="preserve">Мектепте билим берүү 
</t>
    </r>
    <r>
      <rPr>
        <i/>
        <sz val="10"/>
        <color theme="1"/>
        <rFont val="Times New Roman"/>
        <family val="1"/>
        <charset val="204"/>
      </rPr>
      <t>Программанын максаты: Өнүгүп жаткан экономиканын талаптарына жооп берген сапатты өркүндөтүү жана мектеп билимине кеңири мүмкүнчүлүк берүү</t>
    </r>
    <r>
      <rPr>
        <b/>
        <sz val="10"/>
        <color theme="1"/>
        <rFont val="Times New Roman"/>
        <family val="1"/>
        <charset val="204"/>
      </rPr>
      <t xml:space="preserve">
</t>
    </r>
  </si>
  <si>
    <r>
      <t xml:space="preserve">Башталгыч жана орто кесиптик билим берүү
</t>
    </r>
    <r>
      <rPr>
        <i/>
        <sz val="10"/>
        <color theme="1"/>
        <rFont val="Times New Roman"/>
        <family val="1"/>
        <charset val="204"/>
      </rPr>
      <t>Программанын максаты: Эмгек рыногунун, коомдун жана мамлекеттин талаптарына жооп берген кесиптик билим берүүнүн жаңы системасын түзүү.</t>
    </r>
  </si>
  <si>
    <r>
      <t xml:space="preserve">Илимдин артыкчылыктуу тармактарын өнүктүрүүгө мамлекеттик колдоо  </t>
    </r>
    <r>
      <rPr>
        <sz val="10"/>
        <color theme="1"/>
        <rFont val="Times New Roman"/>
        <family val="1"/>
        <charset val="204"/>
      </rPr>
      <t xml:space="preserve">
</t>
    </r>
    <r>
      <rPr>
        <i/>
        <sz val="10"/>
        <color theme="1"/>
        <rFont val="Times New Roman"/>
        <family val="1"/>
        <charset val="204"/>
      </rPr>
      <t>Программанын максаты: Колдонмо (университеттик) илимди өнүктүрүү жана университеттик илимдин сапатын жогорулатуу, практикалык колдонууга багытталган университеттердеги илимий-изилдөө долбоорлорунун санын көбөйтүү.</t>
    </r>
    <r>
      <rPr>
        <b/>
        <i/>
        <sz val="10"/>
        <color theme="1"/>
        <rFont val="Times New Roman"/>
        <family val="1"/>
        <charset val="204"/>
      </rPr>
      <t xml:space="preserve">                                                                                                                                                                                         </t>
    </r>
  </si>
  <si>
    <r>
      <t xml:space="preserve">Жогорку кесиптик билим берүү                                                                                                                          </t>
    </r>
    <r>
      <rPr>
        <sz val="10"/>
        <color theme="1"/>
        <rFont val="Times New Roman"/>
        <family val="1"/>
        <charset val="204"/>
      </rPr>
      <t xml:space="preserve">
</t>
    </r>
    <r>
      <rPr>
        <i/>
        <sz val="10"/>
        <color theme="1"/>
        <rFont val="Times New Roman"/>
        <family val="1"/>
        <charset val="204"/>
      </rPr>
      <t>Программанын максаты: эл аралык стандарттарга ылайык билим берүүнүн сапатын жогорулатуу жана бүтүрүүчүлөрдүн билимдерине жана билимине болгон талаптарды өзгөртүү.</t>
    </r>
  </si>
  <si>
    <t>34. Кыргыз Республикасынын Билим берүү жана илим министрлиги</t>
  </si>
  <si>
    <t>Кодекстин долбоору</t>
  </si>
  <si>
    <r>
      <t xml:space="preserve">Пландаштыруу жана башкаруу     </t>
    </r>
    <r>
      <rPr>
        <b/>
        <i/>
        <sz val="10"/>
        <rFont val="Times New Roman"/>
        <family val="1"/>
        <charset val="204"/>
      </rPr>
      <t xml:space="preserve">                                 
</t>
    </r>
    <r>
      <rPr>
        <i/>
        <sz val="10"/>
        <rFont val="Times New Roman"/>
        <family val="1"/>
        <charset val="204"/>
      </rPr>
      <t>Программанын максаттары: башка программаларды ишке ашырууга координациялоочу жана уюштуруучу таасир этүүлөр</t>
    </r>
  </si>
  <si>
    <t>Пенсиянын базалык бөлүгүнө улгайган жарандардын АСЖ өлчөмдөрүнүн катышы</t>
  </si>
  <si>
    <t>эсептелген көрсөткүчтөрдүн саны</t>
  </si>
  <si>
    <t>Борбордун барлыгы</t>
  </si>
  <si>
    <t>Мурда түзүлгөн борборлорду колдоо</t>
  </si>
  <si>
    <t>борборлордун саны</t>
  </si>
  <si>
    <t>Даярдалган багып алуучу үй-бүлөлөрдүн саны</t>
  </si>
  <si>
    <t>Багып алуучу үй-булөгө жайгаштырылган балдардын саны</t>
  </si>
  <si>
    <t>Кайтарылган балдардын саны</t>
  </si>
  <si>
    <t>Абоненттерден, анын ичинде балдардан түшкөн чалуулардын саны</t>
  </si>
  <si>
    <t>Реабилитацияга камтылган ДМЧА саны</t>
  </si>
  <si>
    <t>1. Тейленгендердин саны</t>
  </si>
  <si>
    <t>миң адам</t>
  </si>
  <si>
    <t>1.Жаңы редакциядагы мамлекеттик социалдык заказды киргизүү боюнча мыйзам алдындагы актыларды иштеп чыгуу</t>
  </si>
  <si>
    <t>2. ДМЧА жалпы санына мамлекеттик социалдык заказ аркылуу камтылган ДМЧА саны</t>
  </si>
  <si>
    <t>3. ЭСӨМ системасында улгайган жарандардын жалпы санына мамлееттик социалдык заказ аркылуу камтылган улгайган жарандардын саны</t>
  </si>
  <si>
    <t>1.техникалык каражаттар менен камсыздалган ДМЧА саны (адам) жана бирдикке керектөө</t>
  </si>
  <si>
    <t>2. Окутулган адистердин саны</t>
  </si>
  <si>
    <t>3.Даярдалган протездик-ортопедиялык буюмдардын саны (бирдик) жана бирдикке керектөө</t>
  </si>
  <si>
    <t>1. Кайрылуулардын санына санатордук-курорттук дарыланууга жолдонмолор менен камсыздалган ДМЧА саны</t>
  </si>
  <si>
    <t>Акчалай жөлөкпулдун өлчөмү</t>
  </si>
  <si>
    <t>Кошумча акчалай жөлөкпулдун өлчөмдөрү</t>
  </si>
  <si>
    <t>Жөлөкпул алуучулардын саны</t>
  </si>
  <si>
    <t xml:space="preserve">Жумушсуз жарандардын үлүшү, окутуудан кийин ишке орношкондор, кайра окутуу, квалификациясын жогорулатуу    </t>
  </si>
  <si>
    <t xml:space="preserve">Акы төлөнгөн коомдук иштердин линиясы боюнча камтылган ишсиздердин саны </t>
  </si>
  <si>
    <t>Бош орундар Жарманкесине баруунун жыйынтыгында ишсиз, ишке орношкондордун саны</t>
  </si>
  <si>
    <t>Ишке орноштуруу</t>
  </si>
  <si>
    <t>Жабыр тарткандарга кызмат көрсөткөн жана калыбына келтирүү программаларын ишке ашырган иштеп жаткан кризистик борборлордун саны</t>
  </si>
  <si>
    <t>Жаңы өкмөттүк кризистик борборлордун саны</t>
  </si>
  <si>
    <t>ДМЧА реабилитациялоо үчүн техникалык каражаттар менен камсыздоо (протездик-ортопедиялык буюмдар, техникалык көмөкчү каражаттар жана башка адистештирилген каражаттар)</t>
  </si>
  <si>
    <t>Пенсия менен камсыздоого укугу жок адамдарды ай сайын социалдык жөлөкпулдар, ошондой эле 2010-жылдагы окуядан жана 2002-жылдагы Аксы окуясында жабыр тарткандарды ай сайын кошумча берилүүчү социалдык жөлөкпулдар менен камсыздоо</t>
  </si>
  <si>
    <t>КРЭСӨМнин аймактык жана ведомстволук бөлүмдөрүнүн кызматкерлеринин потенциалын жогорулатуу</t>
  </si>
  <si>
    <t>Чет элдик мамлекеттин аймагында КР жараны болгон, ата-энесинин кароосуз калган балдарды кайтаруу (репатриация)</t>
  </si>
  <si>
    <t>Медико-социалдык экспертизанын (МСЭ) административдик, функционалдык түзүмүн жана инфраструктурасын оптималдаштыруу</t>
  </si>
  <si>
    <t>Мамлекеттик социалдык заказдын алкагында улгайган жарандарга жана ден соолугунун мүмкүнчүлүгү чектелген адамдарга (ДМЧА)  социалдык кызматтарды көрсөтүү</t>
  </si>
  <si>
    <t>Санатордук-курорттук дарыланууга жолдонмолор менен ДМЧА камсыздоо</t>
  </si>
  <si>
    <t>Кам көрүүгө жана көзөмөлгө дайыма муктаж болгон ден соолугунун мүмкүнчүлүгү чектелүү балдарын караган энелерге социалдык жардам</t>
  </si>
  <si>
    <t>Жарандардын 25 категориясына ай сайынкы акчалай компенсацияларды жана Улуу Ата Мекендик согуштун ардаргерлерине ай сайын берилүүчү стипендияны төлөөнү камсыздоо</t>
  </si>
  <si>
    <t>Улуу Ата Мекендик согуштун ардагерлерине 9- майга жыл сайын бир жолку акчалай жөлөкпулду төлөөнү камсыздоо</t>
  </si>
  <si>
    <t>Иш менен камсыз кылуу саясатынын пассивдүү и активдүү чаралары</t>
  </si>
  <si>
    <t>Ишсиздерди жумуш менен камсыз болгон калктын санына интеграциялоо</t>
  </si>
  <si>
    <t>Гендердик жана үй-бүлөлүк зомбулуктан жабыр тарткандарга жардам көрсөтүү үчүн социалдык кызматтарды/кризистик борборлорду өнүктүрүү жана үй-бүлөлүк зомбулукка кабылган адамдарга түзөтүү программаларын киргизүү</t>
  </si>
  <si>
    <t>Зордук-зомбулуктан жабыр тарткандарга жардам көрсөтүү жана үй-бүлөдөгү зомбулук кырдаалындагы үй-бүлөлөргө колдоо көрсөтүү үчүн мамлекеттик кризистик борборду түзүү</t>
  </si>
  <si>
    <t>Учурдагы жылдын бала төрөлгөндө "Балага сүйүнчү" - бир жолку төлөмүнүн өлчөмүн өткөн жылга карата сактоо</t>
  </si>
  <si>
    <t>Учурдагы жылдын 16 жашка чейинки баласы бар жарандарга (үй-бүлөлөргө) "Үй-бүлөгө көмөк" ар айлык жөлөкпулдун өлчөмүнүн базалык жылга карата деңгээли</t>
  </si>
  <si>
    <t>Учурдагы жылдын кепилденген эң төмөнкү кирешенин (КЭТК) өлчөмүнүн базалык жылга карата катышы</t>
  </si>
  <si>
    <t>Пенсиянын базалык бөлүгүнө ДМЧА АСЖ өлчөмдөрүнүн катышы</t>
  </si>
  <si>
    <t>Пенсиянын базалык бөлүгүнө улгайган жарандардын АСЖ өлчөмүнүн катышы</t>
  </si>
  <si>
    <t xml:space="preserve">Кошумча ай сайын берилүүчү социалдык жөлөкпулдун өлчөмү </t>
  </si>
  <si>
    <t>Окутууга КР ЭСӨМнин системасы боюнча  100дөн кем эмес кызматкерлер камтылган</t>
  </si>
  <si>
    <t>1. ЭАИК жаңыртылган методикасы иштелип чыккан</t>
  </si>
  <si>
    <t>2. ЭАИК боюнча окутулган дарыгер-эксперттердин саны</t>
  </si>
  <si>
    <t>Окутулган дарыгерлердин саны</t>
  </si>
  <si>
    <t>2. Чыгымдардын жалпы суммасы (респ.бюджет)</t>
  </si>
  <si>
    <t>3. Айына бир кызмат алуучуну тейлөөгө сумма</t>
  </si>
  <si>
    <t>Иштелип чыккан КРнын Өкмөтүнүн токтомунун долбоору</t>
  </si>
  <si>
    <t>Кызмат көрсөтүүлөрдүн альтернативдүү түрлөрү менен камсыз болгон ДМЧ бала/балдардын саны</t>
  </si>
  <si>
    <t>Базалык жылдын деңгээлинде жарандардын 25 категориясына акчалай компенсациялардын өлчөмүн сактоо</t>
  </si>
  <si>
    <t>Өмүр бою берилүүчү стипендиянын өлчөмү</t>
  </si>
  <si>
    <t>Орточо айлык эмгек акынын өлчөмүнө карата расымдык жөлөкпулдун орто өлчөмүнүн катышы, % менен</t>
  </si>
  <si>
    <t>Өз алдынча иш менен камсыз болгондордун саны</t>
  </si>
  <si>
    <t>үй-бүлө</t>
  </si>
  <si>
    <t>39.Кыргыз Республикасынын Президентинин алдындагы Мамлекеттик башкаруу академиясы</t>
  </si>
  <si>
    <t>Республикалык жана эл аралык деңгээлдеги олимпиадаларда, сынактарда байгелүү орундарды алган окуучулардын үлүшү</t>
  </si>
  <si>
    <t>Бишкек, Ош, Чүй облусу (чыгыш жана батыш), Жалал-Абад облусунда 
ВИЧ менен жашаган адамдар, баңги затын колдонгон адамдар, кызматтарынын комплекстүү пакетин көрсөтүү</t>
  </si>
  <si>
    <t xml:space="preserve">Компьютерлер жана кең тилкелүү Интернетке кошулуу менен саламаттык сактоо уюмдарынын үлүшү </t>
  </si>
  <si>
    <t>Лабораториялык кызмат көрсөтүүлөр</t>
  </si>
  <si>
    <t>Дары-дармек саясат</t>
  </si>
  <si>
    <t>Жугуштуу эмес ооруларды алдын алуу, диагностикалоо, дарылоо жана сактоо.</t>
  </si>
  <si>
    <t>Эне менен баланын ден-солуугун коргоо</t>
  </si>
  <si>
    <t>Калктын саламаттыгын калыбына келтирүү жана коомго интеграциялоо</t>
  </si>
  <si>
    <t>Кан компоненттерин жана препараттарын даярдоо</t>
  </si>
  <si>
    <t>Кымбат жана жогорку технологиялуу жардам көрсөтүү, ошондой эле коштоочу жана консультациялык иш-чаралар</t>
  </si>
  <si>
    <t>Ведомстволор аралык жана секторлор аралык өз ара аракеттенүүнүн негизинде саламаттыкты сактоодогу адам ресурстарды башкаруу тутумун өркүндөтүү</t>
  </si>
  <si>
    <t>Үй-бүлөлүк дарыгерлерди, коомдук саламаттыкты сактоо кызматкерлерин жана тез медициналык жардамды көрсөтүүгө басым жасоо менен алыскы региондордо медициналык кадрлар менен камсыздоону көбөйтүү</t>
  </si>
  <si>
    <t>Жогорку медициналык  билим берүү адистерин даярдоо</t>
  </si>
  <si>
    <t>Медициналык билим берүүнү жаңы талаптарга жана саламаттыкты сактоо муктаждыктарына ылайык реформалоо</t>
  </si>
  <si>
    <t>Кесиптик медициналык бирикмелерди тартуу жана кесиптик чеберчилигин үзгүлтүксүз жогорулатуу аркылуу медициналык кызматкерлердин кесиптик ишин жөнгө салуу механизмдерин өркүндөтүү</t>
  </si>
  <si>
    <t>сан</t>
  </si>
  <si>
    <t>1000 адамга туура келген учурлар</t>
  </si>
  <si>
    <t>Контингенттин пайыздык катышы</t>
  </si>
  <si>
    <t>сан центров</t>
  </si>
  <si>
    <t>Пайыз</t>
  </si>
  <si>
    <t>Респонденттердин пайызы</t>
  </si>
  <si>
    <t>Калктуу конушу</t>
  </si>
  <si>
    <t>1000 тирүү төрөлгөнгө</t>
  </si>
  <si>
    <t>100 000 тирүү төрөлгөн балага</t>
  </si>
  <si>
    <t>100 мин адамга</t>
  </si>
  <si>
    <t>ЧУАнын саны</t>
  </si>
  <si>
    <t>10 миң калкка</t>
  </si>
  <si>
    <t>2% га көбөйүү</t>
  </si>
  <si>
    <t>Автоматташтырылган маалымат системасы</t>
  </si>
  <si>
    <t>Баалоо жөнүндө бекитилген тутуму</t>
  </si>
  <si>
    <t>квалификациясын жогорулаткан жетекчилердин саны</t>
  </si>
  <si>
    <t>кыска мөөнөттүү негизде кайра даярдалган медайымдардын саны</t>
  </si>
  <si>
    <t>симуляциялык борборлордо машыгуу жана машыгуу аркылуу практикалык көндүмдөрүн өркүндөтүшкөн тез жардам адистеринин саны</t>
  </si>
  <si>
    <t>жылдык курстар</t>
  </si>
  <si>
    <t>Гранттык орундар</t>
  </si>
  <si>
    <t>эсеп жана укуктук формалары</t>
  </si>
  <si>
    <t>Квалификациялык талаптар</t>
  </si>
  <si>
    <t>БАРДЫГЫ (контролдук сандар)</t>
  </si>
  <si>
    <r>
      <t xml:space="preserve">Балдардын жана жаштардын билим алуусун колдоо
</t>
    </r>
    <r>
      <rPr>
        <i/>
        <sz val="10"/>
        <rFont val="Times New Roman"/>
        <family val="1"/>
        <charset val="204"/>
      </rPr>
      <t xml:space="preserve">Программанын максаты: Гумандуу, илимий жана кадрлар потенциалын өнүктүрүү жаатындагы демилгелерди колдоо
</t>
    </r>
  </si>
  <si>
    <r>
      <t xml:space="preserve">Пландоо, башкаруу жана администрациалоо
</t>
    </r>
    <r>
      <rPr>
        <i/>
        <sz val="10"/>
        <color theme="1"/>
        <rFont val="Times New Roman"/>
        <family val="1"/>
        <charset val="204"/>
      </rPr>
      <t>Программанын максаты: Жогорку сот системасынын ишин камсыздоо,  ведомствонун башка программаларын  координациялоо</t>
    </r>
  </si>
  <si>
    <r>
      <t xml:space="preserve">Сапаттуу сот адилеттигине калктын жеткиликтүүлүгүн камсыз кылуу 
</t>
    </r>
    <r>
      <rPr>
        <i/>
        <sz val="10"/>
        <color theme="1"/>
        <rFont val="Times New Roman"/>
        <family val="1"/>
        <charset val="204"/>
      </rPr>
      <t>Программанын максаты: адилеттүүлүктү, болбой койбостукту камсыздоо жана сот чечимдерин аткаруу</t>
    </r>
  </si>
  <si>
    <r>
      <rPr>
        <b/>
        <sz val="10"/>
        <rFont val="Times New Roman"/>
        <family val="1"/>
        <charset val="204"/>
      </rPr>
      <t>Конституциялык сот  адилеттигин  камсыз кылуу жана конституциялык палатанын потенциалын жогорулатуу</t>
    </r>
    <r>
      <rPr>
        <sz val="10"/>
        <rFont val="Times New Roman"/>
        <family val="1"/>
        <charset val="204"/>
      </rPr>
      <t xml:space="preserve">
</t>
    </r>
    <r>
      <rPr>
        <i/>
        <sz val="10"/>
        <rFont val="Times New Roman"/>
        <family val="1"/>
        <charset val="204"/>
      </rPr>
      <t xml:space="preserve">Программанын максаты: конституциялык сот адилеттүүлүгүн камсыз кылуунун натыйжалуулугун жогорулатуу, конституциялык сот адилеттүүлүгүн эл аралык стандарттарын колдонуу </t>
    </r>
  </si>
  <si>
    <r>
      <rPr>
        <b/>
        <sz val="10"/>
        <color theme="1"/>
        <rFont val="Times New Roman"/>
        <family val="1"/>
        <charset val="204"/>
      </rPr>
      <t xml:space="preserve">Пландоо, башкаруу жана администрациялоо        </t>
    </r>
    <r>
      <rPr>
        <sz val="10"/>
        <color theme="1"/>
        <rFont val="Times New Roman"/>
        <family val="1"/>
        <charset val="204"/>
      </rPr>
      <t xml:space="preserve">                                     </t>
    </r>
    <r>
      <rPr>
        <i/>
        <sz val="10"/>
        <color theme="1"/>
        <rFont val="Times New Roman"/>
        <family val="1"/>
        <charset val="204"/>
      </rPr>
      <t xml:space="preserve">Программанын максаты: Конституциялык палатанын системасынын ишин камсыздоо, ведомствонун башка программаларын ишке ашырууну координациялоо </t>
    </r>
  </si>
  <si>
    <r>
      <rPr>
        <b/>
        <sz val="10"/>
        <color theme="1"/>
        <rFont val="Times New Roman"/>
        <family val="1"/>
        <charset val="204"/>
      </rPr>
      <t xml:space="preserve">Конституциялык палатанын ишинин ачыктыгын жана айкындуулугун камсыздоо  
</t>
    </r>
    <r>
      <rPr>
        <i/>
        <sz val="10"/>
        <color theme="1"/>
        <rFont val="Times New Roman"/>
        <family val="1"/>
        <charset val="204"/>
      </rPr>
      <t>Программанын максаты: Коомдун ишенимин арттыруу</t>
    </r>
  </si>
  <si>
    <t>Сот отурумдарын аудио-видео жазуу тутумун камсыз кылуу, КП сайты</t>
  </si>
  <si>
    <r>
      <rPr>
        <b/>
        <sz val="10"/>
        <rFont val="Times New Roman"/>
        <family val="1"/>
        <charset val="204"/>
      </rPr>
      <t xml:space="preserve">Пландоо, башкаруу жана администрлөө </t>
    </r>
    <r>
      <rPr>
        <sz val="10"/>
        <rFont val="Times New Roman"/>
        <family val="1"/>
        <charset val="204"/>
      </rPr>
      <t xml:space="preserve">
</t>
    </r>
    <r>
      <rPr>
        <i/>
        <sz val="10"/>
        <rFont val="Times New Roman"/>
        <family val="1"/>
        <charset val="204"/>
      </rPr>
      <t>Программанын максаты: Конституциялык палатанын иш системасын камсыздоо, ведомствонун башка программаларын ишке ашырууну координациялоо</t>
    </r>
  </si>
  <si>
    <r>
      <rPr>
        <b/>
        <sz val="10"/>
        <rFont val="Times New Roman"/>
        <family val="1"/>
        <charset val="204"/>
      </rPr>
      <t xml:space="preserve">Жергиликтүү соттордун судьяларын кызматына талапкерлерди окутуу                                        </t>
    </r>
    <r>
      <rPr>
        <sz val="10"/>
        <rFont val="Times New Roman"/>
        <family val="1"/>
        <charset val="204"/>
      </rPr>
      <t xml:space="preserve">   
</t>
    </r>
    <r>
      <rPr>
        <i/>
        <sz val="10"/>
        <rFont val="Times New Roman"/>
        <family val="1"/>
        <charset val="204"/>
      </rPr>
      <t>Программанын максаты:  Кыргыз Республикасынын сапаттуу акыйкаттыкты камсыз кылуу</t>
    </r>
  </si>
  <si>
    <r>
      <rPr>
        <b/>
        <sz val="10"/>
        <rFont val="Times New Roman"/>
        <family val="1"/>
        <charset val="204"/>
      </rPr>
      <t xml:space="preserve">Кыргыз Республикасынын сот системасынын натыйжалуулугун, ачыктыгын жана  көз карандысыздыгын жогорулатуу      </t>
    </r>
    <r>
      <rPr>
        <sz val="10"/>
        <rFont val="Times New Roman"/>
        <family val="1"/>
        <charset val="204"/>
      </rPr>
      <t xml:space="preserve">                                                                </t>
    </r>
    <r>
      <rPr>
        <i/>
        <sz val="10"/>
        <rFont val="Times New Roman"/>
        <family val="1"/>
        <charset val="204"/>
      </rPr>
      <t>Программанын максаты:  Кыргыз Республикасынын  сот адилеттүүлүгүн  сапаттуу  камсыз кылуу</t>
    </r>
  </si>
  <si>
    <r>
      <rPr>
        <b/>
        <sz val="10"/>
        <rFont val="Times New Roman"/>
        <family val="1"/>
        <charset val="204"/>
      </rPr>
      <t xml:space="preserve">Окуу процессин камсыздоо - айкындык жана натыйжалуулук        </t>
    </r>
    <r>
      <rPr>
        <sz val="10"/>
        <rFont val="Times New Roman"/>
        <family val="1"/>
        <charset val="204"/>
      </rPr>
      <t xml:space="preserve">                               </t>
    </r>
    <r>
      <rPr>
        <i/>
        <sz val="10"/>
        <rFont val="Times New Roman"/>
        <family val="1"/>
        <charset val="204"/>
      </rPr>
      <t>Программанын максаты: Кыргыз Республикасынын сот адилеттүүлүгүн  сапатын камсыз кылуу</t>
    </r>
  </si>
  <si>
    <r>
      <rPr>
        <b/>
        <sz val="10"/>
        <rFont val="Times New Roman"/>
        <family val="1"/>
        <charset val="204"/>
      </rPr>
      <t xml:space="preserve">Кыргыз Республикасынын ЖС АЖМ кызматкерлеринин квалификациясын жогорулатуу              </t>
    </r>
    <r>
      <rPr>
        <sz val="10"/>
        <rFont val="Times New Roman"/>
        <family val="1"/>
        <charset val="204"/>
      </rPr>
      <t xml:space="preserve">                           
</t>
    </r>
    <r>
      <rPr>
        <i/>
        <sz val="10"/>
        <rFont val="Times New Roman"/>
        <family val="1"/>
        <charset val="204"/>
      </rPr>
      <t>Программанын максаты: Кыргыз Республикасынын ЖС АЖМ кызматкерлеринин ишин жогорку сапатын камсыз кылуу</t>
    </r>
  </si>
  <si>
    <r>
      <t xml:space="preserve">Кыргыз Республикасынын жергиликтүү соттордун натыйжалуулугун, ачыктыгын,   көз карандысыздыгын жогорулатуу                                           </t>
    </r>
    <r>
      <rPr>
        <sz val="10"/>
        <rFont val="Times New Roman"/>
        <family val="1"/>
        <charset val="204"/>
      </rPr>
      <t xml:space="preserve">                      
</t>
    </r>
    <r>
      <rPr>
        <i/>
        <sz val="10"/>
        <rFont val="Times New Roman"/>
        <family val="1"/>
        <charset val="204"/>
      </rPr>
      <t xml:space="preserve">Программанын максаты: Кыргыз Республикасынын сот системасына карата  ишенимди жогорулатуу </t>
    </r>
  </si>
  <si>
    <r>
      <t xml:space="preserve">Жергиликтүү соттордун реалдуу көз карандысыздыгын камсыз кылуу
</t>
    </r>
    <r>
      <rPr>
        <i/>
        <sz val="10"/>
        <rFont val="Times New Roman"/>
        <family val="1"/>
        <charset val="204"/>
      </rPr>
      <t xml:space="preserve">Программанын максаты: Кыргыз Республикасында сот өндүрүшүнүн принциптерин жетекчиликке ылайык КР сот акыйкаттыгын камсыздоо </t>
    </r>
  </si>
  <si>
    <r>
      <t xml:space="preserve">Жергиликтүү соттордун  ачыктуулугун жана отчеттуулугун камсыз кылуу        
</t>
    </r>
    <r>
      <rPr>
        <sz val="10"/>
        <color theme="1"/>
        <rFont val="Times New Roman"/>
        <family val="1"/>
        <charset val="204"/>
      </rPr>
      <t>Программанын макса</t>
    </r>
    <r>
      <rPr>
        <i/>
        <sz val="10"/>
        <color theme="1"/>
        <rFont val="Times New Roman"/>
        <family val="1"/>
        <charset val="204"/>
      </rPr>
      <t xml:space="preserve">ты: сот системасында коррупциялык  көрүнүштөр менен күрөшүү </t>
    </r>
  </si>
  <si>
    <t>Санариптик трансформация концепциясынын алкагында “Санарип Кыргызстан 2019-2023"</t>
  </si>
  <si>
    <r>
      <t xml:space="preserve">Сот укуктук реформанын алкагында 
</t>
    </r>
    <r>
      <rPr>
        <i/>
        <sz val="10"/>
        <color theme="1"/>
        <rFont val="Times New Roman"/>
        <family val="1"/>
        <charset val="204"/>
      </rPr>
      <t>Программанын максаты: Эл аралык стандарттарга ылайык мыйзамдын үстөмдүгүнө негизделген адилеттүү сот адилеттигине адам укуктарын ишке ашыруу үчүн шарттарды камсыз кылуу</t>
    </r>
  </si>
  <si>
    <r>
      <t xml:space="preserve">Сот адилеттигин гуманизациялоо   
</t>
    </r>
    <r>
      <rPr>
        <i/>
        <sz val="10"/>
        <color theme="1"/>
        <rFont val="Times New Roman"/>
        <family val="1"/>
        <charset val="204"/>
      </rPr>
      <t>Программанын максаты:   Абдан катаал сот чечимдерден четтөө</t>
    </r>
  </si>
  <si>
    <t>Баардыгы 16-бөлүм боюнча (контролдук сандар)</t>
  </si>
  <si>
    <t>Программынын максаты :  референдумдарда жана шайлоолордо шайлоочулардын келүү жогорку деңгээли</t>
  </si>
  <si>
    <r>
      <t xml:space="preserve">Пландаштыруу, башкаруу жана администрациялоо                                                                                                                              
</t>
    </r>
    <r>
      <rPr>
        <i/>
        <sz val="10"/>
        <rFont val="Times New Roman"/>
        <family val="1"/>
        <charset val="204"/>
      </rPr>
      <t>Программанын максаты: Башка программаларды ишке ашырууга координациялоочу жана уюштуруучу таасир этүүлөр</t>
    </r>
  </si>
  <si>
    <r>
      <rPr>
        <b/>
        <sz val="10"/>
        <rFont val="Times New Roman"/>
        <family val="1"/>
        <charset val="204"/>
      </rPr>
      <t xml:space="preserve">Тейлөө  функцияларын ишке ашыруу </t>
    </r>
    <r>
      <rPr>
        <sz val="10"/>
        <rFont val="Times New Roman"/>
        <family val="1"/>
        <charset val="204"/>
      </rPr>
      <t xml:space="preserve">
</t>
    </r>
    <r>
      <rPr>
        <i/>
        <sz val="10"/>
        <rFont val="Times New Roman"/>
        <family val="1"/>
        <charset val="204"/>
      </rPr>
      <t xml:space="preserve"> Программаны максаты:мамл кызмат функциялары менен байланышпаган тейлөөчү жана техникалык иштерди ишке ашыруу </t>
    </r>
  </si>
  <si>
    <t xml:space="preserve">
Пенсиялык камсыздоо жана бюджеттик каражаттардын эсебинен компенсациялар</t>
  </si>
  <si>
    <r>
      <rPr>
        <b/>
        <sz val="10"/>
        <rFont val="Times New Roman"/>
        <family val="1"/>
        <charset val="204"/>
      </rPr>
      <t>Кыргыз Республикасынын социалдык-экономикалык өнүгүүсүн камсыз кылуу</t>
    </r>
    <r>
      <rPr>
        <sz val="10"/>
        <rFont val="Times New Roman"/>
        <family val="1"/>
        <charset val="204"/>
      </rPr>
      <t xml:space="preserve">
</t>
    </r>
    <r>
      <rPr>
        <i/>
        <sz val="10"/>
        <rFont val="Times New Roman"/>
        <family val="1"/>
        <charset val="204"/>
      </rPr>
      <t>Программанын максаты: Бирдиктүү, макулдашылган, мамлекеттик экономикалык саясатты түзүү жана бизнес жүргүзүү үчүн жагымдуу шарттарды түзүү</t>
    </r>
  </si>
  <si>
    <t>Бизнес үчүн өнүгүү чөйрөсүн түзүү</t>
  </si>
  <si>
    <r>
      <t>Кош бойлуулук жана төрөт боюнча орточо жөлөкпулдун өлчөмүнүн 10 эсептик көрсөткүчкө карата катышы % менен (</t>
    </r>
    <r>
      <rPr>
        <i/>
        <sz val="10"/>
        <rFont val="Times New Roman"/>
        <family val="1"/>
        <charset val="204"/>
      </rPr>
      <t>бийик тоолуу шартта эмес</t>
    </r>
    <r>
      <rPr>
        <sz val="10"/>
        <rFont val="Times New Roman"/>
        <family val="1"/>
        <charset val="204"/>
      </rPr>
      <t>)</t>
    </r>
  </si>
  <si>
    <r>
      <t>Кош бойлуулук жана төрөт боюнча орточо жөлөкпулдун өлчөмүнүн орточо эмгек акыга карата катышы % менен (</t>
    </r>
    <r>
      <rPr>
        <i/>
        <sz val="10"/>
        <rFont val="Times New Roman"/>
        <family val="1"/>
        <charset val="204"/>
      </rPr>
      <t>бийик тоолуу шартта</t>
    </r>
    <r>
      <rPr>
        <sz val="10"/>
        <rFont val="Times New Roman"/>
        <family val="1"/>
        <charset val="204"/>
      </rPr>
      <t>)</t>
    </r>
  </si>
  <si>
    <r>
      <t xml:space="preserve">Эмгек жана иш менен камсыз кылуу. 
</t>
    </r>
    <r>
      <rPr>
        <i/>
        <sz val="10"/>
        <rFont val="Times New Roman"/>
        <family val="1"/>
        <charset val="204"/>
      </rPr>
      <t>Программанын максаты:</t>
    </r>
    <r>
      <rPr>
        <b/>
        <i/>
        <sz val="10"/>
        <rFont val="Times New Roman"/>
        <family val="1"/>
        <charset val="204"/>
      </rPr>
      <t xml:space="preserve"> 1</t>
    </r>
    <r>
      <rPr>
        <i/>
        <sz val="10"/>
        <rFont val="Times New Roman"/>
        <family val="1"/>
        <charset val="204"/>
      </rPr>
      <t xml:space="preserve">. Калкты иш менен камсыз кылууга натыйжалуу көмөк көрсөтүү (иш менен камсыз кылуунун активдүү саясатын ишке ашыруу), ыңгайлуу ишти издөө боюнча кызматтарды көрсөтүү жана ишсиз жарандарды жана мамлекеттик иш менен камсыз кылуу органы аркылуу иш издеген адамдарды социалдык жактан колдоо; </t>
    </r>
    <r>
      <rPr>
        <b/>
        <i/>
        <sz val="10"/>
        <rFont val="Times New Roman"/>
        <family val="1"/>
        <charset val="204"/>
      </rPr>
      <t>2.</t>
    </r>
    <r>
      <rPr>
        <i/>
        <sz val="10"/>
        <rFont val="Times New Roman"/>
        <family val="1"/>
        <charset val="204"/>
      </rPr>
      <t xml:space="preserve"> Кош бойлуулук жана төрөт боюнча жөлөкпул төлөөнү камсыздоо.</t>
    </r>
  </si>
  <si>
    <r>
      <rPr>
        <b/>
        <sz val="10"/>
        <rFont val="Times New Roman"/>
        <family val="1"/>
        <charset val="204"/>
      </rPr>
      <t>2030-жылга чейин гендердик теңчиликке жетүү боюнча Улуттук стратегияны ишке ашыруу</t>
    </r>
    <r>
      <rPr>
        <i/>
        <sz val="10"/>
        <rFont val="Times New Roman"/>
        <family val="1"/>
        <charset val="204"/>
      </rPr>
      <t>. 
Программанын максаты: Гендердик басмырлоонун жана зомбулуктун курмандыктарына жардам берүү системасын өнүктүрүү</t>
    </r>
  </si>
  <si>
    <r>
      <t xml:space="preserve">Жарандардын айрым категорияларына акчалай компенсацияларды берүү жана социалдык кепилдиктер
</t>
    </r>
    <r>
      <rPr>
        <i/>
        <sz val="10"/>
        <rFont val="Times New Roman"/>
        <family val="1"/>
        <charset val="204"/>
      </rPr>
      <t>Программанын максаты: Базалык жылдын деңгээлинде жарандардын 25 категориясына акчалай компенсациялардын өлчөмүн сактоо. 9-майга бир жолку жыл сайын берилүүчү акчалай жөлөкпулду жана УАМС ардагерлерине ай сайын өмүр бою берилүүчү стипендияны, ошондой эле расымдык жөлөкпулду төлөөнү камсыздоо.</t>
    </r>
  </si>
  <si>
    <r>
      <rPr>
        <b/>
        <sz val="10"/>
        <rFont val="Times New Roman"/>
        <family val="1"/>
        <charset val="204"/>
      </rPr>
      <t>Ден соолугунун мүмкүнчүлүгү чектелген адамдарды (ДМЧА) жана улгайган жарандарды социалдык коргоо.</t>
    </r>
    <r>
      <rPr>
        <sz val="10"/>
        <rFont val="Times New Roman"/>
        <family val="1"/>
        <charset val="204"/>
      </rPr>
      <t xml:space="preserve">  
</t>
    </r>
    <r>
      <rPr>
        <i/>
        <sz val="10"/>
        <rFont val="Times New Roman"/>
        <family val="1"/>
        <charset val="204"/>
      </rPr>
      <t>Программанын</t>
    </r>
    <r>
      <rPr>
        <sz val="10"/>
        <rFont val="Times New Roman"/>
        <family val="1"/>
        <charset val="204"/>
      </rPr>
      <t xml:space="preserve"> м</t>
    </r>
    <r>
      <rPr>
        <i/>
        <sz val="10"/>
        <rFont val="Times New Roman"/>
        <family val="1"/>
        <charset val="204"/>
      </rPr>
      <t xml:space="preserve">аксаты: Базалык кызматтарга бирдей жетүүнү камсыздоо жана ден соолугунун мүмкүнчүлүгү чектелген адамдарды коомго натыйжалуу интеграциялоо максатында алар үчүн жашоо жөндөмдүүлүктүн жеткиликтүү чөйрөсүн түзүү.                                         </t>
    </r>
  </si>
  <si>
    <r>
      <t xml:space="preserve">Пландоо, башкаруу жана администрациялоо. 
</t>
    </r>
    <r>
      <rPr>
        <i/>
        <sz val="10"/>
        <rFont val="Times New Roman"/>
        <family val="1"/>
        <charset val="204"/>
      </rPr>
      <t>Программанын максаты: Ушул стратегияга кирген бюджеттик программаларды натыйжалуу ишке ашырууну камсыздоо үчүн координация жана уюштуруу.</t>
    </r>
  </si>
  <si>
    <r>
      <t xml:space="preserve">Турмуштук оор кырдаалда турган үй-бүлөлөр жана балдар. </t>
    </r>
    <r>
      <rPr>
        <i/>
        <sz val="10"/>
        <rFont val="Times New Roman"/>
        <family val="1"/>
        <charset val="204"/>
      </rPr>
      <t>Программанын максаты: 1. Турмуштук оор кырдаалда (ТОК) турган адамдардын, ден соолугунун мүмкүнчүлүгү чектелген адамдарды жана улгайган жарандарды кошо байгерчилигин жогорулатуу, ошондой эле балдарды мамлекеттик жөлөкпулдар менен камсыз кылуу; 2. ТОК турган багып алуучу үй-бүлөлөр институтун өнүктүрүү; 3. Чет элдик мамлекеттин аймагында ата-энесинин камкордугусуз калган КР жараны болгон балдарды КР кайтаруу.</t>
    </r>
  </si>
  <si>
    <r>
      <rPr>
        <b/>
        <sz val="10"/>
        <rFont val="Times New Roman"/>
        <family val="1"/>
        <charset val="204"/>
      </rPr>
      <t>Медициналык кызматтарды көрсөтүүнү уюштуруу.</t>
    </r>
    <r>
      <rPr>
        <sz val="10"/>
        <rFont val="Times New Roman"/>
        <family val="1"/>
        <charset val="204"/>
      </rPr>
      <t xml:space="preserve"> </t>
    </r>
    <r>
      <rPr>
        <i/>
        <sz val="10"/>
        <rFont val="Times New Roman"/>
        <family val="1"/>
        <charset val="204"/>
      </rPr>
      <t>Программынын максаты: Калктын бардык топтору үчүн медициналык кызмат көрсөтүүнүн сапатын жогорулатуу жана дарылоонун жогорку технологиялык ыкмаларына республиканын калкынын жеткиликтүүлүгүн жогорулатуу.</t>
    </r>
  </si>
  <si>
    <r>
      <rPr>
        <b/>
        <sz val="10"/>
        <rFont val="Times New Roman"/>
        <family val="1"/>
        <charset val="204"/>
      </rPr>
      <t>Медициналык билим берүү жана саламаттыкты сактоо тармагында адам ресурстарды башкаруу</t>
    </r>
    <r>
      <rPr>
        <sz val="10"/>
        <rFont val="Times New Roman"/>
        <family val="1"/>
        <charset val="204"/>
      </rPr>
      <t xml:space="preserve">
</t>
    </r>
    <r>
      <rPr>
        <i/>
        <sz val="10"/>
        <rFont val="Times New Roman"/>
        <family val="1"/>
        <charset val="204"/>
      </rPr>
      <t>Программанын максаты: Республиканын саламаттык сактоо уюмдарын квалификациялуу медициналык кадрлар менен камсыз кылуу.</t>
    </r>
  </si>
  <si>
    <t>90%-дан кем эмес</t>
  </si>
  <si>
    <t>95%-дан кем эмес</t>
  </si>
  <si>
    <t>95ден кем эмес</t>
  </si>
  <si>
    <t>95тен кем эмес</t>
  </si>
  <si>
    <t>83тон кем эмес</t>
  </si>
  <si>
    <t>20% дан көп эмес</t>
  </si>
  <si>
    <t>35%дан кем эмес</t>
  </si>
  <si>
    <t>36%дан кем эмес</t>
  </si>
  <si>
    <t>37%дан кем эмес</t>
  </si>
  <si>
    <t>80%-дан кем эмес</t>
  </si>
  <si>
    <t>100%-дан кем эмес</t>
  </si>
  <si>
    <t>94%-дан кем эмес</t>
  </si>
  <si>
    <t>13,6% дан көп эмес</t>
  </si>
  <si>
    <t>13,5% дан көп эмес</t>
  </si>
  <si>
    <t>13,4% дан көп эмес</t>
  </si>
  <si>
    <t>13,2% дан көп эмес</t>
  </si>
  <si>
    <t>85%-дан кем эмес</t>
  </si>
  <si>
    <t>50%-дан кем эмес</t>
  </si>
  <si>
    <t>20%-дан кем эмес</t>
  </si>
  <si>
    <t>100% дан көп эмес</t>
  </si>
  <si>
    <t>Ардагерлердин, ардагер уюмдардын жашоо деңгээлин камсыз кылуу жана жакшыртуу</t>
  </si>
  <si>
    <t>Баардыгы (контрольдук цифралар)</t>
  </si>
  <si>
    <t xml:space="preserve">Пландаштыруу, башкаруу жана администрациялоо  </t>
  </si>
  <si>
    <t>001 программасы боюнча эмгек акыга кеткен чыгымдардын бардык программалар боюнча эмгек акыга кеткен чыгымдардын катышына карата катышы</t>
  </si>
  <si>
    <t>Агрардык секторду өнүктүрүүнү башкаруу жана жалпы координациялоо</t>
  </si>
  <si>
    <t>Айыл чарбасында эмгек өндүрүмдүүлүгүнүн индекси</t>
  </si>
  <si>
    <t>ИДП</t>
  </si>
  <si>
    <t>Физикалык көлөмдүн индекси, өткөн жылга салыштырмалуу%</t>
  </si>
  <si>
    <t>Тамак-аш өнөр жайынын ИДПсы</t>
  </si>
  <si>
    <t>Айыл чарба өсүмдүктөрүнүн ИДПсы</t>
  </si>
  <si>
    <t>ИДП мал чарба продуктулары</t>
  </si>
  <si>
    <t>Айыл чарба экономикасын өнүктүрүү чөйрөсүндө мамлекеттик жана ведомстволук максаттуу программалардын концепцияларынын, стратегиясынын долбоорлорун аткаруу даражасы</t>
  </si>
  <si>
    <t>Айыл чарбасын өнүктүрүүнүн жалпы координациясы</t>
  </si>
  <si>
    <t>Айыл чарбаны мамлекеттик колдоо</t>
  </si>
  <si>
    <t>Пестициддер жана агрохимикаттар менен коопсуз иштөөнү камсыз кылуу, карантиндик эмес зыянкечтерден улам келип чыккан айыл чарба өндүрүшүнүн жоготууларын азайтуу, ошондой эле өсүмдүк өстүрүүнүн түшүмдүүлүгүн жана өсүмдүктөрдүн продукциясынын сапатын жогорулатуу</t>
  </si>
  <si>
    <t xml:space="preserve">Долбоорду ишке ашыруу зонасында максаттуу фермерлер тарабынан сатылуучу мал чарба продукциясынын наркы
</t>
  </si>
  <si>
    <t xml:space="preserve">Кайра иштетүү пункттарынын жана жаңы айылдык ишканалардын санын көбөйтүү
</t>
  </si>
  <si>
    <t>"Мамлекеттик ирригациялык фондду жана мелиорацияны колдоо жана өнүктүрүү"</t>
  </si>
  <si>
    <t>мин. га</t>
  </si>
  <si>
    <t>Баткен обл.-57,6, Ош обл.-127,3, Жалал-Абад обл.-125,0, Нарын обл.-120,5, Ыссык-Куль обл.-156,5, Таласс обл.-112,8, Чуйс обл.-312,4, ш.Бишкек-9,2, ш.Ош-2,6</t>
  </si>
  <si>
    <t>Ѳндүрүш, үй жумушуна жана ичүү, сугат, айыл чарба жана башка максаттарга алынган суунун пайызы</t>
  </si>
  <si>
    <t>өндүрүш - 0,9%, тиричилик суусундуктары - 2%, сугат - 62%, айыл чарбасын суу менен камсыз кылуу - 0,7%</t>
  </si>
  <si>
    <t>169</t>
  </si>
  <si>
    <t>170</t>
  </si>
  <si>
    <r>
      <t xml:space="preserve">Мамлекеттик суу чарба объектилерин техникалык тейлөө жана капиталдык оңдоо
</t>
    </r>
    <r>
      <rPr>
        <b/>
        <sz val="11"/>
        <color theme="1"/>
        <rFont val="Calibri"/>
        <family val="2"/>
        <charset val="204"/>
        <scheme val="minor"/>
      </rPr>
      <t/>
    </r>
  </si>
  <si>
    <t>Суу ресурстарынын климаттын өзгөрүшүнө жана табигый кырсыктарга туруктуулугун жогорулатуу долбоорун ишке ашыруу</t>
  </si>
  <si>
    <t>Ысык-Көл жана Нарын аймактарында сугат дыйканчылыгын өнүктүрүү долбоорун ишке ашыруу</t>
  </si>
  <si>
    <t>44. Кыргыз Республикасынын Маданият, маалымат жана туризм министрлиги</t>
  </si>
  <si>
    <t xml:space="preserve">Бардык программалар боюнча эмгек акыга чыгашалар суммасына 001 программасы боюнча эмгек акыга чыгашалардын катышы </t>
  </si>
  <si>
    <t>Жалпы жетекчиликти камсыздоо, финансылык менеджментти жана эсепти камсыздоо, эл аралык байланыштарды күчөтүү</t>
  </si>
  <si>
    <t xml:space="preserve">Калктын ишеним көрсөтүү индекси  </t>
  </si>
  <si>
    <t>Эреже бузуусуз бюджетти аткаруу пайызы</t>
  </si>
  <si>
    <t>Маданият министрлеринин өткөрүлгөн жыйындарынын жана отурумдарынын саны</t>
  </si>
  <si>
    <t>Коомчулук менен байланышты камсыздоо жана ишин уюштуруу бөлүмү,  адам  ресурстарын башкаруу жана укуктук колдоо көрсөтүү</t>
  </si>
  <si>
    <t>Адистердин бат алмашуусунун проценти (текучесть кадров)</t>
  </si>
  <si>
    <t>Жалпы санга карата өз убагында аткарылган тапшырмалардын саны</t>
  </si>
  <si>
    <t xml:space="preserve">ЧУА (НПА) иштелип чыккан долбоорлорунун саны  </t>
  </si>
  <si>
    <t xml:space="preserve">Өлкөнүн старттык деңгээлиндеги мамлекеттик жана улуттук программаларды аткаруу даражасы </t>
  </si>
  <si>
    <t>Тарыхый-маданий мурас объекттердин аймагынын коргоо чөлкөмдөрүнүн бекитилген долбоорлорунун саны</t>
  </si>
  <si>
    <t>Китепканалардын сапатын жана жеткиликтүүлүгүн жогорулатуу</t>
  </si>
  <si>
    <t xml:space="preserve">Китепканаларга келүүчүлөрдүн саны </t>
  </si>
  <si>
    <t>мин.киши</t>
  </si>
  <si>
    <t xml:space="preserve">Санариптик алып жүрүүчүгө өткөн чыгармалардын саны </t>
  </si>
  <si>
    <t>Музейлердин кызмат көрсөтүүлөрүнүн жеткиликтүүлүк сапатын жогорулатуу</t>
  </si>
  <si>
    <t>Музейге келүүчүлөрдүн саны</t>
  </si>
  <si>
    <t xml:space="preserve">Сүрөт искусствосу боюнча көргөзмөлөрдүн саны </t>
  </si>
  <si>
    <t>Маданий баалуулуктарга жеткиликтүүлүк мүмкүнчүлүктөрүн кеңейтүү, тарыхый-маданий мурас объекттерди сактоону жана коргоону камсыз кылуу боюнча шарт түзүү</t>
  </si>
  <si>
    <t xml:space="preserve">Республикалык жана регионалдык маанидеги өткөрүлгөн иш-чаралардын саны  </t>
  </si>
  <si>
    <t>жолу</t>
  </si>
  <si>
    <t>Реставрация жүргүзүлгөн тарыхый-маданий мурас объекттердин саны</t>
  </si>
  <si>
    <t>Изилдеген жана документтештирилген тарыхый-маданий мурас объекттердин саны</t>
  </si>
  <si>
    <t>Театралдык-оюн-зоок мекемелеринин кызмат көрсөтүүлөрүнүн сапатын жогорулатуу жана калкты профессионалдык искусствого тартуу.</t>
  </si>
  <si>
    <t xml:space="preserve">Жүргүзүлгөн  гастролдордун саны </t>
  </si>
  <si>
    <t xml:space="preserve">Жаңы коюлган театралдык оюн-зооктордун саны </t>
  </si>
  <si>
    <t>Тетралдык оюн-зоок мекемелеринин көрүүчүлөрдүн саны</t>
  </si>
  <si>
    <t>Маданият чөйрөсүндөгү билим берүү сапатын жогорулатуу үчүн шарттарды камсыздоо, тармакты кесипкөй кадрлар менен камсыздоо.</t>
  </si>
  <si>
    <t>Бүтүрүүчүлөрдүн саны</t>
  </si>
  <si>
    <t>киши</t>
  </si>
  <si>
    <t xml:space="preserve">Маданият чөйрөсүндө эмгек ишмердигин улантып жаткан жалпы сандагы бүтүрүүчүлөрдүн саны  </t>
  </si>
  <si>
    <t>Квалификацияларды  жогорулатуу программаларында катышкан мугалимдердин саны</t>
  </si>
  <si>
    <t>Киноматография чөйрөсүндө мамлекеттик саясатты ишке ашыруу.</t>
  </si>
  <si>
    <t xml:space="preserve">Кабыл алынган ЧУА (НПА) саны  </t>
  </si>
  <si>
    <t>ишке ашырылган долбоорлордун саны</t>
  </si>
  <si>
    <t>республикалык жана эл аралык маанидеги ишке ашырылган кино иш-чаралардын саны</t>
  </si>
  <si>
    <t xml:space="preserve">Улуттук фильмдерди жаратуу үчүн шарттарды камсыздоо.  </t>
  </si>
  <si>
    <t xml:space="preserve">Чыгарылган улуттук фильмдердин саны </t>
  </si>
  <si>
    <t xml:space="preserve">Дүйнөлүк жана ата мекендик киноискусство чыгармаларына жарандардын жеткиликтүүлүгү үчүн шарттарды түзүү. </t>
  </si>
  <si>
    <t>Өлкөнүн калкынын жалпы санындагы көрүүчүлөрдүн келүүсү үчүн</t>
  </si>
  <si>
    <t xml:space="preserve">Калктын социалдык жактан  аялуу катмары үчүн акысыз  сеанстардын саны  </t>
  </si>
  <si>
    <t xml:space="preserve">Дүң жыйым </t>
  </si>
  <si>
    <t>мин.сом</t>
  </si>
  <si>
    <t>Туристтик тармакты өнүктүрүү</t>
  </si>
  <si>
    <t>Туризмдин өнүгүшүнө түрткү берүүчү билим берүүчү жана маркетинг иш-чараларды иштеп чыгуу жана ишке ашыруу</t>
  </si>
  <si>
    <t xml:space="preserve"> Дүйнөлүк туристтик уюмунун классификациясына ылайык алыс жана жакын чет өлкөлөрүнөн келген жарандардын саны</t>
  </si>
  <si>
    <t>Кыргызстандын туристтик мүмкүнчүлүктөрүн жайылтуу</t>
  </si>
  <si>
    <t>ИДП туристтик ишмердүүлүгүнүн чөйрөсүнө үлүшү</t>
  </si>
  <si>
    <t>Туристтик тейлөөлөрүнүн экспорту (чет өлкөлүк жарандарды кабыл алуусунан кирешелер)</t>
  </si>
  <si>
    <t>Туризм чөйрөсүндө негизги капиталга инвестициялар</t>
  </si>
  <si>
    <t xml:space="preserve">Маалымат чөйрөсүндө мамлекеттик саясатты иштеп чыгуу жана ишке ашыруу.  </t>
  </si>
  <si>
    <t>Кабыл алынган Токтомдордун саны</t>
  </si>
  <si>
    <t xml:space="preserve">Мамлекеттик аймактык ММКларды өнүктүрүү үчүн жагымдуу шарттарды түзүү.  </t>
  </si>
  <si>
    <t>Мамлекеттик региондук ММКлардын кадрларын даярдоо жана кайра даярдоо</t>
  </si>
  <si>
    <t>Телеканалдардын Социалдык пакетин түзүү жана аны үзгүлтүксүз жер үстүндөгү санарипте жана спутникте  берүүсү</t>
  </si>
  <si>
    <t>Телеканалдардын Социалдык пакетиндеги телерадио уюмдарынын саны</t>
  </si>
  <si>
    <t>"Манас Ордо" Кыргыз Улуттук Комплекси</t>
  </si>
  <si>
    <t>мин.даана</t>
  </si>
  <si>
    <t xml:space="preserve">Кыргыз Республикасынын  Токтогул атындагы Мамлекеттик сыйлыктар боюнча комитети </t>
  </si>
  <si>
    <t xml:space="preserve">Бюджеттик чендин аталышы-Кыргызстандын жашоо-турмушу жана КР Президентинин иши тууралуу үзгүлтүксүз түрдө маалыматтарды даярдоо </t>
  </si>
  <si>
    <t xml:space="preserve">Пландаштыруу, башкаруу жана администрациялоо   </t>
  </si>
  <si>
    <t>Жарандык коргонуу, өрт, радиациялык коопсуздук, суу объектилеринде адамдардын коопсуздугу жана гидрометеорология тармагындагы бирдиктүү мамлекеттик саясатты иштеп чыгуу жана жүзөгө ашыруу программасы</t>
  </si>
  <si>
    <t>суткасы</t>
  </si>
  <si>
    <t>17600/ 7600</t>
  </si>
  <si>
    <t>3/3</t>
  </si>
  <si>
    <t xml:space="preserve"> Кыргызстандагы жана Борбордук Азия өлкөлөрү менен чектешкен аймактардагы геодинамикалык процесстерди жана гео-тобокелдиктерди изилдөө </t>
  </si>
  <si>
    <t>жарыялоо</t>
  </si>
  <si>
    <t>сунуш</t>
  </si>
  <si>
    <t>Табигый кырсык тобокелдигин изилдөө: айылдык коомдордогу аялуулук жана адаптация социалдык-экономикалык баалоо методикасы.</t>
  </si>
  <si>
    <t>20 коп эмес</t>
  </si>
  <si>
    <t>Салыктардын, камсыздандыруу төгүмдөрүнүн жана башка төлөмдөрдүн келип түшүүсүнүн толуктугун жана өз убагында болушун камсыз кылуу</t>
  </si>
  <si>
    <t>такталган эмес</t>
  </si>
  <si>
    <r>
      <rPr>
        <b/>
        <sz val="10"/>
        <color theme="1"/>
        <rFont val="Times New Roman"/>
        <family val="1"/>
        <charset val="204"/>
      </rPr>
      <t xml:space="preserve">Пландоо, башкаруу жана администрациялоо  </t>
    </r>
    <r>
      <rPr>
        <sz val="10"/>
        <color theme="1"/>
        <rFont val="Times New Roman"/>
        <family val="1"/>
        <charset val="204"/>
      </rPr>
      <t xml:space="preserve">                                                                                                                            
</t>
    </r>
    <r>
      <rPr>
        <i/>
        <sz val="10"/>
        <color theme="1"/>
        <rFont val="Times New Roman"/>
        <family val="1"/>
        <charset val="204"/>
      </rPr>
      <t xml:space="preserve">Программанын максаттары:Уюштуруу жана ишмердикти камсыздоо   </t>
    </r>
  </si>
  <si>
    <r>
      <rPr>
        <b/>
        <sz val="10"/>
        <rFont val="Times New Roman"/>
        <family val="1"/>
        <charset val="204"/>
      </rPr>
      <t xml:space="preserve">Фискалдык программа </t>
    </r>
    <r>
      <rPr>
        <sz val="10"/>
        <rFont val="Times New Roman"/>
        <family val="1"/>
        <charset val="204"/>
      </rPr>
      <t xml:space="preserve">
</t>
    </r>
    <r>
      <rPr>
        <i/>
        <sz val="10"/>
        <rFont val="Times New Roman"/>
        <family val="1"/>
        <charset val="204"/>
      </rPr>
      <t xml:space="preserve">Програманын максаты. Бажы контролу </t>
    </r>
  </si>
  <si>
    <t>өткөрүү пункттарынын саны анын ичинен 18:</t>
  </si>
  <si>
    <r>
      <rPr>
        <b/>
        <sz val="10"/>
        <color theme="1"/>
        <rFont val="Times New Roman"/>
        <family val="1"/>
        <charset val="204"/>
      </rPr>
      <t xml:space="preserve">Бажы укук бузууларын алдын алуу жана бөгөт коюу  </t>
    </r>
    <r>
      <rPr>
        <sz val="10"/>
        <color theme="1"/>
        <rFont val="Times New Roman"/>
        <family val="1"/>
        <charset val="204"/>
      </rPr>
      <t xml:space="preserve">
</t>
    </r>
    <r>
      <rPr>
        <i/>
        <sz val="10"/>
        <color theme="1"/>
        <rFont val="Times New Roman"/>
        <family val="1"/>
        <charset val="204"/>
      </rPr>
      <t xml:space="preserve">Программанын максаты.Бажы жол-жоболорун сактоону камсыз кылуу   </t>
    </r>
  </si>
  <si>
    <t>Жалпы китеп кору, анын иченде атайын адистештирилген китепканалар Брайл адабияты менен камсыз кылуу</t>
  </si>
  <si>
    <t>Кыргыз азиздер жана дулойлор коомунун салык, топтом жана кошумча нарк  салыгын төлөөсүн кайтаруу</t>
  </si>
  <si>
    <t>Басма  продукциясын чыгаруу: "Дүйнө элдеринин сөздүктөрүн" басып чыгаруу</t>
  </si>
  <si>
    <t xml:space="preserve">Жактырылган долбоорлордун саны (отчеттуулукта баяндоо менен) </t>
  </si>
  <si>
    <t>Жактырылган долбоорлордун саны  (отчеттуулукта баяндоо менен)</t>
  </si>
  <si>
    <t>992</t>
  </si>
  <si>
    <t>Кызматтык иши жөнүндө маалыматтык билдирүүлөрдүн саны</t>
  </si>
  <si>
    <t>Кортежделген документтер</t>
  </si>
  <si>
    <t>Санариптик документтер</t>
  </si>
  <si>
    <t>001 программасы боюнча эмгек акыга кеткен чыгымдардын, бардык программалар боюнча эмгек акыга кеткен чыгымдардын өлчөмүнө карата катышы</t>
  </si>
  <si>
    <t>Акыркы 3 жылда кайра даярдоодон же квалификациясын жогорулатуу программаларын аяктаган кызматкерлердин үлүшү</t>
  </si>
  <si>
    <t>Сотто утуп чыккан иштердин жалпы санына катышы</t>
  </si>
  <si>
    <t xml:space="preserve">Тышкы байланыштарды  жана коомчулук менен байланыштарды колдоо 
</t>
  </si>
  <si>
    <t>Контролдук-көзөмөл ишмердүүлүгүндө жалпы көлөмдөгү  профилактикалык иш-чаралардын үлүшү</t>
  </si>
  <si>
    <t>Тартылган гранттардын саны</t>
  </si>
  <si>
    <t>1)Быйылкы жылы КР ЖК тарабынан бекитилген КРӨ  Программасын ишке ашыруу боюнча КР Ө иш аракет Планында бекитилген, жыйынтыктарга жетишүу даражасы (жыйынтыктардын салмак маанисин колдонсо болот);                                                                           2) жетекчинин өздүк планында жыйынтыктарга жетишүү даражасы; 3)калктын ишеним индекси;                                                                                                                                    4)аткаруу дисциплинасынын деңгээли.</t>
  </si>
  <si>
    <t xml:space="preserve">Суу ресурстары жана объекттери жаатында алдын алуу жана болтурбоо боюнча эскермелердин пункттарынын саны </t>
  </si>
  <si>
    <t>Калктын жашоосунун коопсуздугун камсыздоо боюнча суу ресурстары жана объекттери боюнча мониторингдөө жана консультациялоо</t>
  </si>
  <si>
    <t xml:space="preserve">Рекултивацияга жаткан жерлердин жалпы аянтына карата  рекультивацияланган жерлердин көлөмү </t>
  </si>
  <si>
    <t xml:space="preserve">Иондуу нурлануунун булактарын пайдаланган ишканаларда жана радиациялык объекттерде радиациялык коопсуздук боюнча ченемдерди жана эрежелерди сактоо </t>
  </si>
  <si>
    <t>Тобокелдиктин контролдогу түрлөрү боюнча өлүмгө дуушар кылган бөөдө кырсыктардын жалпы саны</t>
  </si>
  <si>
    <t>Тобокелчиликтердин контролдоочу турлөру боюнча травма алган жана жабыр тарткандардын жалпы саны</t>
  </si>
  <si>
    <t>Травматизмдин жыштык коэффиценти ( 1000 жумушчу эсебинде иштеген орто тизмедеги санына бир жыл ичинде жабыркагандардын саны)</t>
  </si>
  <si>
    <t xml:space="preserve">Кооптуу өндүруш объекттеринде аварияларды, инциденттерди жана бөөдө кырсыктарды болтурбоо </t>
  </si>
  <si>
    <t>Тоо-кен тармагы жаатында бузуулар менен байланышкан бөөдө кырсыктардын саны</t>
  </si>
  <si>
    <t xml:space="preserve">Ѳндүрүш объекттеринде эксплутациянын эрежелерин бузуу менен байланышкан бузуулардын саны </t>
  </si>
  <si>
    <t>Жүргүзүлүп жаткан жаткан жумуштардын долбоордон четтөосүнүн саны</t>
  </si>
  <si>
    <t>Лицензиялык макулдашууларды бузуу менен байланышкан инциденттердин саны</t>
  </si>
  <si>
    <t>Ѳз билемдик менен курулуп жана эксплуатацияланып жаткан объекттердин үлүшүн азайтуу</t>
  </si>
  <si>
    <t xml:space="preserve">Жер титирөөгө туруктуу жана ишеним параметрлерине ылайыктуу, бардык жеке менчиктин турлөрү,  жеке турак жайларынан башкасынан тышкары,курулуп жана реконструкцияланып жаткан имараттардын жана курулмалардын үлүшүн жогорулатуу </t>
  </si>
  <si>
    <t xml:space="preserve">Архитектура жана шаар куруу чөйрөсүндө укук бузууларды болтурбоо максатында түшүндүрүү иштерин жүргүзүү жана мониторингдөө </t>
  </si>
  <si>
    <t>Технологияларды жана ченемдерди бузуу менен байланышкан инциденттердин саны (авариялык өчүрүүлөр)</t>
  </si>
  <si>
    <t xml:space="preserve">Энергетика чөйрөсүндө өндүрүштөгү бөөдө кырсыктардын саны </t>
  </si>
  <si>
    <t xml:space="preserve">Өрт коопсуздугунун ченемдерин жана эрежелерин талаптарынын аткарылышына көзөмөлдү жана контролдукту ишке ашыруу </t>
  </si>
  <si>
    <t>Мүмкүн болгон өзгөчө кырдаалдардын алдын алуу (өрт)</t>
  </si>
  <si>
    <t>Эксплутациялоо  процессинде  ЕАЭБ техникалык регламенттеринин талаптарына  ылайык эмес продукциялардын бузуулуларын алдын алуу</t>
  </si>
  <si>
    <t>Суу транспорт ишмердүүлүгү жаатында бузууларды болтурбоо</t>
  </si>
  <si>
    <t xml:space="preserve">Текшерүүлөрдүн жалпы саны </t>
  </si>
  <si>
    <t>001.</t>
  </si>
  <si>
    <r>
      <rPr>
        <b/>
        <sz val="10"/>
        <color theme="1"/>
        <rFont val="Times New Roman"/>
        <family val="1"/>
        <charset val="204"/>
      </rPr>
      <t>Жалпы колдонмону камсыздоо -</t>
    </r>
    <r>
      <rPr>
        <sz val="10"/>
        <color theme="1"/>
        <rFont val="Times New Roman"/>
        <family val="1"/>
        <charset val="204"/>
      </rPr>
      <t xml:space="preserve"> Өнөр жайды, отун-энергетикалык комплексти жана жер казынасын (жетекчилик) пайдаланууну башкаруу жана координациялоо</t>
    </r>
  </si>
  <si>
    <r>
      <rPr>
        <b/>
        <sz val="10"/>
        <color theme="1"/>
        <rFont val="Times New Roman"/>
        <family val="1"/>
        <charset val="204"/>
      </rPr>
      <t>Жер казынасын пайдалануу, энергетика жана өнөр жай  чөйрөсүндөгү мыйзамдуу жөнгө салууну өздөштүрүү  -</t>
    </r>
    <r>
      <rPr>
        <sz val="10"/>
        <color theme="1"/>
        <rFont val="Times New Roman"/>
        <family val="1"/>
        <charset val="204"/>
      </rPr>
      <t xml:space="preserve"> Өнөр жай, отун-энергетикалык комплекс жана жер казынасын пайдалануу жаатындагы мамлекеттик кызматтарды көрсөтүүнүн сапатын ЧУА иштеп чыгуу аркылуу (аппараттын кызматкерлери)  жакшыртуу</t>
    </r>
  </si>
  <si>
    <t>би.</t>
  </si>
  <si>
    <r>
      <rPr>
        <b/>
        <sz val="10"/>
        <color theme="1"/>
        <rFont val="Times New Roman"/>
        <family val="1"/>
        <charset val="204"/>
      </rPr>
      <t xml:space="preserve">Камсыздоо кызматынын ишмердигин уюштуруу - </t>
    </r>
    <r>
      <rPr>
        <sz val="10"/>
        <color theme="1"/>
        <rFont val="Times New Roman"/>
        <family val="1"/>
        <charset val="204"/>
      </rPr>
      <t xml:space="preserve">Өнөр жай, отун-энергетикалык комплекс жана жер казынасын пайдаланууну колдоо жана өнүктүрүү үчүн керектүү ресурстарды пландоо,башкаруу жана  тескөө </t>
    </r>
  </si>
  <si>
    <t>002.</t>
  </si>
  <si>
    <r>
      <rPr>
        <b/>
        <sz val="10"/>
        <color theme="1"/>
        <rFont val="Times New Roman"/>
        <family val="1"/>
        <charset val="204"/>
      </rPr>
      <t xml:space="preserve">Жер казынасын пайдалануу боюнча мамлекеттик тапшырык            </t>
    </r>
    <r>
      <rPr>
        <sz val="10"/>
        <color theme="1"/>
        <rFont val="Times New Roman"/>
        <family val="1"/>
        <charset val="204"/>
      </rPr>
      <t xml:space="preserve">    </t>
    </r>
    <r>
      <rPr>
        <i/>
        <sz val="10"/>
        <color theme="1"/>
        <rFont val="Times New Roman"/>
        <family val="1"/>
        <charset val="204"/>
      </rPr>
      <t>Программанын максаттары:  Геологиялык чалгындоо иштерин изилдөө жана жүргүзүү,    геологиялык чалгындоо процессине методикалык жардам берүү</t>
    </r>
  </si>
  <si>
    <t xml:space="preserve">Пайдалуу кендердин ар кандай түрлөрүнүн кен казылуучу жерлерин издөө жана баалоо.
</t>
  </si>
  <si>
    <t xml:space="preserve">Жер алдындагы суу шарттамына, сапатына жана кооптуу экзогендик геологиялык процесстерге байкоо жүргүзүү бөлүгүндөгү геологиялык чөйрөгө мониторинг жүргүзүү
</t>
  </si>
  <si>
    <t xml:space="preserve">Геологиялык маалыматтардын жеткиликтүүлүгүн камсыздоо, геологиялык материалдарды талдоо жана жалпылоо.   
</t>
  </si>
  <si>
    <r>
      <rPr>
        <b/>
        <sz val="10"/>
        <color theme="1"/>
        <rFont val="Times New Roman"/>
        <family val="1"/>
        <charset val="204"/>
      </rPr>
      <t xml:space="preserve">Энергетикалык секторду туруктуу өнүктүрүү     </t>
    </r>
    <r>
      <rPr>
        <sz val="10"/>
        <color theme="1"/>
        <rFont val="Times New Roman"/>
        <family val="1"/>
        <charset val="204"/>
      </rPr>
      <t xml:space="preserve">                                            </t>
    </r>
    <r>
      <rPr>
        <i/>
        <sz val="10"/>
        <color theme="1"/>
        <rFont val="Times New Roman"/>
        <family val="1"/>
        <charset val="204"/>
      </rPr>
      <t>Программанын максаты: Энергетикалык чөйрөдөгү мамлекеттик саясатты ишке ашыруу</t>
    </r>
  </si>
  <si>
    <r>
      <t xml:space="preserve"> 110 кВ ЭБЧ жана 110 кВ  </t>
    </r>
    <r>
      <rPr>
        <sz val="10"/>
        <color rgb="FF00B050"/>
        <rFont val="Times New Roman"/>
        <family val="1"/>
        <charset val="204"/>
      </rPr>
      <t>ПС</t>
    </r>
    <r>
      <rPr>
        <sz val="10"/>
        <color theme="1"/>
        <rFont val="Times New Roman"/>
        <family val="1"/>
        <charset val="204"/>
      </rPr>
      <t xml:space="preserve"> куруу, 110 кВ </t>
    </r>
    <r>
      <rPr>
        <sz val="10"/>
        <color rgb="FF00B050"/>
        <rFont val="Times New Roman"/>
        <family val="1"/>
        <charset val="204"/>
      </rPr>
      <t>ПС</t>
    </r>
    <r>
      <rPr>
        <sz val="10"/>
        <color theme="1"/>
        <rFont val="Times New Roman"/>
        <family val="1"/>
        <charset val="204"/>
      </rPr>
      <t xml:space="preserve"> кайра конструкциялоо</t>
    </r>
  </si>
  <si>
    <t>17</t>
  </si>
  <si>
    <r>
      <rPr>
        <b/>
        <sz val="10"/>
        <color theme="1"/>
        <rFont val="Times New Roman"/>
        <family val="1"/>
        <charset val="204"/>
      </rPr>
      <t>Кыргыз Республика  жана анын региондорунун аймактарын топографиялык-геодезиялык жана картографиялык мамилесин камсыздоо</t>
    </r>
    <r>
      <rPr>
        <sz val="10"/>
        <color theme="1"/>
        <rFont val="Times New Roman"/>
        <family val="1"/>
        <charset val="204"/>
      </rPr>
      <t xml:space="preserve">
</t>
    </r>
    <r>
      <rPr>
        <i/>
        <sz val="10"/>
        <color theme="1"/>
        <rFont val="Times New Roman"/>
        <family val="1"/>
        <charset val="204"/>
      </rPr>
      <t xml:space="preserve">Программанын максаты: Өлкөнүн гео саясий кызыкчылыктарын камсыздоо үчүн КРдин аймагынын заманбап картографиялык жана геодезиялык негизи </t>
    </r>
  </si>
  <si>
    <r>
      <rPr>
        <b/>
        <sz val="10"/>
        <color theme="1"/>
        <rFont val="Times New Roman"/>
        <family val="1"/>
        <charset val="204"/>
      </rPr>
      <t>Кыргыз Республикасынын мамлекеттик чек арасын делимиттөө жана демаркациялоо</t>
    </r>
    <r>
      <rPr>
        <sz val="10"/>
        <color theme="1"/>
        <rFont val="Times New Roman"/>
        <family val="1"/>
        <charset val="204"/>
      </rPr>
      <t xml:space="preserve">
</t>
    </r>
    <r>
      <rPr>
        <i/>
        <sz val="10"/>
        <color theme="1"/>
        <rFont val="Times New Roman"/>
        <family val="1"/>
        <charset val="204"/>
      </rPr>
      <t xml:space="preserve">Программанын максаты: Өлкөнүн гео саясий кызыкчылыктарын камсыздоо үчүн КРдин аймагынын заманбап картографиялык жана геодезиялык негизи </t>
    </r>
  </si>
  <si>
    <r>
      <t xml:space="preserve">Илимий-техникалык дараметти өнүктүрүү 
</t>
    </r>
    <r>
      <rPr>
        <i/>
        <sz val="10"/>
        <color theme="1"/>
        <rFont val="Times New Roman"/>
        <family val="1"/>
        <charset val="204"/>
      </rPr>
      <t>Программанын максаты: өлкөнүн энергетикалык ресурстарын натыйжалуу пайдаланууга багытталган илимий-технологиялык дараметин жогорку деңгээлин кармоо.</t>
    </r>
  </si>
  <si>
    <t>Калкты жылуулук энергиясы менен камсыздоо</t>
  </si>
  <si>
    <t>Жылуулук тармактарынын 1 чакырымга кеткен жылуулук энергиясынын жоготуулары</t>
  </si>
  <si>
    <t>Капиталдык оңдоо</t>
  </si>
  <si>
    <t>983</t>
  </si>
  <si>
    <t>Миң-куш айылын инфрастуктурасын колдоо</t>
  </si>
  <si>
    <t>984</t>
  </si>
  <si>
    <t>172</t>
  </si>
  <si>
    <t>Аймактарда дене тарбия жана спортту өнүктүрүүнү камсыз кылуу</t>
  </si>
  <si>
    <t>Жогорку деңгээлдеги спорттун өнүгүшүн камсыз кылуу</t>
  </si>
  <si>
    <t xml:space="preserve">Дене тарбия жана спорт менен алектенүүнүн массалуулугу </t>
  </si>
  <si>
    <t>Ѳткөрүлгөн спорттук массалык иш-чаралар саны</t>
  </si>
  <si>
    <t>Спорттук инвентарлар менен жабдылган мекемелердин саны</t>
  </si>
  <si>
    <t>Спорттун улуттук түрлөрү боюнча спорттук массалык иш-чаралардынсаны</t>
  </si>
  <si>
    <t>Окуучу балдардын жана жаштардын саны</t>
  </si>
  <si>
    <t>Утуп алган сыйлуу орундардын саны</t>
  </si>
  <si>
    <t>Анти-допинг  чөйрөсүндөгү укуктук актылардын саны</t>
  </si>
  <si>
    <t>Стипендия алган спортчулардын саны</t>
  </si>
  <si>
    <t>Жаштар саясаты жаатында аймактык иш-чараларды өткөрүү</t>
  </si>
  <si>
    <t>Агенттиктин Мыйзам долбоорун иштеп чыгуу боюнча иш планын ишке ашыруу</t>
  </si>
  <si>
    <t>Эл аралык форумдарды жана B2B жолугушууларын өткөрүү. Инвестициялык долбоорлорду ишке ашыруу.</t>
  </si>
  <si>
    <t>Биржалык соода көлөмү</t>
  </si>
  <si>
    <t>Баалуу кагаздар менен алмашуу операцияларынын саны</t>
  </si>
  <si>
    <t>Ысык-Көл курорттук-рекреациялык зонасынын Башкы схемасын иштеп чыгуу</t>
  </si>
  <si>
    <t>Калк жашаган пункттарды ичүүчү суу менен камсыздоону жана санитарияны туруктуу өнүктүрүү үчүн шарттарды түзүү</t>
  </si>
  <si>
    <t>99</t>
  </si>
  <si>
    <t>Мамлекеттик инвестициялык долбоорлорду ишке ашыруу</t>
  </si>
  <si>
    <t>176</t>
  </si>
  <si>
    <t>177</t>
  </si>
  <si>
    <t>Эпизоотикалык жыргалчылыкты, азык-түлүк коопсуздугун камсыз кылуу, ошондой эле адамдарга жана жаныбарларга мүнөздүү ооруларга каршы күрөшүү</t>
  </si>
  <si>
    <t>Айыл чарба жаныбарларын эсепке алуу жана экспорттук потенциалды жогорулатуу</t>
  </si>
  <si>
    <r>
      <rPr>
        <b/>
        <sz val="10"/>
        <color theme="1"/>
        <rFont val="Times New Roman"/>
        <family val="1"/>
        <charset val="204"/>
      </rPr>
      <t xml:space="preserve">Мамлекеттик саясат     </t>
    </r>
    <r>
      <rPr>
        <sz val="10"/>
        <color theme="1"/>
        <rFont val="Times New Roman"/>
        <family val="1"/>
        <charset val="204"/>
      </rPr>
      <t xml:space="preserve">                                             
 </t>
    </r>
    <r>
      <rPr>
        <i/>
        <sz val="10"/>
        <color theme="1"/>
        <rFont val="Times New Roman"/>
        <family val="1"/>
        <charset val="204"/>
      </rPr>
      <t>Программанын максаты: Өнөр жай, отун-энергетикалык комплекс жана жер казынасын пайдалануу жаатындагы натыйжалуу мамлекеттик саясатты иштеп чыгуу жана ишке ашыруу</t>
    </r>
    <r>
      <rPr>
        <sz val="10"/>
        <color theme="1"/>
        <rFont val="Times New Roman"/>
        <family val="1"/>
        <charset val="204"/>
      </rPr>
      <t xml:space="preserve">                                    </t>
    </r>
  </si>
  <si>
    <t>Мамлекеттик инвестициялар программасы</t>
  </si>
  <si>
    <t>Евразия экономикалык комиссиясы менен  өз ара кызматташуу </t>
  </si>
  <si>
    <t>Мам. Каттоо субьекттерине басымдуулук кылган терс доминанттын саны</t>
  </si>
  <si>
    <t>Ишкердик субъекттеринин жана жарандардын адилетсиз атаандаштык укуктарын жана атаандаштыкты чектөөгө багытталган мамлекеттик органдардын жана жергиликтүү өз алдынча башкаруу органдарынын аракеттерин коргоо</t>
  </si>
  <si>
    <t xml:space="preserve">
Монополия субъекттерин жөнгө салуунун натыйжалуулугун жогорулатуу</t>
  </si>
  <si>
    <t>Төлөнгөн компенсациянын суммасы</t>
  </si>
  <si>
    <t xml:space="preserve">Мамлекеттик мүлктү бирдиктүү автоматташтырылган эсепке алуу системасында камтуу </t>
  </si>
  <si>
    <t>Мамлекеттик мүлктү ижарага берүү жана республикалык бюджетке каражаттын түшүүсүн камсыз кылуу</t>
  </si>
  <si>
    <t xml:space="preserve"> 79. Кыргыз Республикасынын  Коопсуздук кеңешинин катчылыгы</t>
  </si>
  <si>
    <t>Физика-техникалык, математикалык  жана тоокен-геолог. изилдөөлөрдү өнүктүрүү</t>
  </si>
  <si>
    <t>Болуп өткөн  жер титирөөлөрдүн саны</t>
  </si>
  <si>
    <t>Жеке дарыялар  үчүн ар кандай жагдайды rлиматтын өзгөрүшүн эске алуу менен гидроэнергетикалык дарамети эсептөө жүзөгө ашырылган экспертизалардын саны</t>
  </si>
  <si>
    <t>Электр энергиясын алдын ала керектөөнүн автоматтык  ситемасын иштеп чыгуу боюнча берилген оң чечим патен саны  жана тоо сууларынын агымынын өндүрүшүн эсепке алган датчиктин макети. конкреттүү экономикалык маселелер учун аэрокосмостук маалыматтарды кайра иштетүү.</t>
  </si>
  <si>
    <t xml:space="preserve">Жаратылыш жана техногендик кыйроолорду болжолдоо методдорун жана каражаттарын иштеп чыгуу жана алдын алуу.  Шпуралар жана скважиналарды бургалоо үчүн  техникаларды иштеп чыгуу. Регионалдык геология жана Кыргызстандын пайдалуу кендери       </t>
  </si>
  <si>
    <t>Лабораториялык изилдөлөрдун саны</t>
  </si>
  <si>
    <t>Натыйжалуулук индикатору: калктын жалпы санынан телеберүү менен камсыздалган калктын  % көрсөткүчү</t>
  </si>
  <si>
    <t>Натыйжалуулук индикатору: калктын жалпы санынан радиоберүү менен камсыздалган калктын  % көрсөткүчү</t>
  </si>
  <si>
    <t>Эл аралык адистерди тартуу аркылуу тесттик тапшырмаларды иштеп чыгуучуларды жана эксперттерди окутуу</t>
  </si>
  <si>
    <t xml:space="preserve">1 веб-портал (аяктоо пайызы) </t>
  </si>
  <si>
    <t>42. Кыргыз Республикасынын Өкмөтүнө караштуу суу ресурстары Мамлекеттик агенттиги</t>
  </si>
  <si>
    <t xml:space="preserve"> Бирдиктүү макулдашылган макроэкономикалык саясатты жүргүзүү</t>
  </si>
  <si>
    <t>Экспортту өнүктүрүү</t>
  </si>
  <si>
    <t xml:space="preserve">Инвестициялык жагымдуулукту жогорулатуу жана МЖӨ алкагында долбоорлорду илгерилетүү </t>
  </si>
  <si>
    <t>Салыктык жол-жоболорду фискалдаштыруунун электрондук системасын жайылтуу</t>
  </si>
  <si>
    <t>Эл аралык рейтингдерде өлкөнүн позициясын жакшыртуу</t>
  </si>
  <si>
    <t xml:space="preserve">Региондорду өнүктүрүүгө мониторинг жүргүзүү жана баалоо системасын иштеп чыгуу, Кыргыз Республикасынын Өкмөтүнүн ыйгарым укуктуу өкүлдөрүнүн, жергиликтүү мамлекетик администрациялардын, Бишкек, Ош шаарларынын мэрияларынын ишин баалоо                              </t>
  </si>
  <si>
    <t>Бирдиктүү тизмеге киргизилген товарлардын экспортуна жана импортуна лицензия берүү боюнча автоматташтырылган маалыматтык системаны иштеп чыгуу жана ишке киргизүү</t>
  </si>
  <si>
    <t>Министрликтердин уюштуруу-техникалык ишин камсыздоо, ошондой эле кызматкерлерди окутуу жана квалификациясын жогорулатуу</t>
  </si>
  <si>
    <t>Региондорду комплекстүү өнүктүрүү  программаларын иштеп чыгууга, ошондой эле экономикалык болжолдорду түзүүгө көмөктөшүү</t>
  </si>
  <si>
    <t>Карыз болгон өндүрүштү сактап калуу максатында банкроттуктук чыңдоо жол-жоболорун колдонуу боюнча чараларды көрүү</t>
  </si>
  <si>
    <t>МЖӨ долбоорлорун координациялоо жана демилгелөө, Кыргыз Республикасында МЖӨ механизмин жайылтуу</t>
  </si>
  <si>
    <t>Кыргыз Республикасынын Дүйнөлүк соода уюмунун алдында эл аралык милдеттенмелерди сактоосун камсыздоо жана көп тараптуу соода системасынын алкагыда Кыргыз Республикасынын катышуу артыкчылыгын натыйжалуу колдонуу</t>
  </si>
  <si>
    <t>Ишкердик субьекттер, продукцияларды керектөөчүлөр арасында ЕАЭБ/ББ техникалык регламенттери менен белгиленүүчү талаптар жана эрежелер жөнүндө маалыматтык-түшүндүрүү иштерин жүргүзүү</t>
  </si>
  <si>
    <t>Бирдиктүү терезе принциби боюнча тышкы экономикалык иштер жаатында кызмат көрсөтүүлөрдү өнүктүрүү</t>
  </si>
  <si>
    <t>Улуттук стандарттарды эл аралык жана европалык ченемдерге айкалыштыруунун деңгээлин жогорулатуу, өлчөөлөрдүн так эмес жыйынтыктарынын кесепетинен мамлекеттин жана жарандардын кызыкчылыктарын коргоо</t>
  </si>
  <si>
    <t>КАБдын ИСО/МЭК 17011 шайкештигине шайкештигин тастыктоо</t>
  </si>
  <si>
    <t>Билим аркылуу министрликтин потенциалын күчөтүү жана артыкчылыктуу багыттарда экономикалык саясатты өркүндөтүү боюнча сунуштамаларды иштеп чыгуу</t>
  </si>
  <si>
    <t xml:space="preserve">50 миң АКШ долларына каржылоо менен Кыргыз Республикасында эт халал паркын куруу үчүн техникалык-экономикалык негиздемени даярдоо </t>
  </si>
  <si>
    <t>Мамлекеттик программалар</t>
  </si>
  <si>
    <t xml:space="preserve">Пландаштыруу, башкаруу жана  администрациялоо                                                                                                        </t>
  </si>
  <si>
    <t>Транспорт, жол тармагы жана жарандык авиацияны өнүктүрүүнү башкаруу жана координациялоо</t>
  </si>
  <si>
    <t>ЧУАны иштеп чыгуу менен транспорт жана жол секторун мамлекеттик ызмат көрсөтүүнүн сапатын жакшыртуу</t>
  </si>
  <si>
    <t>Транспорт, жол тармагы жана жарандык авиацияны өнүктүрүү жана колдоо үчүн зарыл болгон финансы ресурстарын пландаштыруу</t>
  </si>
  <si>
    <t xml:space="preserve">Жолдун ички тарамдарын жумушчу стандарттарына  тууралоо. </t>
  </si>
  <si>
    <t xml:space="preserve"> ППИР жана экспертиза </t>
  </si>
  <si>
    <t>8/133,4</t>
  </si>
  <si>
    <t xml:space="preserve">  Капиталдык оңдоо (көпүрөлөрдү куруу) </t>
  </si>
  <si>
    <t>Орто оңдоо (асфальтобетон  төшөө түзүлүштөрү, ШПО, кара шагыл төшөө түзүлүштөрү, шагыл төшөө түзүлүштөрү)</t>
  </si>
  <si>
    <t xml:space="preserve"> Учурдагы оңдоолор (чуңкурларды оңдоо, түздөө, пландоо ж.б.)</t>
  </si>
  <si>
    <t>293/100</t>
  </si>
  <si>
    <t>257,3/100</t>
  </si>
  <si>
    <t xml:space="preserve"> Автомобилдик жолдорду оңдоп-түзөп туруу (жолдорду жайы-кышы тазалап, оңдоп-түзөө)</t>
  </si>
  <si>
    <t>Жолдорду тейлөөгө болгон арыздардын саны</t>
  </si>
  <si>
    <t>Өтүү бөлүгүн чийүү, жол белгилерин жана жол чырактарын орнотуу</t>
  </si>
  <si>
    <t>Автомобиль жолдорунун сапатынын стандартка туура келишин текшерүү (ЗП))</t>
  </si>
  <si>
    <t xml:space="preserve">Акыркы оңдоп-түзөөдөн кийин кайрадан жаңыртууну талап кылган жолдордун узундугу </t>
  </si>
  <si>
    <t xml:space="preserve">Жолдорду сактоо иретинде  материалдык-техника менен камсыздоо </t>
  </si>
  <si>
    <t>Техника менен камсыз кылуу</t>
  </si>
  <si>
    <t xml:space="preserve">Эл аралык транспорттук коридорлорду реабилитациялоо 
</t>
  </si>
  <si>
    <t xml:space="preserve">Программанын максаты: Дүйнөлүк экономикалык системага интеграцияланууну жогорулатуу,   калктын жана республиканын экономикалык субъектилеринин товарлардын, жумуштун жана кызмат көрсөтүүлөрдүн региондук рыногуна жеткиликтүү болушун камсыздоо, транзиттик потенциалды өнүктүрүү жана транспорттук көз карандысыздыкты камсыздоо.                                                                                        </t>
  </si>
  <si>
    <t xml:space="preserve"> Чыгыш багытындагы эл аралык  транспорттук коридорлорду реабилитациялоо  (Бишкек-Нарын-Торугарт)</t>
  </si>
  <si>
    <t>Чыгыш багытындагы эл аралык  транспорттук коридорлорду реабилитациялоо (Балыкчи-Каракол-Балыкчи)</t>
  </si>
  <si>
    <t xml:space="preserve"> Батыш  багытындагы эл аралык  транспорттук коридорлорду реабилитациялоо (Ош-Баткен-Исфана)</t>
  </si>
  <si>
    <t xml:space="preserve"> Бишкек-Ош жолунда кар көчкүдөн коргоо долбоору (JICA) (Грант) ВБ</t>
  </si>
  <si>
    <t xml:space="preserve">  Батыш багытындагы эл аралык  транспорттук коридорлорду реабилитациялоо (Бишкек-Ош)</t>
  </si>
  <si>
    <t xml:space="preserve"> Эл аралык  транспорттук коридорлорду реабилитациялоо (Түндүк-Түштүк)</t>
  </si>
  <si>
    <t xml:space="preserve"> Тараз-Талас-Суусамыр автожолун реабилитациялоо Ф-3 ,км 75-105 (ИБР,СФР)</t>
  </si>
  <si>
    <t xml:space="preserve"> Борбор Азиядагы жол каттамдарын жакшыртуу долбоорунун үчүнчү фазасы ( Түп-Кеген унаа жолу, км 39 -76  жана туризмди өнүктүрүү)</t>
  </si>
  <si>
    <t>Кыргыз Республикасынын жалпы колдонуудагы автоунаа жолдорунун сакталышына карата иш чаралардын өткөрүлүшү жана автоунаа, суу транспорт тармагын жөнгө салуу</t>
  </si>
  <si>
    <t xml:space="preserve"> Бюджеттик чаранын аталышы: автоунаа жана суу транспорт тармагындагы ишмердүүлүгүн лицензиялоо жана жөнгө салуу</t>
  </si>
  <si>
    <t xml:space="preserve">  Транспорттук көзөмөлдөөнү күчөтүү</t>
  </si>
  <si>
    <t>Транспорт жана жол чарба тармагындагы бузууларга бөгөт коюу</t>
  </si>
  <si>
    <t>аныкталган бузуулардын саны</t>
  </si>
  <si>
    <t>факты боюнча</t>
  </si>
  <si>
    <t xml:space="preserve"> Учуу (аба) коопсуздугун камсыз кылуу</t>
  </si>
  <si>
    <t xml:space="preserve"> Аба транспорту менен коомду канааттандыруу</t>
  </si>
  <si>
    <t>Авиация жана суу транспорту үчүн квалификациялуу адистерди даярдоо</t>
  </si>
  <si>
    <t>Программанын максаты:  Эмгек рыногунун талаптарына ылайык, Кыргыз Республикасынын жарандык авиация жана суу транспорту ишканаларынын квалификациялуу адистер тарабынан керектөөлөрүн канааттандыруу</t>
  </si>
  <si>
    <t>Адистиги боюнча бүтүрүүчүлөрдүн иш менен камсыз кылуу пайызы</t>
  </si>
  <si>
    <t xml:space="preserve">Орто кесиптик  билим берүү  программасы  боюнча  жарандык авиацияга квалификациялуу  техникалык авиациялык адистерди  бюджеттик негизде мамлекеттик буйрутмага ылайык даярдоо    </t>
  </si>
  <si>
    <t xml:space="preserve"> Кыргыз Республикасынын жарандык авиация жана суу транспортуна  жогорку кесиптик  билим  берүү программасы  боюнча квалификациялуу  адистерди  даярдоо (контракт).  </t>
  </si>
  <si>
    <t xml:space="preserve">Кыргыз Республикасынын жарандык авиация жана суу транспортуна  орто  кесиптик  билим  берүү программасы  боюнча квалификациялуу  адистерди  даярдоо  жана  авиациялык адистерди кайра  даярдоо жана квалификациясын  жогорулатуу   (контракт) </t>
  </si>
  <si>
    <r>
      <t xml:space="preserve">Пландоо, башкаруу жана администрациялоо                                                                                                                              
</t>
    </r>
    <r>
      <rPr>
        <i/>
        <sz val="10"/>
        <rFont val="Times New Roman"/>
        <family val="1"/>
        <charset val="204"/>
      </rPr>
      <t>Программанын максаттары: Бул стратегияга киргизилген башка программалардын жүзөгө ашырылышына карата координациялык жана уюштуруучулук таасир этүү</t>
    </r>
  </si>
  <si>
    <r>
      <t xml:space="preserve">Коомдук саламаттык сактоо.             
</t>
    </r>
    <r>
      <rPr>
        <i/>
        <sz val="10"/>
        <rFont val="Times New Roman"/>
        <family val="1"/>
        <charset val="204"/>
      </rPr>
      <t>Программанын максаты: Оорулардын алдын алуу,  эпидемиологиялык  көзөмөлдү камсыз кылуу, инфекциялык оорулар жана паразиттик инфекциялык оорулар менен күрөшүү</t>
    </r>
  </si>
  <si>
    <r>
      <t xml:space="preserve">Мамлекеттик  ирригациялык фондду жана  мелиорацияны колдоо жана өнүктүрүү                                                     </t>
    </r>
    <r>
      <rPr>
        <i/>
        <sz val="10"/>
        <color theme="1"/>
        <rFont val="Times New Roman"/>
        <family val="1"/>
        <charset val="204"/>
      </rPr>
      <t>Программанын максаты: Агрардык сектордун эффективдүү иштешин камсыз кылуу максатта  суу пайдалануучуларды сугат суу менен камсыз кылуу</t>
    </r>
  </si>
  <si>
    <r>
      <t xml:space="preserve">Пландаштыруу, башкаруу жана администрациялоо                                                                                                                              
</t>
    </r>
    <r>
      <rPr>
        <i/>
        <sz val="10"/>
        <rFont val="Times New Roman"/>
        <family val="1"/>
        <charset val="204"/>
      </rPr>
      <t>Программанын максаты: Башка программаларды ишке ашырууга координациялоочу жана  уюштуруучу таасир  кылуу</t>
    </r>
  </si>
  <si>
    <r>
      <t xml:space="preserve">Маданият жана искусство жаатындагы маданиятты жана искусствону, билим берүүнү сактоо жана өнүктүрүү 
</t>
    </r>
    <r>
      <rPr>
        <i/>
        <sz val="10"/>
        <color theme="1"/>
        <rFont val="Times New Roman"/>
        <family val="1"/>
        <charset val="204"/>
      </rPr>
      <t xml:space="preserve">Программанын максаты: Маданий мурастарды эл аралык деңгээлге жылдыруу, коомчулукка  популяризациялоо, рационалдуу пайдалануу, кепилденген коргоо жана сактоонун ишенимдүү  системасын түзүү. </t>
    </r>
    <r>
      <rPr>
        <b/>
        <sz val="10"/>
        <color theme="1"/>
        <rFont val="Times New Roman"/>
        <family val="1"/>
        <charset val="204"/>
      </rPr>
      <t xml:space="preserve">
</t>
    </r>
  </si>
  <si>
    <r>
      <t xml:space="preserve">Улуттук киноматографияны сактоо, өнүктүрүү жана  популяризациялоо. 
</t>
    </r>
    <r>
      <rPr>
        <i/>
        <sz val="10"/>
        <color theme="1"/>
        <rFont val="Times New Roman"/>
        <family val="1"/>
        <charset val="204"/>
      </rPr>
      <t>Программанын максаты:  Кыргыз киноматоргафиясынын көрүүчүлөргө популярдуулугунун жана  мүмкүнчүлүктөрүнүн жана потенциалынын прогрессивдүү өсүү динамикасын камсыздоо.</t>
    </r>
  </si>
  <si>
    <r>
      <t xml:space="preserve">Маалыматтык чөйрөнү өнүктүрүү.
</t>
    </r>
    <r>
      <rPr>
        <i/>
        <sz val="10"/>
        <rFont val="Times New Roman"/>
        <family val="1"/>
        <charset val="204"/>
      </rPr>
      <t>Программанын максаты: Мамлекеттик маалыматтык саясатты түзүү.</t>
    </r>
  </si>
  <si>
    <r>
      <t xml:space="preserve">Пландаштыруу, башкаруу жана администрациялоо         </t>
    </r>
    <r>
      <rPr>
        <sz val="10"/>
        <color indexed="8"/>
        <rFont val="Times New Roman"/>
        <family val="1"/>
        <charset val="204"/>
      </rPr>
      <t xml:space="preserve">
</t>
    </r>
    <r>
      <rPr>
        <i/>
        <sz val="10"/>
        <color indexed="8"/>
        <rFont val="Times New Roman"/>
        <family val="1"/>
        <charset val="204"/>
      </rPr>
      <t xml:space="preserve">Программанын максаты: Башка программаларды ишке ашырууда жөнгө салуу жана уюштуруучулук жактан таасир этүү </t>
    </r>
    <r>
      <rPr>
        <b/>
        <sz val="10"/>
        <color indexed="8"/>
        <rFont val="Times New Roman"/>
        <family val="1"/>
        <charset val="204"/>
      </rPr>
      <t xml:space="preserve">
</t>
    </r>
  </si>
  <si>
    <r>
      <t xml:space="preserve">Пландаштыруу,  башкаруу жана администрациялоо                                 </t>
    </r>
    <r>
      <rPr>
        <i/>
        <sz val="10"/>
        <color theme="1"/>
        <rFont val="Times New Roman"/>
        <family val="1"/>
        <charset val="204"/>
      </rPr>
      <t>Программанын максаты: Башка программаларды ишке ашырууга координациялоочу жана уюштуруучулук таасир</t>
    </r>
  </si>
  <si>
    <r>
      <t xml:space="preserve">Көрүүсү жана угуусу боюнча майыптар үчүн коомдо тең укуктарды жана мүмкүнчүлүктөрдү камсыздоо.                                                                                                                
</t>
    </r>
    <r>
      <rPr>
        <i/>
        <sz val="10"/>
        <rFont val="Times New Roman"/>
        <family val="1"/>
        <charset val="204"/>
      </rPr>
      <t xml:space="preserve">Программанын максаты: Майыптарды социалдык реабилитациялоо    </t>
    </r>
    <r>
      <rPr>
        <b/>
        <sz val="10"/>
        <rFont val="Times New Roman"/>
        <family val="1"/>
        <charset val="204"/>
      </rPr>
      <t xml:space="preserve">                                                                                                                </t>
    </r>
  </si>
  <si>
    <r>
      <t>Атайын адистештирилген китеп-канадагы китеп фондсун  камсыз кылуу менен азис жана  дүл</t>
    </r>
    <r>
      <rPr>
        <sz val="10"/>
        <color theme="1"/>
        <rFont val="Calibri"/>
        <family val="2"/>
        <charset val="204"/>
      </rPr>
      <t>ѳ</t>
    </r>
    <r>
      <rPr>
        <sz val="10"/>
        <color theme="1"/>
        <rFont val="Times New Roman"/>
        <family val="1"/>
        <charset val="204"/>
      </rPr>
      <t>й майыптарды окутууга жана аларды жумушка орноштурууга мүмкүнчүлүк түзүл</t>
    </r>
    <r>
      <rPr>
        <sz val="10"/>
        <color theme="1"/>
        <rFont val="Calibri"/>
        <family val="2"/>
        <charset val="204"/>
      </rPr>
      <t>ѳ</t>
    </r>
    <r>
      <rPr>
        <sz val="10"/>
        <color theme="1"/>
        <rFont val="Times New Roman"/>
        <family val="1"/>
        <charset val="204"/>
      </rPr>
      <t>т.</t>
    </r>
  </si>
  <si>
    <r>
      <rPr>
        <b/>
        <sz val="10"/>
        <color theme="1"/>
        <rFont val="Calibri"/>
        <family val="2"/>
        <charset val="204"/>
        <scheme val="minor"/>
      </rPr>
      <t xml:space="preserve">Көрүү жана угуу мумкунчулуктору чектелген майыптарды социалдык жактан коргоо.                           </t>
    </r>
    <r>
      <rPr>
        <sz val="10"/>
        <color theme="1"/>
        <rFont val="Calibri"/>
        <family val="2"/>
        <charset val="204"/>
        <scheme val="minor"/>
      </rPr>
      <t xml:space="preserve">                    </t>
    </r>
    <r>
      <rPr>
        <i/>
        <sz val="10"/>
        <color theme="1"/>
        <rFont val="Calibri"/>
        <family val="2"/>
        <charset val="204"/>
        <scheme val="minor"/>
      </rPr>
      <t>Программанын максаты: эмгек менен камсыздоо жана жакшы шарт түзүү</t>
    </r>
  </si>
  <si>
    <r>
      <t xml:space="preserve">Пландаштыруу, башкаруу жана администрациялоо                                                                                                                              
</t>
    </r>
    <r>
      <rPr>
        <i/>
        <sz val="10"/>
        <color rgb="FF000000"/>
        <rFont val="Times New Roman"/>
        <family val="1"/>
        <charset val="204"/>
      </rPr>
      <t>Программанын максаты: Башка программаларды ишке ашырууга координациялоочу жана уюштуруучу таасирлер</t>
    </r>
  </si>
  <si>
    <r>
      <t xml:space="preserve">Пландоо, башкаруу жана администрациялоо                                                                                                                               
</t>
    </r>
    <r>
      <rPr>
        <i/>
        <sz val="10"/>
        <rFont val="Times New Roman"/>
        <family val="1"/>
        <charset val="204"/>
      </rPr>
      <t>Программанын максаттары: КЧКТЧМАнын натыйжалуу иши үчүн шарттарды координациялоо жана түзүү</t>
    </r>
    <r>
      <rPr>
        <sz val="10"/>
        <rFont val="Times New Roman"/>
        <family val="1"/>
        <charset val="204"/>
      </rPr>
      <t xml:space="preserve"> </t>
    </r>
  </si>
  <si>
    <r>
      <t xml:space="preserve">«Экологиялык коопсуздукту камсыздоо»
</t>
    </r>
    <r>
      <rPr>
        <i/>
        <sz val="10"/>
        <rFont val="Times New Roman"/>
        <family val="1"/>
        <charset val="204"/>
      </rPr>
      <t>Программалардын максаты: Чарбалык жана башка иштердин калктын саламаттыгына жана курчап турган чөйрөгө, анын ичинде климаттын өзгөрүшүн эске алуу менен мүмкүн болгон терс таасиринин кесепеттерин болтурбоо.</t>
    </r>
  </si>
  <si>
    <r>
      <t xml:space="preserve">Токой экосистемаларын онуктуруу                                    </t>
    </r>
    <r>
      <rPr>
        <i/>
        <sz val="10"/>
        <rFont val="Times New Roman"/>
        <family val="1"/>
        <charset val="204"/>
      </rPr>
      <t>Программанын максаты:
Токой экосистемаларын сактоо, токойлорду кобойтуу жана токойду сарамжалдуу  пайдалануу</t>
    </r>
  </si>
  <si>
    <r>
      <t xml:space="preserve">Токой, аңчылык ресурстарын эсепке алуу, токой чарбаларын жана аңчылык иштерин жүргүзүүнү пландоо.     </t>
    </r>
    <r>
      <rPr>
        <i/>
        <sz val="10"/>
        <rFont val="Times New Roman"/>
        <family val="1"/>
        <charset val="204"/>
      </rPr>
      <t>Программанын максаты: Токой ресурстарынын, аңчылык жерлерин  сапаттык жана сандык муноздомосу, баалоо, жана эсеп жургузуу жонундо актуалдуу маалыматты камсыз кылуу</t>
    </r>
  </si>
  <si>
    <r>
      <t xml:space="preserve">Биологиялык  түрдүүлүктү сактоо.   
</t>
    </r>
    <r>
      <rPr>
        <i/>
        <sz val="10"/>
        <rFont val="Times New Roman"/>
        <family val="1"/>
        <charset val="204"/>
      </rPr>
      <t>Программанын максаты: Биологиялык  түрдүүлүктү сактоо жана жакшыртуу, анын ичинде жаныбарлар жана осумдуктор дуйносунун сейрек жана жоголуп бара жаткан популяциясынын санын калыбына келтируу; Кыргыз Республикасынын биологиялык  түрдүүлүгүн туруктуу пайдалануу</t>
    </r>
  </si>
  <si>
    <r>
      <t xml:space="preserve">Пландоо, башкаруу жана администрациялоо   </t>
    </r>
    <r>
      <rPr>
        <i/>
        <sz val="10"/>
        <color indexed="8"/>
        <rFont val="Times New Roman"/>
        <family val="1"/>
        <charset val="204"/>
      </rPr>
      <t>Программанын максаты: ЭТКМИнын натыйжалуу иши үчүн шарттарды түзүү жана координациялоо</t>
    </r>
  </si>
  <si>
    <r>
      <t xml:space="preserve">Экологиялык коопсуздукту мониторингдөө жана контролдоо.                                                                         </t>
    </r>
    <r>
      <rPr>
        <i/>
        <sz val="10"/>
        <rFont val="Times New Roman"/>
        <family val="1"/>
        <charset val="204"/>
      </rPr>
      <t>Программанын максаты: КР Экологиялык коопсуздуктун жогорку деңгээли</t>
    </r>
  </si>
  <si>
    <r>
      <t xml:space="preserve">Техникалык коопсуздукту мониторингдөө жана контролдоо.                                                                       </t>
    </r>
    <r>
      <rPr>
        <i/>
        <sz val="10"/>
        <rFont val="Times New Roman"/>
        <family val="1"/>
        <charset val="204"/>
      </rPr>
      <t>Программанын максаты: КР Техникалык коопсуздуктун жогорку деңгээли</t>
    </r>
  </si>
  <si>
    <r>
      <t xml:space="preserve">Пландоо, башкаруу жана администрациялоо                                                                                                                         
</t>
    </r>
    <r>
      <rPr>
        <i/>
        <sz val="10"/>
        <color theme="1"/>
        <rFont val="Times New Roman"/>
        <family val="1"/>
        <charset val="204"/>
      </rPr>
      <t>Программанын максаты: Башка программаларды ишке ашырууга координациялоочу жана уюштуруучу таасирлер</t>
    </r>
  </si>
  <si>
    <r>
      <t xml:space="preserve">Дене тарбия жана массалык спортту өнүктүрүү                                                                  </t>
    </r>
    <r>
      <rPr>
        <i/>
        <sz val="10"/>
        <rFont val="Times New Roman"/>
        <family val="1"/>
        <charset val="204"/>
      </rPr>
      <t>Программанын максаты:  дене тарбия жана спорт менен алектенүүнүн массалуулугун 20%га чейин жеткирүү</t>
    </r>
  </si>
  <si>
    <r>
      <t xml:space="preserve">Жогорку деңгээлдеги спортту өнүктүрүү                                                </t>
    </r>
    <r>
      <rPr>
        <i/>
        <sz val="10"/>
        <rFont val="Times New Roman"/>
        <family val="1"/>
        <charset val="204"/>
      </rPr>
      <t>Программанын максаты: Эл аралык аренада Кыргыз Республикасынын кадыр-баркын жогорлатуу</t>
    </r>
  </si>
  <si>
    <r>
      <t xml:space="preserve">Жаштар саясатын ишке ашыруу                                                                                                                  </t>
    </r>
    <r>
      <rPr>
        <i/>
        <sz val="10"/>
        <rFont val="Times New Roman"/>
        <family val="1"/>
        <charset val="204"/>
      </rPr>
      <t xml:space="preserve">Программанын максаты:Кыргызстандын активдүү жаштарынын жаңы муунун калыптандыруу жана өркүндөтүү </t>
    </r>
  </si>
  <si>
    <r>
      <t xml:space="preserve">«Мамлекеттик кадр саясатын өркүндөтүү».
</t>
    </r>
    <r>
      <rPr>
        <i/>
        <sz val="10"/>
        <color theme="1"/>
        <rFont val="Times New Roman"/>
        <family val="1"/>
        <charset val="204"/>
      </rPr>
      <t xml:space="preserve">Программанын максаты: Мамлекеттик органдарда жана жергиликтүү өз алдынча башкаруу органдарында бирдиктүү мамлекеттик кадр саясатын иштеп чыгуу, жүзөгө ашыруу жана туруктуу иштешин камсыз кылуу.
</t>
    </r>
  </si>
  <si>
    <r>
      <t xml:space="preserve">Пландоо, башкаруу жана администрациялоо                        </t>
    </r>
    <r>
      <rPr>
        <i/>
        <sz val="10"/>
        <rFont val="Times New Roman"/>
        <family val="1"/>
        <charset val="204"/>
      </rPr>
      <t xml:space="preserve">Программанын максаты: Башка программаларды ишке ашырууга координациялоочу жана уюштуруучулук таасир </t>
    </r>
  </si>
  <si>
    <r>
      <t xml:space="preserve">Ветеринардык, фитосанитардык коопсуздукту камсыздоо   жана жаныбарларды жугуштуу ылаңдардан коргоо                                                                                 </t>
    </r>
    <r>
      <rPr>
        <i/>
        <sz val="10"/>
        <rFont val="Times New Roman"/>
        <family val="1"/>
        <charset val="204"/>
      </rPr>
      <t>Программанын максаты: Эпизоотикалык бакубатчылыкты, азык-түлүк коопсуздугун камсыз кылуу, ошондой эле адамдар менен жаныбарларга мүнөздүү болгон ооруларды контролдоо</t>
    </r>
  </si>
  <si>
    <r>
      <t xml:space="preserve">Маалыматтык-коммуникациялык технологиялар жаатындагы мамлекеттик саясат
</t>
    </r>
    <r>
      <rPr>
        <i/>
        <sz val="10"/>
        <rFont val="Times New Roman"/>
        <family val="1"/>
        <charset val="204"/>
      </rPr>
      <t>Программанын максаты: Маалыматташтыруу, электрондук башкаруу, байланыш жаатындагы кызмат көрсөтүүлөр рыногун түзүү жана өнүктүрүү, ошондой эле жалпы дүйнөлүк маалыма айдыңына интеграциялоо үчүн электрондук колтамганы өнүктүрүү жана заманбап, жогорку технологиялык жана атаандаштыкка жөндөмдүү маалымат жиберүү тармагын түзүү үчүн жагымдуу шарттарды түзүү</t>
    </r>
  </si>
  <si>
    <r>
      <t xml:space="preserve">Электрондук башкаруу инфраструктурасын жана электрондук кызмат көрсөтүүлөрдү өнүктүрүү
</t>
    </r>
    <r>
      <rPr>
        <i/>
        <sz val="10"/>
        <color theme="1"/>
        <rFont val="Times New Roman"/>
        <family val="1"/>
        <charset val="204"/>
      </rPr>
      <t>Программанын максаты: Электрондук башкарууну өнүктүрүү, электрондук кызмат көрсөтүүлөрдү ишке киргизүү</t>
    </r>
  </si>
  <si>
    <r>
      <t xml:space="preserve">Электр жана почта байланышын жөнгө салуу
</t>
    </r>
    <r>
      <rPr>
        <i/>
        <sz val="10"/>
        <color theme="1"/>
        <rFont val="Times New Roman"/>
        <family val="1"/>
        <charset val="204"/>
      </rPr>
      <t>Программанын максаты: Заманбап, жогорку технологиялуу жана атаандаштыкка жөндөмдүү Улуттук маалымат жиберүү тармагын түзүү жана Улуттук тармакты жалпы дүйнөлүк маалымат айдыңына интеграциялоо</t>
    </r>
  </si>
  <si>
    <r>
      <t xml:space="preserve">Пландоо, башкаруу жана администрациялоо                                                                                                                               
</t>
    </r>
    <r>
      <rPr>
        <i/>
        <sz val="10"/>
        <rFont val="Times New Roman"/>
        <family val="1"/>
        <charset val="204"/>
      </rPr>
      <t xml:space="preserve">Программанын максаты: Башка программаларды ишке ашырууга координациялоочу жана уюштуруучу таасир этүү </t>
    </r>
  </si>
  <si>
    <r>
      <t xml:space="preserve">Пландоо, башкаруу жана администрлөө                                                                                                                              
</t>
    </r>
    <r>
      <rPr>
        <i/>
        <sz val="10"/>
        <color theme="1"/>
        <rFont val="Times New Roman"/>
        <family val="1"/>
        <charset val="204"/>
      </rPr>
      <t>Программанын максаты: Башка программаларды ишке ашырууга координациялоочу жана уюштуруучу таасирлер</t>
    </r>
  </si>
  <si>
    <r>
      <t xml:space="preserve">Экономикалык негизги тармактарында атаандаш рынокторун жана атаандаш чойрону мамлекеттик колдоо. </t>
    </r>
    <r>
      <rPr>
        <i/>
        <sz val="10"/>
        <color theme="1"/>
        <rFont val="Times New Roman"/>
        <family val="1"/>
        <charset val="204"/>
      </rPr>
      <t xml:space="preserve"> Программанын максаты: Накта атаандаштык шартында товарлар, жумуштар жана кызматтар рынокторунун натыйжалуу иштоосу</t>
    </r>
  </si>
  <si>
    <r>
      <t xml:space="preserve">Пландоо, башкаруу жана администрациялоо                                                                                                                               
</t>
    </r>
    <r>
      <rPr>
        <i/>
        <sz val="10"/>
        <color indexed="8"/>
        <rFont val="Times New Roman"/>
        <family val="1"/>
        <charset val="204"/>
      </rPr>
      <t xml:space="preserve">Программанын максаты: Башка программаларды ишке ашырууга координациялоочу жана уюштуруучу таасир этүү </t>
    </r>
  </si>
  <si>
    <r>
      <t xml:space="preserve">Сапаттуу жана ишенимдүү статистикалык эсепти камсыз кылуу.
</t>
    </r>
    <r>
      <rPr>
        <i/>
        <sz val="10"/>
        <color indexed="8"/>
        <rFont val="Times New Roman"/>
        <family val="1"/>
        <charset val="204"/>
      </rPr>
      <t>Программанын максаты: Бериле турган статистикалык жана аналитикалык маалыматтын жеткиликтүүлүгүнүн жана ишенимдүүлүгүнүн жогорку деңгээли</t>
    </r>
  </si>
  <si>
    <r>
      <t xml:space="preserve">Экономика тармактарынын өнүгүүсүн статистикалык эсепке алуу жана талдоо
</t>
    </r>
    <r>
      <rPr>
        <i/>
        <sz val="10"/>
        <color indexed="8"/>
        <rFont val="Times New Roman"/>
        <family val="1"/>
        <charset val="204"/>
      </rPr>
      <t>Программанын максаты: негизделген башкаруучулук чечимдерди кабыл алуу  үчүн башкаруу субъекттеринин маалымдалышынын жогорку деңгээли</t>
    </r>
  </si>
  <si>
    <r>
      <rPr>
        <b/>
        <sz val="10"/>
        <color indexed="8"/>
        <rFont val="Times New Roman"/>
        <family val="1"/>
        <charset val="204"/>
      </rPr>
      <t xml:space="preserve">Статистика тармагынын илимий-негизденген методология-сын иштеп чыгуу, жакшыртуу жана ишке киргизүү
</t>
    </r>
    <r>
      <rPr>
        <i/>
        <sz val="10"/>
        <color indexed="8"/>
        <rFont val="Times New Roman"/>
        <family val="1"/>
        <charset val="204"/>
      </rPr>
      <t>Программанын максаты: статистикалык маалыматтын сапатынын жогорку деңгээли</t>
    </r>
  </si>
  <si>
    <r>
      <t xml:space="preserve">Пландаштыруу, башкаруу жана администирлөө                                   </t>
    </r>
    <r>
      <rPr>
        <i/>
        <sz val="10"/>
        <color theme="1"/>
        <rFont val="Times New Roman"/>
        <family val="1"/>
        <charset val="204"/>
      </rPr>
      <t xml:space="preserve"> Программанын максаты: Башка программаларды ишке ашырууда  координациялоо жана уюштуруу таасири</t>
    </r>
  </si>
  <si>
    <r>
      <t xml:space="preserve">Мамлекеттик мүлктү натыйжалуу башкаруу жана мамлекеттик менчик обьекттердин тутумдаштырылган эсеби                                      </t>
    </r>
    <r>
      <rPr>
        <i/>
        <sz val="10"/>
        <color theme="1"/>
        <rFont val="Times New Roman"/>
        <family val="1"/>
        <charset val="204"/>
      </rPr>
      <t xml:space="preserve">    Программанын максаты: Мамлекеттик менчикти натыйжалуу башкарууну жогорулатуу  </t>
    </r>
  </si>
  <si>
    <r>
      <t xml:space="preserve">Мобилизациялык жана мамлекеттик материалдык баалуулуктарды башкаруу </t>
    </r>
    <r>
      <rPr>
        <i/>
        <sz val="10"/>
        <color indexed="8"/>
        <rFont val="Times New Roman"/>
        <family val="1"/>
        <charset val="204"/>
      </rPr>
      <t>Программанын максаты: Эсептоо жана контролдоо</t>
    </r>
  </si>
  <si>
    <r>
      <t xml:space="preserve">Пландоо башкаруу, администрациялоо                                                                                                                    
</t>
    </r>
    <r>
      <rPr>
        <i/>
        <sz val="10"/>
        <rFont val="Times New Roman"/>
        <family val="1"/>
        <charset val="204"/>
      </rPr>
      <t>Программанын максаты: Башка программаларды ишке ашырууга координациялоочу жана уюштуруучу таасир этүү</t>
    </r>
  </si>
  <si>
    <r>
      <t xml:space="preserve">Илимий жана илимий пед-педагогикалык кадрлардын сапаттуу курамын жакшыртууга, аларды даярдоонун натыйжалуулугун жогорулатууга көмөк көрсөтүү </t>
    </r>
    <r>
      <rPr>
        <i/>
        <sz val="10"/>
        <rFont val="Times New Roman"/>
        <family val="1"/>
        <charset val="204"/>
      </rPr>
      <t xml:space="preserve">Программанын максаты: Диссертацияны илимий денгээлине, алардын илимий жанапрактикалык баалулугуна, илимий жана илимий педагогикалык кадрларды жогорку квалификацияга аттестациялоодо бирдиктүү талаптарды контролдоону камсыздоо </t>
    </r>
  </si>
  <si>
    <r>
      <rPr>
        <b/>
        <sz val="10"/>
        <color indexed="8"/>
        <rFont val="Times New Roman"/>
        <family val="1"/>
        <charset val="204"/>
      </rPr>
      <t xml:space="preserve">Медициналык кызматтарды көрсөтүү  </t>
    </r>
    <r>
      <rPr>
        <sz val="10"/>
        <color indexed="8"/>
        <rFont val="Times New Roman"/>
        <family val="1"/>
        <charset val="204"/>
      </rPr>
      <t xml:space="preserve">       
</t>
    </r>
    <r>
      <rPr>
        <i/>
        <sz val="10"/>
        <color indexed="8"/>
        <rFont val="Times New Roman"/>
        <family val="1"/>
        <charset val="204"/>
      </rPr>
      <t xml:space="preserve">Программанын максаты: Көрсөтүлүүчү медициналык кызматтардын сапатын жакшыртуу </t>
    </r>
  </si>
  <si>
    <r>
      <t xml:space="preserve">Пландоо, башкаруу жана тескөө
</t>
    </r>
    <r>
      <rPr>
        <i/>
        <sz val="10"/>
        <color theme="1"/>
        <rFont val="Times New Roman"/>
        <family val="1"/>
        <charset val="204"/>
      </rPr>
      <t>Программанын максаты: Башка программаларды ишке ашырууга координациялоочу жана уюштуруучу таасирлер</t>
    </r>
  </si>
  <si>
    <r>
      <t xml:space="preserve">Кыйноолорду жана катаал мамилени эркиндигинен ажыратуу жана чектоо жайларында алдын алуу.
</t>
    </r>
    <r>
      <rPr>
        <i/>
        <sz val="10"/>
        <color theme="1"/>
        <rFont val="Times New Roman"/>
        <family val="1"/>
        <charset val="204"/>
      </rPr>
      <t>Программанын максаты: Кыйноолорду жана катаал мамилени, алардын эркиндигинен ажыратуу жана чектоо жайларында, балдар уйундо  жана психо-неврологиялык диспансерлерде колдонулушунун коркунучун туп тамыры менен жок кылуу</t>
    </r>
  </si>
  <si>
    <r>
      <t xml:space="preserve">Пландаштыруу, башкаруу жана администрациялоо                                                                                                                              
</t>
    </r>
    <r>
      <rPr>
        <i/>
        <sz val="10"/>
        <color theme="1"/>
        <rFont val="Times New Roman"/>
        <family val="1"/>
        <charset val="204"/>
      </rPr>
      <t xml:space="preserve">Программанын максаты: Программаларды жетектөө жана уюштуруу
</t>
    </r>
  </si>
  <si>
    <r>
      <t xml:space="preserve">Телепрограммаларды координациалоо, түзүү жана жайылтуу
</t>
    </r>
    <r>
      <rPr>
        <i/>
        <sz val="10"/>
        <color theme="1"/>
        <rFont val="Times New Roman"/>
        <family val="1"/>
        <charset val="204"/>
      </rPr>
      <t>Программанын максаты: ТБ боюнча сапаттуу жана жеткиликтүү маалыматтарды алуу</t>
    </r>
  </si>
  <si>
    <r>
      <t xml:space="preserve">Радиопрограммаларды программалаштыруу, түзүү жана жайылтуу
</t>
    </r>
    <r>
      <rPr>
        <i/>
        <sz val="10"/>
        <color theme="1"/>
        <rFont val="Times New Roman"/>
        <family val="1"/>
        <charset val="204"/>
      </rPr>
      <t>Программанын максаты:ТБ боюнча сапаттуу жана жеткиликтүү маалыматтардуу алуу</t>
    </r>
  </si>
  <si>
    <r>
      <t xml:space="preserve">Телевизиондук тасмаларды чыгаруу                      </t>
    </r>
    <r>
      <rPr>
        <i/>
        <sz val="10"/>
        <color theme="1"/>
        <rFont val="Times New Roman"/>
        <family val="1"/>
        <charset val="204"/>
      </rPr>
      <t xml:space="preserve"> Программанын максаты:Көрүүчүлөрдүн маалымдуулугу, пропагандалоо</t>
    </r>
  </si>
  <si>
    <r>
      <t xml:space="preserve">Кыргыз Республикасынын аймагында жана анын чегинен тышкары  телеберүү түзүү жана жайылтуу 
</t>
    </r>
    <r>
      <rPr>
        <i/>
        <sz val="10"/>
        <color theme="1"/>
        <rFont val="Times New Roman"/>
        <family val="1"/>
        <charset val="204"/>
      </rPr>
      <t xml:space="preserve">Программанын максаты: Телеберүүлөрдү  чыгаруу жана аларды эфирге берүү жолу менен маалыматтык - агартуучу кызматтарды көрсөтүү </t>
    </r>
  </si>
  <si>
    <r>
      <t xml:space="preserve">Кыргыз Республикасынын аймагында жана анын чегинен тышкары радиоберүү түзүү жана жайылтуу 
</t>
    </r>
    <r>
      <rPr>
        <i/>
        <sz val="10"/>
        <color theme="1"/>
        <rFont val="Times New Roman"/>
        <family val="1"/>
        <charset val="204"/>
      </rPr>
      <t xml:space="preserve">Программанын максаты: Радиоберүүлөрдү  чыгаруу жана аларды радио эфирге берүү жолу менен маалыматтык - агартуучу кызматтарды көрсөтүү </t>
    </r>
  </si>
  <si>
    <r>
      <t xml:space="preserve">Пландоо, башкаруу жана администрациялоо                                                                                                                               
</t>
    </r>
    <r>
      <rPr>
        <i/>
        <sz val="10"/>
        <color theme="1"/>
        <rFont val="Times New Roman"/>
        <family val="1"/>
        <charset val="204"/>
      </rPr>
      <t xml:space="preserve">Программанын максаттары: Башка программаларды ишке ашырууга координациялоочу жана уюштуруучу таасир этүү </t>
    </r>
  </si>
  <si>
    <r>
      <t>Мамлекеттик, расмий жана эл аралык тилдерди билүү деңгээлин аныктоо боюнча бирдиктүү өлчөө инструменти катары Кыргыз Республикасында Кыргызтест системасын түзүү жана ишке киргизүү</t>
    </r>
    <r>
      <rPr>
        <i/>
        <sz val="10"/>
        <color rgb="FF000000"/>
        <rFont val="Times New Roman"/>
        <family val="1"/>
        <charset val="204"/>
      </rPr>
      <t xml:space="preserve">  Программанын максаты: Мамлекеттик, расмий жана эл аралык тилдерди билүү деңгээлин баалоонун бирдиктүү системасын түзүү  </t>
    </r>
  </si>
  <si>
    <r>
      <t xml:space="preserve">Мекеменин ишин уюштуруу жана пландаштыруу
</t>
    </r>
    <r>
      <rPr>
        <i/>
        <sz val="10"/>
        <color indexed="8"/>
        <rFont val="Times New Roman"/>
        <family val="1"/>
        <charset val="204"/>
      </rPr>
      <t>Программанын максаты: "Манас" эпосунун үчилтигин, ошондой эле Кыргыз Республикасынын эл жазуучусу Ч.Айтматовдун маданий мурастарынын баалуулуктарын кеңири жайылтуу, сактоо, өнүктүрүү жана жайылтуу.</t>
    </r>
  </si>
  <si>
    <t>Бардыгы (контролдук сандар)</t>
  </si>
  <si>
    <t xml:space="preserve">Бардыгы </t>
  </si>
  <si>
    <t>Фискалдаштыруу</t>
  </si>
  <si>
    <t>45. Кыргыз Республикасынын Транспорт жана жолдор министрлиги</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</si>
</sst>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 #,##0.00&quot;р.&quot;_-;\-* #,##0.00&quot;р.&quot;_-;_-* &quot;-&quot;??&quot;р.&quot;_-;_-@_-"/>
    <numFmt numFmtId="43" formatCode="_-* #,##0.00_р_._-;\-* #,##0.00_р_._-;_-* &quot;-&quot;??_р_._-;_-@_-"/>
    <numFmt numFmtId="164" formatCode="#,##0.0_р_."/>
    <numFmt numFmtId="165" formatCode="#,##0_р_."/>
    <numFmt numFmtId="166" formatCode="#,##0.0"/>
    <numFmt numFmtId="167" formatCode="###,000__;\-###,000__"/>
    <numFmt numFmtId="168" formatCode="##,#00__;\-##,#00__"/>
    <numFmt numFmtId="169" formatCode="0.0"/>
    <numFmt numFmtId="170" formatCode="0.000"/>
    <numFmt numFmtId="171" formatCode="###,000;[Red]\-###,000"/>
    <numFmt numFmtId="172" formatCode="#,##0_ ;[Red]\-#,##0\ "/>
    <numFmt numFmtId="173" formatCode="_-* #,##0.0_р_._-;\-* #,##0.0_р_._-;_-* &quot;-&quot;??_р_._-;_-@_-"/>
    <numFmt numFmtId="174" formatCode="#,##0_ ;\-#,##0\ "/>
    <numFmt numFmtId="175" formatCode="0.0%"/>
    <numFmt numFmtId="176" formatCode="_-* #,##0.0_р_._-;\-* #,##0.0_р_._-;_-* &quot;-&quot;?_р_._-;_-@_-"/>
    <numFmt numFmtId="177" formatCode="_-* #,##0.0\ _с_о_м_-;\-* #,##0.0\ _с_о_м_-;_-* &quot;-&quot;?\ _с_о_м_-;_-@_-"/>
    <numFmt numFmtId="178" formatCode="000000"/>
    <numFmt numFmtId="179" formatCode="0.00;[Red]0.00"/>
    <numFmt numFmtId="180" formatCode="0;[Red]0"/>
    <numFmt numFmtId="181" formatCode="#,##0.0_ ;\-#,##0.0\ "/>
    <numFmt numFmtId="182" formatCode="_ * #,##0.00_ ;_ * \-#,##0.00_ ;_ * &quot;-&quot;??_ ;_ @_ "/>
    <numFmt numFmtId="183" formatCode="_(* #,##0.00_);_(* \(#,##0.00\);_(* &quot;-&quot;??_);_(@_)"/>
    <numFmt numFmtId="184" formatCode="_-* #,##0.00\ _р_._-;\-* #,##0.00\ _р_._-;_-* &quot;-&quot;??\ _р_._-;_-@_-"/>
    <numFmt numFmtId="185" formatCode="_-* #,##0.00\ _₽_-;\-* #,##0.00\ _₽_-;_-* &quot;-&quot;??\ _₽_-;_-@_-"/>
  </numFmts>
  <fonts count="59"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0"/>
      <name val="Times New Roman"/>
      <family val="1"/>
      <charset val="204"/>
    </font>
    <font>
      <sz val="10"/>
      <name val="Times New Roman"/>
      <family val="1"/>
      <charset val="204"/>
    </font>
    <font>
      <sz val="10"/>
      <color theme="1"/>
      <name val="Arial"/>
      <family val="2"/>
      <charset val="204"/>
    </font>
    <font>
      <i/>
      <sz val="10"/>
      <name val="Times New Roman"/>
      <family val="1"/>
      <charset val="204"/>
    </font>
    <font>
      <sz val="10"/>
      <color theme="1"/>
      <name val="Times New Roman"/>
      <family val="1"/>
      <charset val="204"/>
    </font>
    <font>
      <sz val="11"/>
      <color theme="1"/>
      <name val="Calibri"/>
      <family val="2"/>
      <scheme val="minor"/>
    </font>
    <font>
      <b/>
      <sz val="10"/>
      <color theme="1"/>
      <name val="Times New Roman"/>
      <family val="1"/>
      <charset val="204"/>
    </font>
    <font>
      <sz val="10"/>
      <color rgb="FF222222"/>
      <name val="Times New Roman"/>
      <family val="1"/>
      <charset val="204"/>
    </font>
    <font>
      <sz val="10"/>
      <color indexed="8"/>
      <name val="Times New Roman"/>
      <family val="1"/>
      <charset val="204"/>
    </font>
    <font>
      <sz val="12"/>
      <color theme="1"/>
      <name val="Times New Roman"/>
      <family val="1"/>
      <charset val="204"/>
    </font>
    <font>
      <sz val="11"/>
      <color indexed="8"/>
      <name val="Calibri"/>
      <family val="2"/>
      <charset val="204"/>
    </font>
    <font>
      <sz val="10"/>
      <color theme="1"/>
      <name val="Calibri"/>
      <family val="2"/>
      <charset val="204"/>
      <scheme val="minor"/>
    </font>
    <font>
      <b/>
      <sz val="10"/>
      <color theme="1"/>
      <name val="Calibri"/>
      <family val="2"/>
      <charset val="204"/>
      <scheme val="minor"/>
    </font>
    <font>
      <sz val="10"/>
      <name val="Arial Cyr"/>
      <charset val="204"/>
    </font>
    <font>
      <b/>
      <sz val="10"/>
      <color indexed="8"/>
      <name val="Times New Roman"/>
      <family val="1"/>
      <charset val="204"/>
    </font>
    <font>
      <i/>
      <sz val="10"/>
      <color theme="1"/>
      <name val="Times New Roman"/>
      <family val="1"/>
      <charset val="204"/>
    </font>
    <font>
      <sz val="8"/>
      <name val="Arial"/>
      <family val="2"/>
      <charset val="1"/>
    </font>
    <font>
      <sz val="10"/>
      <name val="Arial"/>
      <family val="2"/>
      <charset val="204"/>
    </font>
    <font>
      <sz val="10"/>
      <color indexed="8"/>
      <name val="Arial"/>
      <family val="2"/>
      <charset val="204"/>
    </font>
    <font>
      <sz val="10"/>
      <color rgb="FFFF0000"/>
      <name val="Times New Roman"/>
      <family val="1"/>
      <charset val="204"/>
    </font>
    <font>
      <i/>
      <sz val="10"/>
      <color indexed="8"/>
      <name val="Times New Roman"/>
      <family val="1"/>
      <charset val="204"/>
    </font>
    <font>
      <sz val="10"/>
      <name val="Times New Roman Cyr"/>
      <charset val="204"/>
    </font>
    <font>
      <b/>
      <sz val="9"/>
      <color indexed="81"/>
      <name val="Tahoma"/>
      <family val="2"/>
      <charset val="204"/>
    </font>
    <font>
      <sz val="9"/>
      <color indexed="81"/>
      <name val="Tahoma"/>
      <family val="2"/>
      <charset val="204"/>
    </font>
    <font>
      <sz val="11"/>
      <color indexed="9"/>
      <name val="Calibri"/>
      <family val="2"/>
      <charset val="204"/>
    </font>
    <font>
      <sz val="11"/>
      <color indexed="20"/>
      <name val="Calibri"/>
      <family val="2"/>
      <charset val="204"/>
    </font>
    <font>
      <b/>
      <sz val="11"/>
      <color indexed="52"/>
      <name val="Calibri"/>
      <family val="2"/>
      <charset val="204"/>
    </font>
    <font>
      <b/>
      <sz val="11"/>
      <color indexed="9"/>
      <name val="Calibri"/>
      <family val="2"/>
      <charset val="204"/>
    </font>
    <font>
      <i/>
      <sz val="11"/>
      <color indexed="23"/>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sz val="11"/>
      <color indexed="52"/>
      <name val="Calibri"/>
      <family val="2"/>
      <charset val="204"/>
    </font>
    <font>
      <sz val="11"/>
      <color indexed="60"/>
      <name val="Calibri"/>
      <family val="2"/>
      <charset val="204"/>
    </font>
    <font>
      <sz val="10"/>
      <name val="Times New Roman"/>
      <family val="1"/>
    </font>
    <font>
      <sz val="10"/>
      <color indexed="8"/>
      <name val="MS Sans Serif"/>
      <family val="2"/>
      <charset val="204"/>
    </font>
    <font>
      <b/>
      <sz val="11"/>
      <color indexed="63"/>
      <name val="Calibri"/>
      <family val="2"/>
      <charset val="204"/>
    </font>
    <font>
      <b/>
      <sz val="18"/>
      <color indexed="56"/>
      <name val="Cambria"/>
      <family val="2"/>
      <charset val="204"/>
    </font>
    <font>
      <b/>
      <sz val="11"/>
      <color indexed="8"/>
      <name val="Calibri"/>
      <family val="2"/>
      <charset val="204"/>
    </font>
    <font>
      <sz val="11"/>
      <color indexed="10"/>
      <name val="Calibri"/>
      <family val="2"/>
      <charset val="204"/>
    </font>
    <font>
      <sz val="11"/>
      <color indexed="8"/>
      <name val="Calibri"/>
      <family val="2"/>
    </font>
    <font>
      <sz val="8"/>
      <name val="Arial"/>
      <family val="2"/>
      <charset val="204"/>
    </font>
    <font>
      <sz val="10"/>
      <color theme="1" tint="0.14999847407452621"/>
      <name val="Times New Roman"/>
      <family val="1"/>
      <charset val="204"/>
    </font>
    <font>
      <sz val="10"/>
      <color rgb="FF2B2B2B"/>
      <name val="Times New Roman"/>
      <family val="1"/>
      <charset val="204"/>
    </font>
    <font>
      <b/>
      <sz val="10"/>
      <color theme="1"/>
      <name val="Arial"/>
      <family val="2"/>
      <charset val="204"/>
    </font>
    <font>
      <b/>
      <i/>
      <sz val="10"/>
      <color theme="1"/>
      <name val="Times New Roman"/>
      <family val="1"/>
      <charset val="204"/>
    </font>
    <font>
      <b/>
      <sz val="10"/>
      <color rgb="FF222222"/>
      <name val="Times New Roman"/>
      <family val="1"/>
      <charset val="204"/>
    </font>
    <font>
      <sz val="10"/>
      <color rgb="FF000000"/>
      <name val="Times New Roman"/>
      <family val="1"/>
      <charset val="204"/>
    </font>
    <font>
      <b/>
      <i/>
      <sz val="10"/>
      <name val="Times New Roman"/>
      <family val="1"/>
      <charset val="204"/>
    </font>
    <font>
      <b/>
      <sz val="10"/>
      <color rgb="FF000000"/>
      <name val="Times New Roman"/>
      <family val="1"/>
      <charset val="204"/>
    </font>
    <font>
      <i/>
      <sz val="10"/>
      <color rgb="FF000000"/>
      <name val="Times New Roman"/>
      <family val="1"/>
      <charset val="204"/>
    </font>
    <font>
      <sz val="10"/>
      <color rgb="FF00B050"/>
      <name val="Times New Roman"/>
      <family val="1"/>
      <charset val="204"/>
    </font>
    <font>
      <sz val="10"/>
      <color theme="1"/>
      <name val="Calibri"/>
      <family val="2"/>
      <charset val="204"/>
    </font>
    <font>
      <i/>
      <sz val="10"/>
      <color theme="1"/>
      <name val="Calibri"/>
      <family val="2"/>
      <charset val="204"/>
      <scheme val="minor"/>
    </font>
  </fonts>
  <fills count="31">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8F9FA"/>
        <bgColor indexed="64"/>
      </patternFill>
    </fill>
  </fills>
  <borders count="6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medium">
        <color indexed="64"/>
      </left>
      <right/>
      <top/>
      <bottom/>
      <diagonal/>
    </border>
  </borders>
  <cellStyleXfs count="221">
    <xf numFmtId="0" fontId="0" fillId="0" borderId="0"/>
    <xf numFmtId="43" fontId="1" fillId="0" borderId="0" applyFont="0" applyFill="0" applyBorder="0" applyAlignment="0" applyProtection="0"/>
    <xf numFmtId="9" fontId="1" fillId="0" borderId="0" applyFont="0" applyFill="0" applyBorder="0" applyAlignment="0" applyProtection="0"/>
    <xf numFmtId="43" fontId="5" fillId="0" borderId="0" applyFont="0" applyFill="0" applyBorder="0" applyAlignment="0" applyProtection="0"/>
    <xf numFmtId="0" fontId="1" fillId="0" borderId="0"/>
    <xf numFmtId="0" fontId="1" fillId="0" borderId="0"/>
    <xf numFmtId="0" fontId="5" fillId="0" borderId="0"/>
    <xf numFmtId="43" fontId="8"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81" fontId="1" fillId="0" borderId="0" applyFont="0" applyFill="0" applyBorder="0" applyAlignment="0" applyProtection="0"/>
    <xf numFmtId="0" fontId="13" fillId="0" borderId="0"/>
    <xf numFmtId="0" fontId="16" fillId="0" borderId="0"/>
    <xf numFmtId="0" fontId="5" fillId="0" borderId="0"/>
    <xf numFmtId="0" fontId="8" fillId="0" borderId="0"/>
    <xf numFmtId="0" fontId="19" fillId="0" borderId="0"/>
    <xf numFmtId="0" fontId="20" fillId="0" borderId="0"/>
    <xf numFmtId="0" fontId="21" fillId="0" borderId="0"/>
    <xf numFmtId="43" fontId="21" fillId="0" borderId="0" applyFont="0" applyFill="0" applyBorder="0" applyAlignment="0" applyProtection="0"/>
    <xf numFmtId="43" fontId="16" fillId="0" borderId="0" applyFont="0" applyFill="0" applyBorder="0" applyAlignment="0" applyProtection="0"/>
    <xf numFmtId="43" fontId="13" fillId="0" borderId="0" applyFont="0" applyFill="0" applyBorder="0" applyAlignment="0" applyProtection="0"/>
    <xf numFmtId="0" fontId="19" fillId="0" borderId="0"/>
    <xf numFmtId="0" fontId="20" fillId="0" borderId="0"/>
    <xf numFmtId="9" fontId="21" fillId="0" borderId="0" applyFont="0" applyFill="0" applyBorder="0" applyAlignment="0" applyProtection="0"/>
    <xf numFmtId="0" fontId="5" fillId="0" borderId="0"/>
    <xf numFmtId="181" fontId="5" fillId="0" borderId="0" applyFont="0" applyFill="0" applyBorder="0" applyAlignment="0" applyProtection="0"/>
    <xf numFmtId="9" fontId="5" fillId="0" borderId="0" applyFont="0" applyFill="0" applyBorder="0" applyAlignment="0" applyProtection="0"/>
    <xf numFmtId="0" fontId="1" fillId="0" borderId="0"/>
    <xf numFmtId="181" fontId="21" fillId="0" borderId="0" applyFont="0" applyFill="0" applyBorder="0" applyAlignment="0" applyProtection="0"/>
    <xf numFmtId="0" fontId="24" fillId="0" borderId="0"/>
    <xf numFmtId="0" fontId="1" fillId="0" borderId="0"/>
    <xf numFmtId="0" fontId="21" fillId="0" borderId="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27" fillId="18"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5" borderId="0" applyNumberFormat="0" applyBorder="0" applyAlignment="0" applyProtection="0"/>
    <xf numFmtId="0" fontId="28" fillId="9" borderId="0" applyNumberFormat="0" applyBorder="0" applyAlignment="0" applyProtection="0"/>
    <xf numFmtId="0" fontId="29" fillId="26" borderId="44" applyNumberFormat="0" applyAlignment="0" applyProtection="0"/>
    <xf numFmtId="0" fontId="29" fillId="26" borderId="44" applyNumberFormat="0" applyAlignment="0" applyProtection="0"/>
    <xf numFmtId="0" fontId="30" fillId="27" borderId="45" applyNumberFormat="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46" applyNumberFormat="0" applyFill="0" applyAlignment="0" applyProtection="0"/>
    <xf numFmtId="0" fontId="34" fillId="0" borderId="47" applyNumberFormat="0" applyFill="0" applyAlignment="0" applyProtection="0"/>
    <xf numFmtId="0" fontId="35" fillId="0" borderId="48" applyNumberFormat="0" applyFill="0" applyAlignment="0" applyProtection="0"/>
    <xf numFmtId="0" fontId="35" fillId="0" borderId="0" applyNumberFormat="0" applyFill="0" applyBorder="0" applyAlignment="0" applyProtection="0"/>
    <xf numFmtId="0" fontId="36" fillId="13" borderId="44" applyNumberFormat="0" applyAlignment="0" applyProtection="0"/>
    <xf numFmtId="0" fontId="36" fillId="13" borderId="44" applyNumberFormat="0" applyAlignment="0" applyProtection="0"/>
    <xf numFmtId="0" fontId="37" fillId="0" borderId="49" applyNumberFormat="0" applyFill="0" applyAlignment="0" applyProtection="0"/>
    <xf numFmtId="0" fontId="38" fillId="28" borderId="0" applyNumberFormat="0" applyBorder="0" applyAlignment="0" applyProtection="0"/>
    <xf numFmtId="166" fontId="39" fillId="0" borderId="0"/>
    <xf numFmtId="0" fontId="40" fillId="0" borderId="0"/>
    <xf numFmtId="0" fontId="21" fillId="29" borderId="50" applyNumberFormat="0" applyFont="0" applyAlignment="0" applyProtection="0"/>
    <xf numFmtId="0" fontId="21" fillId="29" borderId="50" applyNumberFormat="0" applyFont="0" applyAlignment="0" applyProtection="0"/>
    <xf numFmtId="0" fontId="41" fillId="26" borderId="51" applyNumberFormat="0" applyAlignment="0" applyProtection="0"/>
    <xf numFmtId="0" fontId="41" fillId="26" borderId="51" applyNumberFormat="0" applyAlignment="0" applyProtection="0"/>
    <xf numFmtId="0" fontId="42" fillId="0" borderId="0" applyNumberFormat="0" applyFill="0" applyBorder="0" applyAlignment="0" applyProtection="0"/>
    <xf numFmtId="0" fontId="43" fillId="0" borderId="52" applyNumberFormat="0" applyFill="0" applyAlignment="0" applyProtection="0"/>
    <xf numFmtId="0" fontId="43" fillId="0" borderId="52" applyNumberFormat="0" applyFill="0" applyAlignment="0" applyProtection="0"/>
    <xf numFmtId="0" fontId="44"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20" fillId="0" borderId="0"/>
    <xf numFmtId="0" fontId="16" fillId="0" borderId="0"/>
    <xf numFmtId="0" fontId="21" fillId="0" borderId="0"/>
    <xf numFmtId="0" fontId="46" fillId="0" borderId="0"/>
    <xf numFmtId="0" fontId="5" fillId="0" borderId="0"/>
    <xf numFmtId="0" fontId="1" fillId="0" borderId="0">
      <alignment vertical="center"/>
    </xf>
    <xf numFmtId="0" fontId="20" fillId="0" borderId="0"/>
    <xf numFmtId="0" fontId="1"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 fillId="0" borderId="0"/>
    <xf numFmtId="0" fontId="1" fillId="0" borderId="0"/>
    <xf numFmtId="0" fontId="13" fillId="0" borderId="0"/>
    <xf numFmtId="0" fontId="1" fillId="0" borderId="0"/>
    <xf numFmtId="0" fontId="13" fillId="0" borderId="0"/>
    <xf numFmtId="0" fontId="13"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 fillId="0" borderId="0"/>
    <xf numFmtId="0" fontId="1" fillId="0" borderId="0"/>
    <xf numFmtId="0" fontId="13" fillId="0" borderId="0"/>
    <xf numFmtId="0" fontId="1" fillId="0" borderId="0"/>
    <xf numFmtId="0" fontId="13" fillId="0" borderId="0"/>
    <xf numFmtId="0" fontId="13" fillId="0" borderId="0"/>
    <xf numFmtId="0" fontId="24" fillId="0" borderId="0"/>
    <xf numFmtId="0" fontId="5" fillId="0" borderId="0"/>
    <xf numFmtId="0" fontId="1" fillId="0" borderId="0"/>
    <xf numFmtId="0" fontId="1" fillId="0" borderId="0"/>
    <xf numFmtId="0" fontId="1" fillId="0" borderId="0"/>
    <xf numFmtId="0" fontId="13" fillId="0" borderId="0"/>
    <xf numFmtId="0" fontId="1" fillId="0" borderId="0"/>
    <xf numFmtId="0" fontId="13" fillId="0" borderId="0"/>
    <xf numFmtId="0" fontId="24"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20" fillId="0" borderId="0"/>
    <xf numFmtId="0" fontId="13" fillId="0" borderId="0"/>
    <xf numFmtId="0" fontId="5" fillId="0" borderId="0"/>
    <xf numFmtId="0" fontId="21" fillId="0" borderId="0"/>
    <xf numFmtId="0" fontId="46" fillId="0" borderId="0"/>
    <xf numFmtId="0" fontId="5" fillId="0" borderId="0"/>
    <xf numFmtId="0" fontId="8" fillId="0" borderId="0"/>
    <xf numFmtId="0" fontId="1" fillId="0" borderId="0"/>
    <xf numFmtId="0" fontId="1" fillId="0" borderId="0"/>
    <xf numFmtId="0" fontId="1" fillId="0" borderId="0"/>
    <xf numFmtId="0" fontId="13" fillId="0" borderId="0"/>
    <xf numFmtId="0" fontId="1" fillId="0" borderId="0"/>
    <xf numFmtId="0" fontId="13" fillId="0" borderId="0"/>
    <xf numFmtId="0" fontId="13" fillId="0" borderId="0"/>
    <xf numFmtId="0" fontId="1" fillId="0" borderId="0"/>
    <xf numFmtId="0" fontId="1" fillId="0" borderId="0"/>
    <xf numFmtId="0" fontId="13" fillId="0" borderId="0"/>
    <xf numFmtId="0" fontId="1" fillId="0" borderId="0"/>
    <xf numFmtId="0" fontId="1" fillId="0" borderId="0"/>
    <xf numFmtId="0" fontId="13" fillId="0" borderId="0"/>
    <xf numFmtId="0" fontId="13" fillId="0" borderId="0"/>
    <xf numFmtId="0" fontId="1" fillId="0" borderId="0"/>
    <xf numFmtId="0" fontId="19" fillId="0" borderId="0"/>
    <xf numFmtId="9" fontId="16" fillId="0" borderId="0" applyFont="0" applyFill="0" applyBorder="0" applyAlignment="0" applyProtection="0"/>
    <xf numFmtId="9" fontId="16" fillId="0" borderId="0" applyFont="0" applyFill="0" applyBorder="0" applyAlignment="0" applyProtection="0"/>
    <xf numFmtId="9" fontId="13"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0" fontId="12" fillId="0" borderId="5">
      <alignment vertical="center" wrapText="1"/>
    </xf>
    <xf numFmtId="182" fontId="13" fillId="0" borderId="0" applyFont="0" applyFill="0" applyBorder="0" applyAlignment="0" applyProtection="0">
      <alignment vertical="center"/>
    </xf>
    <xf numFmtId="43" fontId="2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43" fontId="1" fillId="0" borderId="0" applyFont="0" applyFill="0" applyBorder="0" applyAlignment="0" applyProtection="0"/>
    <xf numFmtId="18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183" fontId="1" fillId="0" borderId="0" applyFont="0" applyFill="0" applyBorder="0" applyAlignment="0" applyProtection="0"/>
    <xf numFmtId="43" fontId="1" fillId="0" borderId="0" applyFont="0" applyFill="0" applyBorder="0" applyAlignment="0" applyProtection="0"/>
    <xf numFmtId="18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43" fontId="1" fillId="0" borderId="0" applyFont="0" applyFill="0" applyBorder="0" applyAlignment="0" applyProtection="0"/>
    <xf numFmtId="18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183" fontId="1" fillId="0" borderId="0" applyFont="0" applyFill="0" applyBorder="0" applyAlignment="0" applyProtection="0"/>
    <xf numFmtId="43" fontId="1" fillId="0" borderId="0" applyFont="0" applyFill="0" applyBorder="0" applyAlignment="0" applyProtection="0"/>
    <xf numFmtId="18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1"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4" fontId="13" fillId="0" borderId="0" applyFont="0" applyFill="0" applyBorder="0" applyAlignment="0" applyProtection="0"/>
    <xf numFmtId="185" fontId="5" fillId="0" borderId="0" applyFont="0" applyFill="0" applyBorder="0" applyAlignment="0" applyProtection="0"/>
    <xf numFmtId="43" fontId="13" fillId="0" borderId="0" applyFont="0" applyFill="0" applyBorder="0" applyAlignment="0" applyProtection="0"/>
    <xf numFmtId="185"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0" fontId="21" fillId="0" borderId="0"/>
  </cellStyleXfs>
  <cellXfs count="2526">
    <xf numFmtId="0" fontId="0" fillId="0" borderId="0" xfId="0"/>
    <xf numFmtId="164" fontId="3" fillId="0" borderId="0" xfId="0" applyNumberFormat="1" applyFont="1" applyAlignment="1">
      <alignment horizontal="center"/>
    </xf>
    <xf numFmtId="165" fontId="3" fillId="0" borderId="0" xfId="0" applyNumberFormat="1" applyFont="1" applyAlignment="1">
      <alignment horizontal="center"/>
    </xf>
    <xf numFmtId="165" fontId="3" fillId="0" borderId="0" xfId="0" applyNumberFormat="1" applyFont="1" applyAlignment="1">
      <alignment horizontal="center" vertical="center"/>
    </xf>
    <xf numFmtId="164" fontId="3" fillId="0" borderId="0" xfId="0" applyNumberFormat="1" applyFont="1" applyAlignment="1">
      <alignment horizontal="left" wrapText="1"/>
    </xf>
    <xf numFmtId="164" fontId="3" fillId="0" borderId="0" xfId="0" applyNumberFormat="1" applyFont="1" applyAlignment="1">
      <alignment horizontal="center" vertical="center"/>
    </xf>
    <xf numFmtId="164" fontId="3" fillId="0" borderId="0" xfId="0" applyNumberFormat="1" applyFont="1" applyAlignment="1"/>
    <xf numFmtId="164" fontId="3" fillId="0" borderId="0" xfId="0" applyNumberFormat="1" applyFont="1" applyBorder="1" applyAlignment="1">
      <alignment horizontal="center" vertical="center"/>
    </xf>
    <xf numFmtId="164" fontId="4" fillId="0" borderId="0" xfId="0" applyNumberFormat="1" applyFont="1" applyAlignment="1">
      <alignment horizontal="center"/>
    </xf>
    <xf numFmtId="164" fontId="4" fillId="0" borderId="0" xfId="0" applyNumberFormat="1" applyFont="1"/>
    <xf numFmtId="164" fontId="3" fillId="0" borderId="0" xfId="0" applyNumberFormat="1" applyFont="1" applyAlignment="1">
      <alignment horizontal="center" vertical="center" wrapText="1"/>
    </xf>
    <xf numFmtId="165" fontId="3" fillId="0" borderId="0" xfId="0" applyNumberFormat="1" applyFont="1" applyAlignment="1">
      <alignment horizontal="center" vertical="center" wrapText="1"/>
    </xf>
    <xf numFmtId="165" fontId="3" fillId="0" borderId="0" xfId="0" applyNumberFormat="1" applyFont="1" applyAlignment="1">
      <alignment horizontal="center" wrapText="1"/>
    </xf>
    <xf numFmtId="164" fontId="3" fillId="0" borderId="0" xfId="0" applyNumberFormat="1" applyFont="1" applyAlignment="1">
      <alignment horizontal="left" vertical="center" wrapText="1"/>
    </xf>
    <xf numFmtId="0" fontId="3" fillId="0" borderId="2" xfId="0" applyNumberFormat="1" applyFont="1" applyFill="1" applyBorder="1" applyAlignment="1">
      <alignment horizontal="center" vertical="center"/>
    </xf>
    <xf numFmtId="164" fontId="3" fillId="0" borderId="0" xfId="0" applyNumberFormat="1" applyFont="1"/>
    <xf numFmtId="164" fontId="4" fillId="2" borderId="0" xfId="0" applyNumberFormat="1" applyFont="1" applyFill="1" applyBorder="1" applyAlignment="1">
      <alignment horizontal="left" vertical="center" wrapText="1"/>
    </xf>
    <xf numFmtId="167" fontId="4" fillId="0" borderId="3" xfId="4" applyNumberFormat="1" applyFont="1" applyFill="1" applyBorder="1" applyAlignment="1">
      <alignment horizontal="center" vertical="center"/>
    </xf>
    <xf numFmtId="0" fontId="4" fillId="0" borderId="4" xfId="4" applyFont="1" applyFill="1" applyBorder="1" applyAlignment="1">
      <alignment horizontal="right" vertical="center"/>
    </xf>
    <xf numFmtId="0" fontId="4" fillId="0" borderId="4" xfId="4" applyFont="1" applyFill="1" applyBorder="1" applyAlignment="1">
      <alignment vertical="center" wrapText="1"/>
    </xf>
    <xf numFmtId="164" fontId="4" fillId="2" borderId="0" xfId="0" applyNumberFormat="1" applyFont="1" applyFill="1"/>
    <xf numFmtId="0" fontId="4" fillId="2" borderId="1" xfId="6" applyFont="1" applyFill="1" applyBorder="1" applyAlignment="1">
      <alignment vertical="center" wrapText="1"/>
    </xf>
    <xf numFmtId="0" fontId="7" fillId="2" borderId="2" xfId="0" applyFont="1" applyFill="1" applyBorder="1" applyAlignment="1">
      <alignment horizontal="center" vertical="center" wrapText="1"/>
    </xf>
    <xf numFmtId="167" fontId="4" fillId="0" borderId="5" xfId="4" applyNumberFormat="1" applyFont="1" applyFill="1" applyBorder="1" applyAlignment="1">
      <alignment horizontal="center" vertical="center"/>
    </xf>
    <xf numFmtId="168" fontId="4" fillId="0" borderId="6" xfId="4" applyNumberFormat="1" applyFont="1" applyFill="1" applyBorder="1" applyAlignment="1">
      <alignment horizontal="center" vertical="center"/>
    </xf>
    <xf numFmtId="0" fontId="4" fillId="0" borderId="6" xfId="6" applyFont="1" applyFill="1" applyBorder="1" applyAlignment="1">
      <alignment horizontal="left" vertical="center" wrapText="1"/>
    </xf>
    <xf numFmtId="0" fontId="4" fillId="2" borderId="6" xfId="6" applyFont="1" applyFill="1" applyBorder="1" applyAlignment="1">
      <alignment horizontal="left" vertical="center" wrapText="1"/>
    </xf>
    <xf numFmtId="168" fontId="4" fillId="0" borderId="2" xfId="4" applyNumberFormat="1" applyFont="1" applyFill="1" applyBorder="1" applyAlignment="1">
      <alignment horizontal="center" vertical="center"/>
    </xf>
    <xf numFmtId="0" fontId="4" fillId="2" borderId="2" xfId="4" applyFont="1" applyFill="1" applyBorder="1" applyAlignment="1">
      <alignment vertical="center" wrapText="1"/>
    </xf>
    <xf numFmtId="0" fontId="4" fillId="0" borderId="1" xfId="5" applyFont="1" applyFill="1" applyBorder="1" applyAlignment="1">
      <alignment horizontal="left" vertical="center" wrapText="1"/>
    </xf>
    <xf numFmtId="0" fontId="4" fillId="0" borderId="1" xfId="4" applyNumberFormat="1" applyFont="1" applyFill="1" applyBorder="1" applyAlignment="1">
      <alignment horizontal="center" vertical="center"/>
    </xf>
    <xf numFmtId="0" fontId="4" fillId="0" borderId="1" xfId="4" applyNumberFormat="1" applyFont="1" applyFill="1" applyBorder="1" applyAlignment="1">
      <alignment horizontal="right" vertical="center"/>
    </xf>
    <xf numFmtId="0" fontId="4" fillId="0" borderId="2" xfId="4" applyFont="1" applyFill="1" applyBorder="1" applyAlignment="1">
      <alignment horizontal="left" vertical="center" wrapText="1"/>
    </xf>
    <xf numFmtId="0" fontId="4" fillId="0" borderId="2" xfId="4" applyFont="1" applyFill="1" applyBorder="1" applyAlignment="1">
      <alignment horizontal="right" vertical="center"/>
    </xf>
    <xf numFmtId="0" fontId="4" fillId="0" borderId="2" xfId="4" applyFont="1" applyFill="1" applyBorder="1" applyAlignment="1">
      <alignment vertical="center" wrapText="1"/>
    </xf>
    <xf numFmtId="164" fontId="4" fillId="2" borderId="2" xfId="0" applyNumberFormat="1" applyFont="1" applyFill="1" applyBorder="1" applyAlignment="1">
      <alignment horizontal="center" vertical="center" wrapText="1"/>
    </xf>
    <xf numFmtId="167" fontId="4" fillId="0" borderId="2" xfId="4" applyNumberFormat="1" applyFont="1" applyFill="1" applyBorder="1" applyAlignment="1">
      <alignment horizontal="center" vertical="center"/>
    </xf>
    <xf numFmtId="0" fontId="4" fillId="0" borderId="2" xfId="4" applyFont="1" applyFill="1" applyBorder="1" applyAlignment="1">
      <alignment horizontal="center" vertical="center"/>
    </xf>
    <xf numFmtId="49" fontId="4" fillId="0" borderId="2" xfId="4" applyNumberFormat="1" applyFont="1" applyFill="1" applyBorder="1" applyAlignment="1">
      <alignment horizontal="center" vertical="center"/>
    </xf>
    <xf numFmtId="0" fontId="4" fillId="0" borderId="2" xfId="5" applyFont="1" applyFill="1" applyBorder="1" applyAlignment="1">
      <alignment vertical="center" wrapText="1"/>
    </xf>
    <xf numFmtId="0" fontId="4" fillId="2" borderId="2" xfId="0" applyFont="1" applyFill="1" applyBorder="1" applyAlignment="1">
      <alignment vertical="center" wrapText="1"/>
    </xf>
    <xf numFmtId="0" fontId="7" fillId="2" borderId="2" xfId="0" applyFont="1" applyFill="1" applyBorder="1" applyAlignment="1">
      <alignment vertical="center" wrapText="1"/>
    </xf>
    <xf numFmtId="0" fontId="7" fillId="2" borderId="2" xfId="0" applyFont="1" applyFill="1" applyBorder="1"/>
    <xf numFmtId="0" fontId="4" fillId="2" borderId="1" xfId="0" applyFont="1" applyFill="1" applyBorder="1" applyAlignment="1">
      <alignment vertical="center" wrapText="1"/>
    </xf>
    <xf numFmtId="166" fontId="7" fillId="2" borderId="2" xfId="0" applyNumberFormat="1" applyFont="1" applyFill="1" applyBorder="1" applyAlignment="1">
      <alignment vertical="center" wrapText="1"/>
    </xf>
    <xf numFmtId="164" fontId="4" fillId="4" borderId="0" xfId="0" applyNumberFormat="1" applyFont="1" applyFill="1" applyBorder="1" applyAlignment="1">
      <alignment horizontal="left" vertical="center" wrapText="1"/>
    </xf>
    <xf numFmtId="164" fontId="4" fillId="4" borderId="0" xfId="0" applyNumberFormat="1" applyFont="1" applyFill="1"/>
    <xf numFmtId="164" fontId="3" fillId="3" borderId="4" xfId="0" applyNumberFormat="1" applyFont="1" applyFill="1" applyBorder="1" applyAlignment="1"/>
    <xf numFmtId="164" fontId="3" fillId="3" borderId="4" xfId="0" applyNumberFormat="1" applyFont="1" applyFill="1" applyBorder="1" applyAlignment="1">
      <alignment horizontal="center"/>
    </xf>
    <xf numFmtId="164" fontId="4" fillId="0" borderId="6" xfId="0" applyNumberFormat="1" applyFont="1" applyFill="1" applyBorder="1" applyAlignment="1">
      <alignment horizontal="left" vertical="center" wrapText="1"/>
    </xf>
    <xf numFmtId="49" fontId="4" fillId="0" borderId="1" xfId="0" applyNumberFormat="1" applyFont="1" applyFill="1" applyBorder="1" applyAlignment="1">
      <alignment vertical="center"/>
    </xf>
    <xf numFmtId="164" fontId="4" fillId="0" borderId="0" xfId="0" applyNumberFormat="1" applyFont="1" applyFill="1"/>
    <xf numFmtId="0" fontId="4" fillId="0" borderId="2" xfId="6" applyFont="1" applyFill="1" applyBorder="1" applyAlignment="1">
      <alignment horizontal="center" vertical="center" wrapText="1"/>
    </xf>
    <xf numFmtId="170" fontId="4" fillId="0" borderId="2" xfId="0" applyNumberFormat="1" applyFont="1" applyFill="1" applyBorder="1" applyAlignment="1">
      <alignment horizontal="center" vertical="center" wrapText="1"/>
    </xf>
    <xf numFmtId="49" fontId="4" fillId="0" borderId="3" xfId="0" applyNumberFormat="1" applyFont="1" applyFill="1" applyBorder="1" applyAlignment="1">
      <alignment vertical="center"/>
    </xf>
    <xf numFmtId="0" fontId="4" fillId="0" borderId="0" xfId="0" applyFont="1" applyFill="1" applyAlignment="1">
      <alignment vertical="center" wrapText="1"/>
    </xf>
    <xf numFmtId="171" fontId="4" fillId="0" borderId="2" xfId="0" applyNumberFormat="1" applyFont="1" applyFill="1" applyBorder="1" applyAlignment="1">
      <alignment horizontal="center" vertical="center"/>
    </xf>
    <xf numFmtId="49" fontId="4" fillId="0" borderId="4" xfId="0" applyNumberFormat="1" applyFont="1" applyFill="1" applyBorder="1" applyAlignment="1">
      <alignment vertical="center"/>
    </xf>
    <xf numFmtId="169" fontId="4" fillId="0" borderId="2" xfId="0" applyNumberFormat="1" applyFont="1" applyFill="1" applyBorder="1" applyAlignment="1">
      <alignment horizontal="center" vertical="center"/>
    </xf>
    <xf numFmtId="0" fontId="4" fillId="0" borderId="2" xfId="6" applyFont="1" applyFill="1" applyBorder="1" applyAlignment="1">
      <alignment horizontal="left" vertical="center" wrapText="1"/>
    </xf>
    <xf numFmtId="172" fontId="4" fillId="0" borderId="2" xfId="0" applyNumberFormat="1" applyFont="1" applyFill="1" applyBorder="1" applyAlignment="1">
      <alignment horizontal="center" vertical="center"/>
    </xf>
    <xf numFmtId="164" fontId="4" fillId="2" borderId="11" xfId="0" applyNumberFormat="1" applyFont="1" applyFill="1" applyBorder="1" applyAlignment="1">
      <alignment horizontal="left"/>
    </xf>
    <xf numFmtId="167" fontId="4" fillId="0" borderId="2" xfId="0" applyNumberFormat="1" applyFont="1" applyBorder="1" applyAlignment="1">
      <alignment horizontal="right" vertical="center"/>
    </xf>
    <xf numFmtId="0" fontId="4" fillId="2" borderId="2" xfId="0" applyFont="1" applyFill="1" applyBorder="1" applyAlignment="1">
      <alignment horizontal="right" vertical="center"/>
    </xf>
    <xf numFmtId="169" fontId="4" fillId="0" borderId="2" xfId="0" applyNumberFormat="1" applyFont="1" applyBorder="1" applyAlignment="1">
      <alignment horizontal="center" vertical="center"/>
    </xf>
    <xf numFmtId="164" fontId="3" fillId="4" borderId="1" xfId="0" applyNumberFormat="1" applyFont="1" applyFill="1" applyBorder="1" applyAlignment="1"/>
    <xf numFmtId="0" fontId="4" fillId="0" borderId="2" xfId="0" applyNumberFormat="1" applyFont="1" applyFill="1" applyBorder="1" applyAlignment="1">
      <alignment horizontal="center" vertical="center"/>
    </xf>
    <xf numFmtId="164" fontId="3" fillId="4" borderId="2" xfId="0" applyNumberFormat="1" applyFont="1" applyFill="1" applyBorder="1" applyAlignment="1">
      <alignment horizontal="center" vertical="center" wrapText="1"/>
    </xf>
    <xf numFmtId="164" fontId="3" fillId="4" borderId="2" xfId="0" applyNumberFormat="1" applyFont="1" applyFill="1" applyBorder="1" applyAlignment="1">
      <alignment vertical="center" wrapText="1"/>
    </xf>
    <xf numFmtId="164" fontId="3" fillId="4" borderId="0" xfId="0" applyNumberFormat="1" applyFont="1" applyFill="1" applyAlignment="1">
      <alignment horizontal="center"/>
    </xf>
    <xf numFmtId="164" fontId="3" fillId="4" borderId="9" xfId="0" applyNumberFormat="1" applyFont="1" applyFill="1" applyBorder="1" applyAlignment="1">
      <alignment horizontal="center"/>
    </xf>
    <xf numFmtId="164" fontId="3" fillId="0" borderId="0" xfId="0" applyNumberFormat="1" applyFont="1" applyFill="1" applyBorder="1" applyAlignment="1">
      <alignment vertical="center"/>
    </xf>
    <xf numFmtId="0" fontId="4" fillId="0" borderId="2" xfId="6" applyFont="1" applyFill="1" applyBorder="1" applyAlignment="1">
      <alignment vertical="center" wrapText="1"/>
    </xf>
    <xf numFmtId="1" fontId="4" fillId="0" borderId="2" xfId="0" applyNumberFormat="1" applyFont="1" applyFill="1" applyBorder="1" applyAlignment="1">
      <alignment horizontal="center" vertical="center" wrapText="1"/>
    </xf>
    <xf numFmtId="174" fontId="4" fillId="0" borderId="2" xfId="8" applyNumberFormat="1" applyFont="1" applyFill="1" applyBorder="1" applyAlignment="1">
      <alignment horizontal="center" vertical="center"/>
    </xf>
    <xf numFmtId="0" fontId="4" fillId="0" borderId="2" xfId="0" applyFont="1" applyFill="1" applyBorder="1"/>
    <xf numFmtId="0" fontId="4" fillId="0" borderId="2" xfId="0" applyFont="1" applyFill="1" applyBorder="1" applyAlignment="1">
      <alignment horizontal="center"/>
    </xf>
    <xf numFmtId="175" fontId="4" fillId="0" borderId="2" xfId="0" applyNumberFormat="1" applyFont="1" applyFill="1" applyBorder="1" applyAlignment="1">
      <alignment horizontal="center" vertical="center" wrapText="1"/>
    </xf>
    <xf numFmtId="175" fontId="4" fillId="0" borderId="2" xfId="0" applyNumberFormat="1" applyFont="1" applyFill="1" applyBorder="1" applyAlignment="1">
      <alignment horizontal="center" vertical="center"/>
    </xf>
    <xf numFmtId="9" fontId="4" fillId="0" borderId="2" xfId="9" applyFont="1" applyFill="1" applyBorder="1" applyAlignment="1">
      <alignment horizontal="center" vertical="center" wrapText="1"/>
    </xf>
    <xf numFmtId="175" fontId="4" fillId="0" borderId="2" xfId="9" applyNumberFormat="1" applyFont="1" applyFill="1" applyBorder="1" applyAlignment="1">
      <alignment horizontal="center" vertical="center" wrapText="1"/>
    </xf>
    <xf numFmtId="49" fontId="4" fillId="0" borderId="2" xfId="6" applyNumberFormat="1" applyFont="1" applyFill="1" applyBorder="1" applyAlignment="1">
      <alignment horizontal="left" vertical="center" wrapText="1"/>
    </xf>
    <xf numFmtId="164" fontId="3" fillId="4" borderId="2" xfId="0" applyNumberFormat="1" applyFont="1" applyFill="1" applyBorder="1" applyAlignment="1">
      <alignment horizontal="center" vertical="center"/>
    </xf>
    <xf numFmtId="49" fontId="9" fillId="0" borderId="2" xfId="0" applyNumberFormat="1" applyFont="1" applyBorder="1" applyAlignment="1">
      <alignment horizontal="center" vertical="center" wrapText="1"/>
    </xf>
    <xf numFmtId="0" fontId="9" fillId="0" borderId="2" xfId="0" applyFont="1" applyBorder="1" applyAlignment="1">
      <alignment vertical="center" wrapText="1"/>
    </xf>
    <xf numFmtId="0" fontId="9" fillId="0" borderId="2" xfId="0" applyFont="1" applyBorder="1" applyAlignment="1">
      <alignment horizontal="left" vertical="center" wrapText="1"/>
    </xf>
    <xf numFmtId="0" fontId="9" fillId="0" borderId="2" xfId="0" applyFont="1" applyBorder="1" applyAlignment="1">
      <alignment horizontal="center" vertical="center" wrapText="1"/>
    </xf>
    <xf numFmtId="49"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2" xfId="0" applyNumberFormat="1" applyFont="1" applyBorder="1" applyAlignment="1">
      <alignment horizontal="center" vertical="center" wrapText="1"/>
    </xf>
    <xf numFmtId="9" fontId="7" fillId="0" borderId="2" xfId="0" applyNumberFormat="1" applyFont="1" applyBorder="1" applyAlignment="1">
      <alignment horizontal="center" vertical="center" wrapText="1"/>
    </xf>
    <xf numFmtId="0" fontId="4" fillId="0" borderId="2" xfId="0" applyFont="1" applyFill="1" applyBorder="1" applyAlignment="1">
      <alignment wrapText="1"/>
    </xf>
    <xf numFmtId="49" fontId="9" fillId="0" borderId="2" xfId="0" applyNumberFormat="1" applyFont="1" applyBorder="1" applyAlignment="1">
      <alignment horizontal="center" vertical="center"/>
    </xf>
    <xf numFmtId="0" fontId="3" fillId="0" borderId="2" xfId="0" applyFont="1" applyFill="1" applyBorder="1" applyAlignment="1">
      <alignment horizontal="left" vertical="center" wrapText="1"/>
    </xf>
    <xf numFmtId="49" fontId="7" fillId="0" borderId="2" xfId="0" applyNumberFormat="1" applyFont="1" applyFill="1" applyBorder="1" applyAlignment="1">
      <alignment horizontal="center" vertical="center"/>
    </xf>
    <xf numFmtId="0" fontId="7" fillId="0" borderId="2" xfId="0" applyFont="1" applyFill="1" applyBorder="1" applyAlignment="1">
      <alignment horizontal="center" vertical="center" wrapText="1"/>
    </xf>
    <xf numFmtId="49" fontId="7" fillId="0" borderId="2" xfId="0" applyNumberFormat="1" applyFont="1" applyFill="1" applyBorder="1" applyAlignment="1">
      <alignment horizontal="center" vertical="center" wrapText="1"/>
    </xf>
    <xf numFmtId="0" fontId="7" fillId="0" borderId="2" xfId="0" applyFont="1" applyBorder="1" applyAlignment="1">
      <alignment wrapText="1"/>
    </xf>
    <xf numFmtId="9" fontId="7" fillId="0" borderId="2" xfId="0" applyNumberFormat="1" applyFont="1" applyFill="1" applyBorder="1" applyAlignment="1">
      <alignment horizontal="center" vertical="center" wrapText="1"/>
    </xf>
    <xf numFmtId="0" fontId="10" fillId="0" borderId="2" xfId="0" applyFont="1" applyBorder="1"/>
    <xf numFmtId="0" fontId="10" fillId="0" borderId="2" xfId="0" applyFont="1" applyBorder="1" applyAlignment="1">
      <alignment horizontal="left" vertical="center"/>
    </xf>
    <xf numFmtId="0" fontId="3" fillId="0" borderId="2" xfId="0" applyFont="1" applyFill="1" applyBorder="1" applyAlignment="1">
      <alignment horizontal="left" wrapText="1"/>
    </xf>
    <xf numFmtId="49" fontId="3" fillId="0" borderId="2" xfId="0" applyNumberFormat="1" applyFont="1" applyFill="1" applyBorder="1" applyAlignment="1">
      <alignment horizontal="left" vertical="center" wrapText="1"/>
    </xf>
    <xf numFmtId="49" fontId="7" fillId="0" borderId="2" xfId="0" applyNumberFormat="1" applyFont="1" applyBorder="1" applyAlignment="1">
      <alignment horizontal="center" vertical="center"/>
    </xf>
    <xf numFmtId="0" fontId="4" fillId="0" borderId="2" xfId="0" applyFont="1" applyFill="1" applyBorder="1" applyAlignment="1">
      <alignment horizontal="left" wrapText="1"/>
    </xf>
    <xf numFmtId="16" fontId="7" fillId="0" borderId="2" xfId="0" applyNumberFormat="1" applyFont="1" applyFill="1" applyBorder="1" applyAlignment="1">
      <alignment horizontal="center" vertical="center" wrapText="1"/>
    </xf>
    <xf numFmtId="0" fontId="7" fillId="0" borderId="2" xfId="0" applyFont="1" applyBorder="1"/>
    <xf numFmtId="1" fontId="11" fillId="0" borderId="2" xfId="0" applyNumberFormat="1" applyFont="1" applyBorder="1" applyAlignment="1">
      <alignment horizontal="center" vertical="center"/>
    </xf>
    <xf numFmtId="0" fontId="7" fillId="0" borderId="2" xfId="0" applyFont="1" applyFill="1" applyBorder="1" applyAlignment="1">
      <alignment vertical="center" wrapText="1"/>
    </xf>
    <xf numFmtId="49" fontId="7" fillId="2" borderId="2" xfId="0" applyNumberFormat="1" applyFont="1" applyFill="1" applyBorder="1"/>
    <xf numFmtId="164" fontId="4" fillId="4" borderId="11" xfId="0" applyNumberFormat="1" applyFont="1" applyFill="1" applyBorder="1" applyAlignment="1">
      <alignment horizontal="left"/>
    </xf>
    <xf numFmtId="164" fontId="4" fillId="4" borderId="2" xfId="0" applyNumberFormat="1" applyFont="1" applyFill="1" applyBorder="1" applyAlignment="1">
      <alignment horizontal="center" vertical="center" wrapText="1"/>
    </xf>
    <xf numFmtId="0" fontId="9" fillId="4" borderId="2" xfId="0" applyFont="1" applyFill="1" applyBorder="1" applyAlignment="1">
      <alignment vertical="center" wrapText="1"/>
    </xf>
    <xf numFmtId="164" fontId="4" fillId="4" borderId="4" xfId="0" applyNumberFormat="1" applyFont="1" applyFill="1" applyBorder="1" applyAlignment="1">
      <alignment horizontal="center" vertical="center" wrapText="1"/>
    </xf>
    <xf numFmtId="164" fontId="4" fillId="4" borderId="10" xfId="11" applyNumberFormat="1" applyFont="1" applyFill="1" applyBorder="1" applyAlignment="1">
      <alignment wrapText="1"/>
    </xf>
    <xf numFmtId="164" fontId="4" fillId="4" borderId="4" xfId="11" applyNumberFormat="1" applyFont="1" applyFill="1" applyBorder="1" applyAlignment="1">
      <alignment horizontal="center" wrapText="1"/>
    </xf>
    <xf numFmtId="164" fontId="4" fillId="4" borderId="9" xfId="0" applyNumberFormat="1" applyFont="1" applyFill="1" applyBorder="1" applyAlignment="1">
      <alignment vertical="center" wrapText="1"/>
    </xf>
    <xf numFmtId="164" fontId="4" fillId="4" borderId="2" xfId="0" applyNumberFormat="1" applyFont="1" applyFill="1" applyBorder="1" applyAlignment="1">
      <alignment horizontal="center" vertical="center"/>
    </xf>
    <xf numFmtId="49" fontId="7" fillId="0" borderId="2" xfId="0" applyNumberFormat="1" applyFont="1" applyFill="1" applyBorder="1" applyAlignment="1">
      <alignment horizontal="left" vertical="center" wrapText="1"/>
    </xf>
    <xf numFmtId="164" fontId="3" fillId="4" borderId="2" xfId="0" applyNumberFormat="1" applyFont="1" applyFill="1" applyBorder="1" applyAlignment="1">
      <alignment vertical="center"/>
    </xf>
    <xf numFmtId="164" fontId="3" fillId="0" borderId="0" xfId="0" applyNumberFormat="1" applyFont="1" applyFill="1"/>
    <xf numFmtId="165" fontId="4" fillId="0" borderId="0" xfId="0" applyNumberFormat="1" applyFont="1" applyAlignment="1">
      <alignment horizontal="center"/>
    </xf>
    <xf numFmtId="165" fontId="4" fillId="0" borderId="0" xfId="0" applyNumberFormat="1" applyFont="1" applyAlignment="1">
      <alignment horizontal="center" vertical="center"/>
    </xf>
    <xf numFmtId="164" fontId="4" fillId="0" borderId="0" xfId="0" applyNumberFormat="1" applyFont="1" applyAlignment="1">
      <alignment horizontal="left" wrapText="1"/>
    </xf>
    <xf numFmtId="164" fontId="4" fillId="0" borderId="0" xfId="0" applyNumberFormat="1" applyFont="1" applyAlignment="1"/>
    <xf numFmtId="164" fontId="4" fillId="2" borderId="6" xfId="0" applyNumberFormat="1" applyFont="1" applyFill="1" applyBorder="1" applyAlignment="1">
      <alignment horizontal="left" vertical="center" wrapText="1"/>
    </xf>
    <xf numFmtId="164" fontId="4" fillId="2" borderId="8" xfId="0" applyNumberFormat="1" applyFont="1" applyFill="1" applyBorder="1" applyAlignment="1">
      <alignment horizontal="left" vertical="center" wrapText="1"/>
    </xf>
    <xf numFmtId="0" fontId="3" fillId="2" borderId="2" xfId="0" applyFont="1" applyFill="1" applyBorder="1" applyAlignment="1">
      <alignment vertical="center" wrapText="1"/>
    </xf>
    <xf numFmtId="0" fontId="4" fillId="2" borderId="4" xfId="0" applyFont="1" applyFill="1" applyBorder="1" applyAlignment="1">
      <alignment vertical="center" wrapText="1"/>
    </xf>
    <xf numFmtId="0" fontId="3" fillId="2" borderId="4" xfId="0" applyFont="1" applyFill="1" applyBorder="1" applyAlignment="1">
      <alignment vertical="center" wrapText="1"/>
    </xf>
    <xf numFmtId="49" fontId="4" fillId="2" borderId="2" xfId="0" applyNumberFormat="1" applyFont="1" applyFill="1" applyBorder="1" applyAlignment="1">
      <alignment vertical="center" wrapText="1"/>
    </xf>
    <xf numFmtId="0" fontId="4" fillId="2" borderId="2" xfId="0" applyFont="1" applyFill="1" applyBorder="1" applyAlignment="1">
      <alignment vertical="top" wrapText="1"/>
    </xf>
    <xf numFmtId="167" fontId="3" fillId="0" borderId="13" xfId="0" applyNumberFormat="1" applyFont="1" applyBorder="1" applyAlignment="1">
      <alignment horizontal="right" vertical="center"/>
    </xf>
    <xf numFmtId="0" fontId="4" fillId="2" borderId="4" xfId="0" applyFont="1" applyFill="1" applyBorder="1" applyAlignment="1">
      <alignment horizontal="right" vertical="center"/>
    </xf>
    <xf numFmtId="0" fontId="3" fillId="2" borderId="4" xfId="0" applyFont="1" applyFill="1" applyBorder="1" applyAlignment="1">
      <alignment horizontal="right" vertical="center"/>
    </xf>
    <xf numFmtId="0" fontId="3" fillId="2" borderId="4" xfId="0" applyFont="1" applyFill="1" applyBorder="1" applyAlignment="1">
      <alignment horizontal="left" vertical="center" wrapText="1"/>
    </xf>
    <xf numFmtId="1" fontId="3" fillId="2" borderId="4" xfId="0" applyNumberFormat="1" applyFont="1" applyFill="1" applyBorder="1" applyAlignment="1">
      <alignment horizontal="center" vertical="center" wrapText="1"/>
    </xf>
    <xf numFmtId="167" fontId="3" fillId="0" borderId="1" xfId="0" applyNumberFormat="1" applyFont="1" applyBorder="1" applyAlignment="1">
      <alignment horizontal="right" vertical="center"/>
    </xf>
    <xf numFmtId="168" fontId="4" fillId="0" borderId="1" xfId="0" applyNumberFormat="1" applyFont="1" applyBorder="1" applyAlignment="1">
      <alignment horizontal="right" vertical="center"/>
    </xf>
    <xf numFmtId="169" fontId="4"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168" fontId="4" fillId="0" borderId="6" xfId="0" applyNumberFormat="1" applyFont="1" applyBorder="1" applyAlignment="1">
      <alignment horizontal="right" vertical="center"/>
    </xf>
    <xf numFmtId="0" fontId="4" fillId="2" borderId="0" xfId="0" applyFont="1" applyFill="1" applyBorder="1" applyAlignment="1">
      <alignment horizontal="left" vertical="center" wrapText="1"/>
    </xf>
    <xf numFmtId="168" fontId="4" fillId="0" borderId="2" xfId="0" applyNumberFormat="1" applyFont="1" applyBorder="1" applyAlignment="1">
      <alignment horizontal="right" vertical="center"/>
    </xf>
    <xf numFmtId="0" fontId="4" fillId="0" borderId="2" xfId="12" applyFont="1" applyBorder="1" applyAlignment="1">
      <alignment horizontal="center" vertical="center"/>
    </xf>
    <xf numFmtId="0" fontId="4" fillId="0" borderId="2" xfId="0" applyFont="1" applyBorder="1" applyAlignment="1">
      <alignment horizontal="center"/>
    </xf>
    <xf numFmtId="0" fontId="4" fillId="2" borderId="2" xfId="12" applyFont="1" applyFill="1" applyBorder="1" applyAlignment="1">
      <alignment vertical="center" wrapText="1"/>
    </xf>
    <xf numFmtId="0" fontId="3" fillId="0" borderId="2" xfId="12" applyFont="1" applyBorder="1" applyAlignment="1">
      <alignment horizontal="center" vertical="center"/>
    </xf>
    <xf numFmtId="0" fontId="4" fillId="0" borderId="1" xfId="12" applyFont="1" applyBorder="1" applyAlignment="1">
      <alignment horizontal="center" vertical="center"/>
    </xf>
    <xf numFmtId="0" fontId="3" fillId="2" borderId="1" xfId="12" applyFont="1" applyFill="1" applyBorder="1" applyAlignment="1">
      <alignment vertical="center" wrapText="1"/>
    </xf>
    <xf numFmtId="0" fontId="4" fillId="2" borderId="1" xfId="12" applyFont="1" applyFill="1" applyBorder="1" applyAlignment="1">
      <alignment vertical="center" wrapText="1"/>
    </xf>
    <xf numFmtId="0" fontId="4" fillId="0" borderId="1" xfId="0" applyFont="1" applyBorder="1" applyAlignment="1">
      <alignment horizontal="center"/>
    </xf>
    <xf numFmtId="49" fontId="3" fillId="0" borderId="2" xfId="12" applyNumberFormat="1" applyFont="1" applyBorder="1" applyAlignment="1">
      <alignment horizontal="center" vertical="center"/>
    </xf>
    <xf numFmtId="49" fontId="4" fillId="0" borderId="2" xfId="12" applyNumberFormat="1" applyFont="1" applyBorder="1" applyAlignment="1">
      <alignment horizontal="center" vertical="center"/>
    </xf>
    <xf numFmtId="49" fontId="4" fillId="2" borderId="1" xfId="0" applyNumberFormat="1" applyFont="1" applyFill="1" applyBorder="1" applyAlignment="1">
      <alignment vertical="center"/>
    </xf>
    <xf numFmtId="166" fontId="3" fillId="2" borderId="2" xfId="0" applyNumberFormat="1" applyFont="1" applyFill="1" applyBorder="1" applyAlignment="1">
      <alignment horizontal="center" vertical="center" wrapText="1"/>
    </xf>
    <xf numFmtId="49" fontId="3" fillId="0" borderId="1" xfId="12" applyNumberFormat="1" applyFont="1" applyBorder="1" applyAlignment="1">
      <alignment horizontal="center" vertical="center"/>
    </xf>
    <xf numFmtId="49" fontId="4" fillId="0" borderId="1" xfId="12" applyNumberFormat="1" applyFont="1" applyBorder="1" applyAlignment="1">
      <alignment horizontal="center" vertical="center"/>
    </xf>
    <xf numFmtId="169" fontId="4" fillId="2" borderId="1" xfId="0" applyNumberFormat="1" applyFont="1" applyFill="1" applyBorder="1" applyAlignment="1">
      <alignment horizontal="center" vertical="center" wrapText="1"/>
    </xf>
    <xf numFmtId="0" fontId="3" fillId="0" borderId="2" xfId="12" applyFont="1" applyBorder="1" applyAlignment="1">
      <alignment vertical="center" wrapText="1"/>
    </xf>
    <xf numFmtId="0" fontId="3" fillId="2" borderId="2" xfId="0" applyFont="1" applyFill="1" applyBorder="1" applyAlignment="1">
      <alignment horizontal="left" vertical="center" wrapText="1"/>
    </xf>
    <xf numFmtId="49" fontId="3" fillId="2" borderId="1" xfId="0" applyNumberFormat="1" applyFont="1" applyFill="1" applyBorder="1" applyAlignment="1">
      <alignment vertical="center"/>
    </xf>
    <xf numFmtId="0" fontId="4" fillId="0" borderId="2" xfId="12" applyFont="1" applyBorder="1" applyAlignment="1">
      <alignment vertical="center" wrapText="1"/>
    </xf>
    <xf numFmtId="0" fontId="4" fillId="0" borderId="1" xfId="12" applyFont="1" applyBorder="1" applyAlignment="1">
      <alignment vertical="center" wrapText="1"/>
    </xf>
    <xf numFmtId="49" fontId="3" fillId="2" borderId="2" xfId="0" applyNumberFormat="1" applyFont="1" applyFill="1" applyBorder="1" applyAlignment="1">
      <alignment vertical="center"/>
    </xf>
    <xf numFmtId="167" fontId="17" fillId="0" borderId="13" xfId="0" applyNumberFormat="1" applyFont="1" applyBorder="1" applyAlignment="1">
      <alignment horizontal="right" vertical="center"/>
    </xf>
    <xf numFmtId="0" fontId="11" fillId="5" borderId="4" xfId="0" applyFont="1" applyFill="1" applyBorder="1" applyAlignment="1">
      <alignment horizontal="right" vertical="center"/>
    </xf>
    <xf numFmtId="0" fontId="17" fillId="5" borderId="4" xfId="0" applyFont="1" applyFill="1" applyBorder="1" applyAlignment="1">
      <alignment horizontal="right" vertical="center"/>
    </xf>
    <xf numFmtId="0" fontId="17" fillId="5" borderId="4" xfId="0" applyFont="1" applyFill="1" applyBorder="1" applyAlignment="1">
      <alignment horizontal="left" vertical="center" wrapText="1"/>
    </xf>
    <xf numFmtId="0" fontId="17" fillId="5" borderId="4" xfId="0" applyFont="1" applyFill="1" applyBorder="1" applyAlignment="1">
      <alignment horizontal="center" vertical="center" wrapText="1"/>
    </xf>
    <xf numFmtId="0" fontId="3" fillId="5" borderId="2" xfId="0" applyFont="1" applyFill="1" applyBorder="1" applyAlignment="1">
      <alignment horizontal="left" vertical="center" wrapText="1"/>
    </xf>
    <xf numFmtId="0" fontId="3" fillId="5" borderId="4" xfId="0" applyFont="1" applyFill="1" applyBorder="1" applyAlignment="1">
      <alignment horizontal="center" vertical="center" wrapText="1"/>
    </xf>
    <xf numFmtId="0" fontId="11" fillId="0" borderId="2" xfId="0" applyFont="1" applyBorder="1" applyAlignment="1">
      <alignment horizontal="center"/>
    </xf>
    <xf numFmtId="0" fontId="11" fillId="0" borderId="1" xfId="6" applyFont="1" applyFill="1" applyBorder="1" applyAlignment="1">
      <alignment horizontal="left" vertical="center" wrapText="1"/>
    </xf>
    <xf numFmtId="0" fontId="17" fillId="5" borderId="2" xfId="0" applyFont="1" applyFill="1" applyBorder="1" applyAlignment="1">
      <alignment horizontal="center" vertical="center" wrapText="1"/>
    </xf>
    <xf numFmtId="0" fontId="11" fillId="5" borderId="2" xfId="0" applyFont="1" applyFill="1" applyBorder="1" applyAlignment="1">
      <alignment horizontal="center" vertical="center" wrapText="1"/>
    </xf>
    <xf numFmtId="169" fontId="11"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168" fontId="11" fillId="0" borderId="6" xfId="0" applyNumberFormat="1" applyFont="1" applyBorder="1" applyAlignment="1">
      <alignment horizontal="right" vertical="center"/>
    </xf>
    <xf numFmtId="0" fontId="11" fillId="5" borderId="6" xfId="6" applyFont="1" applyFill="1" applyBorder="1" applyAlignment="1">
      <alignment horizontal="left" vertical="center" wrapText="1"/>
    </xf>
    <xf numFmtId="168" fontId="11" fillId="0" borderId="2" xfId="0" applyNumberFormat="1" applyFont="1" applyBorder="1" applyAlignment="1">
      <alignment horizontal="right" vertical="center"/>
    </xf>
    <xf numFmtId="0" fontId="17" fillId="5" borderId="1" xfId="12" applyFont="1" applyFill="1" applyBorder="1" applyAlignment="1">
      <alignment horizontal="left" vertical="center" wrapText="1"/>
    </xf>
    <xf numFmtId="169" fontId="17" fillId="5" borderId="2" xfId="0" applyNumberFormat="1" applyFont="1" applyFill="1" applyBorder="1" applyAlignment="1">
      <alignment horizontal="center" vertical="center" wrapText="1"/>
    </xf>
    <xf numFmtId="0" fontId="3"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49" fontId="11" fillId="5" borderId="1" xfId="0" applyNumberFormat="1" applyFont="1" applyFill="1" applyBorder="1" applyAlignment="1">
      <alignment vertical="center"/>
    </xf>
    <xf numFmtId="166" fontId="11" fillId="5" borderId="2" xfId="0" applyNumberFormat="1" applyFont="1" applyFill="1" applyBorder="1" applyAlignment="1">
      <alignment horizontal="center" vertical="center" wrapText="1"/>
    </xf>
    <xf numFmtId="49" fontId="17" fillId="5" borderId="1" xfId="0" applyNumberFormat="1" applyFont="1" applyFill="1" applyBorder="1" applyAlignment="1">
      <alignment vertical="center"/>
    </xf>
    <xf numFmtId="0" fontId="11" fillId="5" borderId="2" xfId="0" applyFont="1" applyFill="1" applyBorder="1" applyAlignment="1">
      <alignment vertical="center" wrapText="1"/>
    </xf>
    <xf numFmtId="0" fontId="4" fillId="5" borderId="2" xfId="6" applyFont="1" applyFill="1" applyBorder="1" applyAlignment="1">
      <alignment horizontal="left" vertical="center" wrapText="1"/>
    </xf>
    <xf numFmtId="167" fontId="4" fillId="0" borderId="13" xfId="13" applyNumberFormat="1" applyFont="1" applyBorder="1" applyAlignment="1">
      <alignment horizontal="center" vertical="center"/>
    </xf>
    <xf numFmtId="0" fontId="4" fillId="2" borderId="4" xfId="13" applyFont="1" applyFill="1" applyBorder="1" applyAlignment="1">
      <alignment vertical="center" wrapText="1"/>
    </xf>
    <xf numFmtId="167" fontId="4" fillId="0" borderId="1" xfId="13" applyNumberFormat="1" applyFont="1" applyBorder="1" applyAlignment="1">
      <alignment horizontal="center" vertical="center"/>
    </xf>
    <xf numFmtId="168" fontId="4" fillId="0" borderId="1" xfId="13" applyNumberFormat="1" applyFont="1" applyBorder="1" applyAlignment="1">
      <alignment horizontal="center" vertical="center"/>
    </xf>
    <xf numFmtId="0" fontId="4" fillId="2" borderId="2" xfId="13" applyFont="1" applyFill="1" applyBorder="1" applyAlignment="1">
      <alignment vertical="center" wrapText="1"/>
    </xf>
    <xf numFmtId="0" fontId="4" fillId="2" borderId="2" xfId="13" applyFont="1" applyFill="1" applyBorder="1" applyAlignment="1">
      <alignment horizontal="center" vertical="center" wrapText="1"/>
    </xf>
    <xf numFmtId="168" fontId="4" fillId="0" borderId="6" xfId="13" applyNumberFormat="1" applyFont="1" applyBorder="1" applyAlignment="1">
      <alignment horizontal="center" vertical="center"/>
    </xf>
    <xf numFmtId="0" fontId="4" fillId="2" borderId="0" xfId="13" applyFont="1" applyFill="1" applyBorder="1" applyAlignment="1">
      <alignment vertical="center" wrapText="1"/>
    </xf>
    <xf numFmtId="168" fontId="4" fillId="0" borderId="2" xfId="13" applyNumberFormat="1" applyFont="1" applyBorder="1" applyAlignment="1">
      <alignment horizontal="center" vertical="center"/>
    </xf>
    <xf numFmtId="169" fontId="4" fillId="2" borderId="2" xfId="13" applyNumberFormat="1" applyFont="1" applyFill="1" applyBorder="1" applyAlignment="1">
      <alignment vertical="center" wrapText="1"/>
    </xf>
    <xf numFmtId="49" fontId="4" fillId="2" borderId="1" xfId="13" applyNumberFormat="1" applyFont="1" applyFill="1" applyBorder="1" applyAlignment="1">
      <alignment horizontal="center" vertical="center"/>
    </xf>
    <xf numFmtId="0" fontId="4" fillId="2" borderId="2" xfId="13" applyFont="1" applyFill="1" applyBorder="1" applyAlignment="1">
      <alignment horizontal="center" vertical="center"/>
    </xf>
    <xf numFmtId="166" fontId="4" fillId="2" borderId="2" xfId="13" applyNumberFormat="1" applyFont="1" applyFill="1" applyBorder="1" applyAlignment="1">
      <alignment horizontal="center" vertical="center" wrapText="1"/>
    </xf>
    <xf numFmtId="164" fontId="3" fillId="4" borderId="13" xfId="0" applyNumberFormat="1" applyFont="1" applyFill="1" applyBorder="1" applyAlignment="1"/>
    <xf numFmtId="167" fontId="9" fillId="0" borderId="2" xfId="0" applyNumberFormat="1" applyFont="1" applyFill="1" applyBorder="1" applyAlignment="1">
      <alignment vertical="center"/>
    </xf>
    <xf numFmtId="0" fontId="7" fillId="0" borderId="2" xfId="0" applyFont="1" applyFill="1" applyBorder="1" applyAlignment="1">
      <alignment horizontal="right" vertical="center"/>
    </xf>
    <xf numFmtId="0" fontId="9" fillId="0" borderId="2" xfId="0" applyFont="1" applyFill="1" applyBorder="1" applyAlignment="1">
      <alignment horizontal="right" vertical="center"/>
    </xf>
    <xf numFmtId="0" fontId="3" fillId="0" borderId="2" xfId="0" applyFont="1" applyFill="1" applyBorder="1" applyAlignment="1">
      <alignment vertical="center" wrapText="1"/>
    </xf>
    <xf numFmtId="0" fontId="3" fillId="0" borderId="4" xfId="0" applyFont="1" applyFill="1" applyBorder="1" applyAlignment="1">
      <alignment vertical="center" wrapText="1"/>
    </xf>
    <xf numFmtId="0" fontId="4" fillId="0" borderId="4" xfId="13" applyFont="1" applyFill="1" applyBorder="1" applyAlignment="1">
      <alignment horizontal="center" vertical="center" wrapText="1"/>
    </xf>
    <xf numFmtId="167" fontId="9" fillId="0" borderId="2" xfId="0" applyNumberFormat="1" applyFont="1" applyBorder="1" applyAlignment="1">
      <alignment vertical="center"/>
    </xf>
    <xf numFmtId="0" fontId="4" fillId="2" borderId="2" xfId="6" applyFont="1" applyFill="1" applyBorder="1" applyAlignment="1">
      <alignment vertical="center" wrapText="1"/>
    </xf>
    <xf numFmtId="0" fontId="4" fillId="0" borderId="2" xfId="13" applyFont="1" applyFill="1" applyBorder="1" applyAlignment="1">
      <alignment horizontal="center" vertical="center" wrapText="1"/>
    </xf>
    <xf numFmtId="0" fontId="7" fillId="2" borderId="2" xfId="0" applyFont="1" applyFill="1" applyBorder="1" applyAlignment="1">
      <alignment horizontal="right" vertical="center"/>
    </xf>
    <xf numFmtId="0" fontId="4" fillId="2" borderId="9" xfId="0" applyFont="1" applyFill="1" applyBorder="1" applyAlignment="1">
      <alignment vertical="center" wrapText="1"/>
    </xf>
    <xf numFmtId="168" fontId="7" fillId="0" borderId="2" xfId="0" applyNumberFormat="1" applyFont="1" applyFill="1" applyBorder="1" applyAlignment="1">
      <alignment horizontal="right" vertical="center"/>
    </xf>
    <xf numFmtId="0" fontId="9" fillId="0" borderId="2" xfId="0" applyFont="1" applyFill="1" applyBorder="1" applyAlignment="1">
      <alignment horizontal="left" vertical="center" wrapText="1"/>
    </xf>
    <xf numFmtId="0" fontId="4" fillId="0" borderId="4" xfId="0" applyFont="1" applyFill="1" applyBorder="1" applyAlignment="1">
      <alignment vertical="center" wrapText="1"/>
    </xf>
    <xf numFmtId="0" fontId="9" fillId="0" borderId="2" xfId="0" applyFont="1" applyFill="1" applyBorder="1" applyAlignment="1">
      <alignment vertical="center" wrapText="1"/>
    </xf>
    <xf numFmtId="0" fontId="3" fillId="0" borderId="1" xfId="0" applyFont="1" applyFill="1" applyBorder="1" applyAlignment="1">
      <alignment vertical="center" wrapText="1"/>
    </xf>
    <xf numFmtId="0" fontId="4" fillId="0" borderId="1" xfId="13" applyFont="1" applyFill="1" applyBorder="1" applyAlignment="1">
      <alignment horizontal="center" vertical="center" wrapText="1"/>
    </xf>
    <xf numFmtId="0" fontId="7" fillId="0" borderId="2" xfId="0" applyFont="1" applyFill="1" applyBorder="1" applyAlignment="1">
      <alignment wrapText="1"/>
    </xf>
    <xf numFmtId="0" fontId="7" fillId="0" borderId="2" xfId="0" applyFont="1" applyFill="1" applyBorder="1" applyAlignment="1">
      <alignment vertical="top" wrapText="1"/>
    </xf>
    <xf numFmtId="168" fontId="7" fillId="0" borderId="2" xfId="0" applyNumberFormat="1" applyFont="1" applyBorder="1" applyAlignment="1">
      <alignment horizontal="right" vertical="center"/>
    </xf>
    <xf numFmtId="3" fontId="4" fillId="0" borderId="1" xfId="13" applyNumberFormat="1" applyFont="1" applyFill="1" applyBorder="1" applyAlignment="1">
      <alignment horizontal="center" vertical="center" wrapText="1"/>
    </xf>
    <xf numFmtId="164" fontId="4" fillId="0" borderId="16" xfId="0" applyNumberFormat="1" applyFont="1" applyFill="1" applyBorder="1" applyAlignment="1">
      <alignment horizontal="left"/>
    </xf>
    <xf numFmtId="0" fontId="4" fillId="2" borderId="4" xfId="13" applyFont="1" applyFill="1" applyBorder="1" applyAlignment="1">
      <alignment horizontal="right" vertical="center"/>
    </xf>
    <xf numFmtId="0" fontId="4" fillId="0" borderId="2" xfId="13" applyFont="1" applyBorder="1" applyAlignment="1">
      <alignment horizontal="center" vertical="center" wrapText="1"/>
    </xf>
    <xf numFmtId="168" fontId="4" fillId="0" borderId="1" xfId="13" applyNumberFormat="1" applyFont="1" applyBorder="1" applyAlignment="1">
      <alignment horizontal="right" vertical="center"/>
    </xf>
    <xf numFmtId="169" fontId="4" fillId="2" borderId="2" xfId="13" applyNumberFormat="1" applyFont="1" applyFill="1" applyBorder="1" applyAlignment="1">
      <alignment horizontal="center" vertical="center" wrapText="1"/>
    </xf>
    <xf numFmtId="168" fontId="4" fillId="0" borderId="6" xfId="13" applyNumberFormat="1" applyFont="1" applyBorder="1" applyAlignment="1">
      <alignment horizontal="right" vertical="center"/>
    </xf>
    <xf numFmtId="0" fontId="7" fillId="0" borderId="2" xfId="6" applyFont="1" applyFill="1" applyBorder="1" applyAlignment="1">
      <alignment horizontal="left" vertical="center" wrapText="1"/>
    </xf>
    <xf numFmtId="0" fontId="4" fillId="0" borderId="9" xfId="13" applyFont="1" applyBorder="1" applyAlignment="1">
      <alignment horizontal="center" vertical="center" wrapText="1"/>
    </xf>
    <xf numFmtId="168" fontId="4" fillId="0" borderId="2" xfId="13" applyNumberFormat="1" applyFont="1" applyBorder="1" applyAlignment="1">
      <alignment horizontal="right" vertical="center"/>
    </xf>
    <xf numFmtId="0" fontId="4" fillId="2" borderId="3" xfId="13" applyFont="1" applyFill="1" applyBorder="1" applyAlignment="1">
      <alignment horizontal="right" vertical="center"/>
    </xf>
    <xf numFmtId="49" fontId="4" fillId="2" borderId="1" xfId="13" applyNumberFormat="1" applyFont="1" applyFill="1" applyBorder="1" applyAlignment="1">
      <alignment vertical="center"/>
    </xf>
    <xf numFmtId="49" fontId="4" fillId="2" borderId="2" xfId="13" applyNumberFormat="1" applyFont="1" applyFill="1" applyBorder="1" applyAlignment="1">
      <alignment horizontal="center" vertical="center"/>
    </xf>
    <xf numFmtId="169" fontId="4" fillId="2" borderId="2" xfId="13" applyNumberFormat="1" applyFont="1" applyFill="1" applyBorder="1" applyAlignment="1">
      <alignment horizontal="center"/>
    </xf>
    <xf numFmtId="0" fontId="4" fillId="0" borderId="2" xfId="13" applyFont="1" applyFill="1" applyBorder="1" applyAlignment="1">
      <alignment horizontal="left" vertical="center" wrapText="1"/>
    </xf>
    <xf numFmtId="0" fontId="4" fillId="0" borderId="5" xfId="13" applyFont="1" applyFill="1" applyBorder="1" applyAlignment="1">
      <alignment horizontal="left" vertical="center" wrapText="1"/>
    </xf>
    <xf numFmtId="164" fontId="3" fillId="4" borderId="19" xfId="0" applyNumberFormat="1" applyFont="1" applyFill="1" applyBorder="1" applyAlignment="1">
      <alignment vertical="center"/>
    </xf>
    <xf numFmtId="164" fontId="4" fillId="2" borderId="2" xfId="0" applyNumberFormat="1" applyFont="1" applyFill="1" applyBorder="1" applyAlignment="1">
      <alignment horizontal="left" vertical="center" wrapText="1"/>
    </xf>
    <xf numFmtId="167" fontId="3" fillId="0" borderId="2"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164" fontId="4" fillId="2" borderId="2" xfId="0" applyNumberFormat="1" applyFont="1" applyFill="1" applyBorder="1" applyAlignment="1">
      <alignment vertical="center"/>
    </xf>
    <xf numFmtId="0" fontId="7" fillId="6" borderId="2" xfId="0" applyFont="1" applyFill="1" applyBorder="1" applyAlignment="1">
      <alignment vertical="center" wrapText="1"/>
    </xf>
    <xf numFmtId="164" fontId="3" fillId="4" borderId="8" xfId="0" applyNumberFormat="1" applyFont="1" applyFill="1" applyBorder="1" applyAlignment="1">
      <alignment vertical="center"/>
    </xf>
    <xf numFmtId="164" fontId="3" fillId="4" borderId="8" xfId="0" applyNumberFormat="1" applyFont="1" applyFill="1" applyBorder="1" applyAlignment="1">
      <alignment horizontal="center" vertical="center"/>
    </xf>
    <xf numFmtId="164" fontId="3" fillId="4" borderId="9" xfId="0" applyNumberFormat="1" applyFont="1" applyFill="1" applyBorder="1" applyAlignment="1">
      <alignment horizontal="center" vertical="center"/>
    </xf>
    <xf numFmtId="1" fontId="4" fillId="2" borderId="4" xfId="0" applyNumberFormat="1" applyFont="1" applyFill="1" applyBorder="1" applyAlignment="1">
      <alignment horizontal="right" vertical="center"/>
    </xf>
    <xf numFmtId="1" fontId="4" fillId="2" borderId="2" xfId="0" applyNumberFormat="1" applyFont="1" applyFill="1" applyBorder="1" applyAlignment="1">
      <alignment horizontal="center" vertical="center" wrapText="1"/>
    </xf>
    <xf numFmtId="164" fontId="3" fillId="3" borderId="6" xfId="0" applyNumberFormat="1" applyFont="1" applyFill="1" applyBorder="1" applyAlignment="1">
      <alignment vertical="center" wrapText="1"/>
    </xf>
    <xf numFmtId="164" fontId="3" fillId="3" borderId="8" xfId="0" applyNumberFormat="1" applyFont="1" applyFill="1" applyBorder="1" applyAlignment="1">
      <alignment vertical="center" wrapText="1"/>
    </xf>
    <xf numFmtId="164" fontId="3" fillId="3" borderId="9" xfId="0" applyNumberFormat="1" applyFont="1" applyFill="1" applyBorder="1" applyAlignment="1">
      <alignment vertical="center" wrapText="1"/>
    </xf>
    <xf numFmtId="164" fontId="4" fillId="0" borderId="2" xfId="6" applyNumberFormat="1" applyFont="1" applyFill="1" applyBorder="1" applyAlignment="1">
      <alignment horizontal="center" vertical="center" wrapText="1"/>
    </xf>
    <xf numFmtId="0" fontId="4" fillId="0" borderId="2" xfId="6" applyNumberFormat="1" applyFont="1" applyFill="1" applyBorder="1" applyAlignment="1">
      <alignment horizontal="center" wrapText="1"/>
    </xf>
    <xf numFmtId="9" fontId="4" fillId="0" borderId="2" xfId="6" applyNumberFormat="1" applyFont="1" applyFill="1" applyBorder="1" applyAlignment="1">
      <alignment horizontal="center" vertical="center" wrapText="1"/>
    </xf>
    <xf numFmtId="169" fontId="7" fillId="0" borderId="2" xfId="0" applyNumberFormat="1" applyFont="1" applyFill="1" applyBorder="1" applyAlignment="1">
      <alignment horizontal="center" vertical="center" wrapText="1"/>
    </xf>
    <xf numFmtId="0" fontId="4" fillId="0" borderId="2" xfId="6" applyFont="1" applyFill="1" applyBorder="1" applyAlignment="1">
      <alignment horizontal="center" wrapText="1"/>
    </xf>
    <xf numFmtId="1" fontId="4" fillId="0" borderId="2" xfId="6" applyNumberFormat="1" applyFont="1" applyFill="1" applyBorder="1" applyAlignment="1">
      <alignment horizontal="center" vertical="center" wrapText="1"/>
    </xf>
    <xf numFmtId="0" fontId="4" fillId="0" borderId="2" xfId="6" applyNumberFormat="1" applyFont="1" applyFill="1" applyBorder="1" applyAlignment="1">
      <alignment horizontal="center" vertical="center" wrapText="1"/>
    </xf>
    <xf numFmtId="175" fontId="4" fillId="0" borderId="2" xfId="6" applyNumberFormat="1" applyFont="1" applyFill="1" applyBorder="1" applyAlignment="1">
      <alignment horizontal="center" vertical="center" wrapText="1"/>
    </xf>
    <xf numFmtId="49" fontId="4" fillId="0" borderId="2" xfId="0" applyNumberFormat="1" applyFont="1" applyFill="1" applyBorder="1"/>
    <xf numFmtId="0" fontId="4" fillId="0" borderId="2" xfId="9" applyNumberFormat="1" applyFont="1" applyFill="1" applyBorder="1" applyAlignment="1">
      <alignment horizontal="center" vertical="center" wrapText="1"/>
    </xf>
    <xf numFmtId="173" fontId="4" fillId="0" borderId="2" xfId="8" applyNumberFormat="1" applyFont="1" applyFill="1" applyBorder="1" applyAlignment="1">
      <alignment horizontal="center" vertical="center" wrapText="1"/>
    </xf>
    <xf numFmtId="0" fontId="4" fillId="0" borderId="4" xfId="9" applyNumberFormat="1" applyFont="1" applyFill="1" applyBorder="1" applyAlignment="1">
      <alignment horizontal="center" vertical="center" wrapText="1"/>
    </xf>
    <xf numFmtId="175" fontId="4" fillId="0" borderId="1" xfId="9" applyNumberFormat="1" applyFont="1" applyFill="1" applyBorder="1" applyAlignment="1">
      <alignment horizontal="center" vertical="center" wrapText="1"/>
    </xf>
    <xf numFmtId="175" fontId="4" fillId="0" borderId="9" xfId="9" applyNumberFormat="1" applyFont="1" applyFill="1" applyBorder="1" applyAlignment="1">
      <alignment horizontal="center" vertical="center" wrapText="1"/>
    </xf>
    <xf numFmtId="0" fontId="4" fillId="0" borderId="8" xfId="6" applyFont="1" applyFill="1" applyBorder="1" applyAlignment="1">
      <alignment vertical="top" wrapText="1"/>
    </xf>
    <xf numFmtId="0" fontId="4" fillId="0" borderId="8" xfId="6" applyFont="1" applyFill="1" applyBorder="1" applyAlignment="1">
      <alignment horizontal="center" vertical="top" wrapText="1"/>
    </xf>
    <xf numFmtId="0" fontId="4" fillId="0" borderId="9" xfId="6" applyFont="1" applyFill="1" applyBorder="1" applyAlignment="1">
      <alignment horizontal="center" vertical="top" wrapText="1"/>
    </xf>
    <xf numFmtId="175" fontId="4" fillId="0" borderId="4" xfId="9" applyNumberFormat="1" applyFont="1" applyFill="1" applyBorder="1" applyAlignment="1">
      <alignment horizontal="center" vertical="center" wrapText="1"/>
    </xf>
    <xf numFmtId="175" fontId="4" fillId="0" borderId="3" xfId="9" applyNumberFormat="1" applyFont="1" applyFill="1" applyBorder="1" applyAlignment="1">
      <alignment horizontal="center" vertical="center" wrapText="1"/>
    </xf>
    <xf numFmtId="164" fontId="4" fillId="0" borderId="0" xfId="0" applyNumberFormat="1" applyFont="1" applyAlignment="1">
      <alignment wrapText="1"/>
    </xf>
    <xf numFmtId="0" fontId="4" fillId="0" borderId="9" xfId="6" applyFont="1" applyFill="1" applyBorder="1" applyAlignment="1">
      <alignment vertical="top" wrapText="1"/>
    </xf>
    <xf numFmtId="1" fontId="4" fillId="0" borderId="2" xfId="9" applyNumberFormat="1" applyFont="1" applyFill="1" applyBorder="1" applyAlignment="1">
      <alignment horizontal="center" vertical="center" wrapText="1"/>
    </xf>
    <xf numFmtId="49" fontId="4" fillId="4" borderId="2" xfId="0" applyNumberFormat="1" applyFont="1" applyFill="1" applyBorder="1" applyAlignment="1">
      <alignment vertical="center"/>
    </xf>
    <xf numFmtId="164" fontId="3" fillId="7" borderId="0" xfId="0" applyNumberFormat="1" applyFont="1" applyFill="1"/>
    <xf numFmtId="164" fontId="3" fillId="4" borderId="18" xfId="0" applyNumberFormat="1" applyFont="1" applyFill="1" applyBorder="1" applyAlignment="1">
      <alignment horizontal="left" vertical="center" wrapText="1"/>
    </xf>
    <xf numFmtId="164" fontId="4" fillId="4" borderId="18" xfId="0" applyNumberFormat="1" applyFont="1" applyFill="1" applyBorder="1" applyAlignment="1">
      <alignment horizontal="left" vertical="center" wrapText="1"/>
    </xf>
    <xf numFmtId="164" fontId="4" fillId="5" borderId="2" xfId="16" applyNumberFormat="1" applyFont="1" applyFill="1" applyBorder="1" applyAlignment="1">
      <alignment horizontal="center" vertical="center" wrapText="1"/>
    </xf>
    <xf numFmtId="164" fontId="4" fillId="5" borderId="2" xfId="16" applyNumberFormat="1" applyFont="1" applyFill="1" applyBorder="1" applyAlignment="1">
      <alignment horizontal="center" vertical="center"/>
    </xf>
    <xf numFmtId="164" fontId="4" fillId="4" borderId="9" xfId="0" applyNumberFormat="1" applyFont="1" applyFill="1" applyBorder="1" applyAlignment="1">
      <alignment horizontal="center" vertical="center" wrapText="1"/>
    </xf>
    <xf numFmtId="167" fontId="17" fillId="0" borderId="13" xfId="0" applyNumberFormat="1" applyFont="1" applyBorder="1" applyAlignment="1">
      <alignment horizontal="left" vertical="center"/>
    </xf>
    <xf numFmtId="0" fontId="11" fillId="5" borderId="4" xfId="0" applyFont="1" applyFill="1" applyBorder="1" applyAlignment="1">
      <alignment horizontal="left" vertical="center"/>
    </xf>
    <xf numFmtId="0" fontId="17" fillId="5" borderId="4" xfId="0" applyFont="1" applyFill="1" applyBorder="1" applyAlignment="1">
      <alignment horizontal="left" vertical="center"/>
    </xf>
    <xf numFmtId="164" fontId="4" fillId="0" borderId="0" xfId="0" applyNumberFormat="1" applyFont="1" applyAlignment="1">
      <alignment horizontal="left"/>
    </xf>
    <xf numFmtId="167" fontId="17" fillId="0" borderId="1" xfId="0" applyNumberFormat="1" applyFont="1" applyBorder="1" applyAlignment="1">
      <alignment horizontal="left" vertical="center"/>
    </xf>
    <xf numFmtId="168" fontId="11" fillId="0" borderId="1" xfId="0" applyNumberFormat="1" applyFont="1" applyBorder="1" applyAlignment="1">
      <alignment horizontal="left" vertical="center"/>
    </xf>
    <xf numFmtId="0" fontId="11" fillId="5" borderId="4" xfId="0" applyFont="1" applyFill="1" applyBorder="1" applyAlignment="1">
      <alignment horizontal="left" vertical="center" wrapText="1"/>
    </xf>
    <xf numFmtId="0" fontId="11" fillId="5" borderId="2" xfId="0" applyFont="1" applyFill="1" applyBorder="1" applyAlignment="1">
      <alignment horizontal="left" vertical="center" wrapText="1"/>
    </xf>
    <xf numFmtId="168" fontId="11" fillId="0" borderId="6" xfId="0" applyNumberFormat="1" applyFont="1" applyBorder="1" applyAlignment="1">
      <alignment horizontal="left" vertical="center"/>
    </xf>
    <xf numFmtId="0" fontId="17" fillId="5" borderId="6" xfId="6" applyFont="1" applyFill="1" applyBorder="1" applyAlignment="1">
      <alignment horizontal="left" vertical="center" wrapText="1"/>
    </xf>
    <xf numFmtId="0" fontId="11" fillId="5" borderId="0" xfId="0" applyFont="1" applyFill="1" applyBorder="1" applyAlignment="1">
      <alignment horizontal="left" vertical="center" wrapText="1"/>
    </xf>
    <xf numFmtId="168" fontId="11" fillId="0" borderId="2" xfId="0" applyNumberFormat="1" applyFont="1" applyBorder="1" applyAlignment="1">
      <alignment horizontal="left" vertical="center"/>
    </xf>
    <xf numFmtId="0" fontId="11" fillId="5" borderId="3" xfId="0" applyFont="1" applyFill="1" applyBorder="1" applyAlignment="1">
      <alignment horizontal="left" vertical="center"/>
    </xf>
    <xf numFmtId="0" fontId="11" fillId="5" borderId="1" xfId="0" applyFont="1" applyFill="1" applyBorder="1" applyAlignment="1">
      <alignment horizontal="left" vertical="center" wrapText="1"/>
    </xf>
    <xf numFmtId="0" fontId="11" fillId="5" borderId="2" xfId="0" applyFont="1" applyFill="1" applyBorder="1" applyAlignment="1">
      <alignment horizontal="left" vertical="center"/>
    </xf>
    <xf numFmtId="0" fontId="11" fillId="5" borderId="1" xfId="0" applyFont="1" applyFill="1" applyBorder="1" applyAlignment="1">
      <alignment horizontal="left" vertical="center"/>
    </xf>
    <xf numFmtId="49" fontId="17" fillId="5" borderId="1" xfId="0" applyNumberFormat="1" applyFont="1" applyFill="1" applyBorder="1" applyAlignment="1">
      <alignment horizontal="left" vertical="center"/>
    </xf>
    <xf numFmtId="49" fontId="11" fillId="5" borderId="1" xfId="0" applyNumberFormat="1" applyFont="1" applyFill="1" applyBorder="1" applyAlignment="1">
      <alignment horizontal="left" vertical="center"/>
    </xf>
    <xf numFmtId="0" fontId="17" fillId="5" borderId="2" xfId="0" applyFont="1" applyFill="1" applyBorder="1" applyAlignment="1">
      <alignment horizontal="left" vertical="center" wrapText="1"/>
    </xf>
    <xf numFmtId="0" fontId="4" fillId="5" borderId="4" xfId="0" applyFont="1" applyFill="1" applyBorder="1" applyAlignment="1">
      <alignment horizontal="right" vertical="center"/>
    </xf>
    <xf numFmtId="0" fontId="4" fillId="5" borderId="2" xfId="0" applyFont="1" applyFill="1" applyBorder="1" applyAlignment="1">
      <alignment horizontal="right" vertical="center"/>
    </xf>
    <xf numFmtId="166" fontId="4" fillId="5" borderId="2" xfId="0" applyNumberFormat="1" applyFont="1" applyFill="1" applyBorder="1" applyAlignment="1">
      <alignment horizontal="center" vertical="center" wrapText="1"/>
    </xf>
    <xf numFmtId="164" fontId="4" fillId="4" borderId="0" xfId="0" applyNumberFormat="1" applyFont="1" applyFill="1" applyAlignment="1">
      <alignment horizontal="center"/>
    </xf>
    <xf numFmtId="0" fontId="11" fillId="0" borderId="2" xfId="0" applyFont="1" applyFill="1" applyBorder="1"/>
    <xf numFmtId="0" fontId="9" fillId="2" borderId="2" xfId="17" applyFont="1" applyFill="1" applyBorder="1" applyAlignment="1">
      <alignment vertical="top" wrapText="1"/>
    </xf>
    <xf numFmtId="0" fontId="9" fillId="2" borderId="2" xfId="17" applyFont="1" applyFill="1" applyBorder="1" applyAlignment="1">
      <alignment vertical="center" wrapText="1"/>
    </xf>
    <xf numFmtId="0" fontId="7" fillId="2" borderId="4" xfId="17" applyFont="1" applyFill="1" applyBorder="1" applyAlignment="1">
      <alignment horizontal="center" vertical="center" wrapText="1"/>
    </xf>
    <xf numFmtId="0" fontId="7" fillId="2" borderId="4" xfId="17" applyFont="1" applyFill="1" applyBorder="1" applyAlignment="1">
      <alignment horizontal="right" vertical="center" wrapText="1"/>
    </xf>
    <xf numFmtId="0" fontId="7" fillId="2" borderId="14" xfId="17" applyFont="1" applyFill="1" applyBorder="1" applyAlignment="1">
      <alignment horizontal="right" vertical="center" wrapText="1"/>
    </xf>
    <xf numFmtId="0" fontId="7" fillId="2" borderId="1" xfId="17" applyFont="1" applyFill="1" applyBorder="1" applyAlignment="1">
      <alignment horizontal="left" vertical="top" wrapText="1"/>
    </xf>
    <xf numFmtId="0" fontId="7" fillId="2" borderId="2" xfId="17" applyFont="1" applyFill="1" applyBorder="1" applyAlignment="1">
      <alignment horizontal="right" vertical="center" wrapText="1"/>
    </xf>
    <xf numFmtId="0" fontId="7" fillId="2" borderId="2" xfId="17" applyFont="1" applyFill="1" applyBorder="1" applyAlignment="1">
      <alignment horizontal="right" vertical="center"/>
    </xf>
    <xf numFmtId="0" fontId="7" fillId="2" borderId="1" xfId="17" applyFont="1" applyFill="1" applyBorder="1" applyAlignment="1">
      <alignment horizontal="left" vertical="center" wrapText="1"/>
    </xf>
    <xf numFmtId="0" fontId="7" fillId="2" borderId="1" xfId="17" applyFont="1" applyFill="1" applyBorder="1" applyAlignment="1">
      <alignment horizontal="center" vertical="center" wrapText="1"/>
    </xf>
    <xf numFmtId="0" fontId="7" fillId="2" borderId="1" xfId="17" applyFont="1" applyFill="1" applyBorder="1" applyAlignment="1">
      <alignment horizontal="right" vertical="center" wrapText="1"/>
    </xf>
    <xf numFmtId="0" fontId="7" fillId="2" borderId="1" xfId="17" applyFont="1" applyFill="1" applyBorder="1" applyAlignment="1">
      <alignment vertical="center" wrapText="1"/>
    </xf>
    <xf numFmtId="0" fontId="7" fillId="2" borderId="2" xfId="17" applyFont="1" applyFill="1" applyBorder="1" applyAlignment="1">
      <alignment horizontal="center" vertical="center" wrapText="1"/>
    </xf>
    <xf numFmtId="3" fontId="7" fillId="2" borderId="2" xfId="17" applyNumberFormat="1" applyFont="1" applyFill="1" applyBorder="1" applyAlignment="1">
      <alignment horizontal="right" vertical="center" wrapText="1"/>
    </xf>
    <xf numFmtId="3" fontId="7" fillId="2" borderId="6" xfId="17" applyNumberFormat="1" applyFont="1" applyFill="1" applyBorder="1" applyAlignment="1">
      <alignment horizontal="right" vertical="center" wrapText="1"/>
    </xf>
    <xf numFmtId="0" fontId="7" fillId="2" borderId="2" xfId="0" applyFont="1" applyFill="1" applyBorder="1" applyAlignment="1">
      <alignment horizontal="left" vertical="top" wrapText="1"/>
    </xf>
    <xf numFmtId="0" fontId="7" fillId="2" borderId="2" xfId="17" applyFont="1" applyFill="1" applyBorder="1" applyAlignment="1">
      <alignment horizontal="right" vertical="top" wrapText="1"/>
    </xf>
    <xf numFmtId="167" fontId="17" fillId="0" borderId="2" xfId="0" applyNumberFormat="1" applyFont="1" applyFill="1" applyBorder="1"/>
    <xf numFmtId="0" fontId="9" fillId="2" borderId="1" xfId="17" applyFont="1" applyFill="1" applyBorder="1" applyAlignment="1">
      <alignment horizontal="left" vertical="top" wrapText="1"/>
    </xf>
    <xf numFmtId="0" fontId="9" fillId="2" borderId="1" xfId="17" applyFont="1" applyFill="1" applyBorder="1" applyAlignment="1">
      <alignment horizontal="center" vertical="top" wrapText="1"/>
    </xf>
    <xf numFmtId="0" fontId="7" fillId="2" borderId="1" xfId="17" applyFont="1" applyFill="1" applyBorder="1" applyAlignment="1">
      <alignment horizontal="right" vertical="center"/>
    </xf>
    <xf numFmtId="0" fontId="7" fillId="2" borderId="5" xfId="17" applyFont="1" applyFill="1" applyBorder="1" applyAlignment="1">
      <alignment horizontal="right" vertical="center"/>
    </xf>
    <xf numFmtId="166" fontId="7" fillId="2" borderId="2" xfId="17" applyNumberFormat="1" applyFont="1" applyFill="1" applyBorder="1" applyAlignment="1">
      <alignment horizontal="right" vertical="center" wrapText="1"/>
    </xf>
    <xf numFmtId="0" fontId="7" fillId="2" borderId="6" xfId="17" applyFont="1" applyFill="1" applyBorder="1" applyAlignment="1">
      <alignment horizontal="right" vertical="center" wrapText="1"/>
    </xf>
    <xf numFmtId="0" fontId="7" fillId="2" borderId="0" xfId="0" applyFont="1" applyFill="1" applyAlignment="1">
      <alignment horizontal="center"/>
    </xf>
    <xf numFmtId="0" fontId="7" fillId="2" borderId="3" xfId="17" applyFont="1" applyFill="1" applyBorder="1" applyAlignment="1">
      <alignment horizontal="right" vertical="center" wrapText="1"/>
    </xf>
    <xf numFmtId="0" fontId="9" fillId="2" borderId="2" xfId="0" applyFont="1" applyFill="1" applyBorder="1" applyAlignment="1">
      <alignment horizontal="center"/>
    </xf>
    <xf numFmtId="0" fontId="9" fillId="2" borderId="3" xfId="17" applyFont="1" applyFill="1" applyBorder="1" applyAlignment="1">
      <alignment horizontal="left" vertical="top" wrapText="1"/>
    </xf>
    <xf numFmtId="0" fontId="7" fillId="2" borderId="4" xfId="17" applyFont="1" applyFill="1" applyBorder="1" applyAlignment="1">
      <alignment horizontal="left" vertical="top" wrapText="1"/>
    </xf>
    <xf numFmtId="0" fontId="7" fillId="2" borderId="4" xfId="17" applyFont="1" applyFill="1" applyBorder="1" applyAlignment="1">
      <alignment horizontal="center" vertical="top" wrapText="1"/>
    </xf>
    <xf numFmtId="0" fontId="7" fillId="2" borderId="4" xfId="17" applyFont="1" applyFill="1" applyBorder="1" applyAlignment="1">
      <alignment horizontal="right" vertical="top" wrapText="1"/>
    </xf>
    <xf numFmtId="4" fontId="7" fillId="2" borderId="1" xfId="17" applyNumberFormat="1" applyFont="1" applyFill="1" applyBorder="1" applyAlignment="1">
      <alignment horizontal="left" vertical="top" wrapText="1"/>
    </xf>
    <xf numFmtId="167" fontId="17" fillId="2" borderId="12" xfId="0" applyNumberFormat="1" applyFont="1" applyFill="1" applyBorder="1" applyAlignment="1">
      <alignment horizontal="center" vertical="center"/>
    </xf>
    <xf numFmtId="1" fontId="7" fillId="2" borderId="1" xfId="9" applyNumberFormat="1" applyFont="1" applyFill="1" applyBorder="1" applyAlignment="1">
      <alignment horizontal="center" vertical="center" wrapText="1"/>
    </xf>
    <xf numFmtId="167" fontId="17" fillId="0" borderId="2" xfId="0" applyNumberFormat="1" applyFont="1" applyBorder="1" applyAlignment="1">
      <alignment vertical="center"/>
    </xf>
    <xf numFmtId="168" fontId="11" fillId="0" borderId="2" xfId="0" applyNumberFormat="1" applyFont="1" applyBorder="1" applyAlignment="1">
      <alignment vertical="center"/>
    </xf>
    <xf numFmtId="0" fontId="7" fillId="2" borderId="2" xfId="17" applyFont="1" applyFill="1" applyBorder="1" applyAlignment="1">
      <alignment horizontal="center" vertical="top" wrapText="1"/>
    </xf>
    <xf numFmtId="0" fontId="7" fillId="0" borderId="2" xfId="17" applyFont="1" applyFill="1" applyBorder="1" applyAlignment="1">
      <alignment horizontal="left" vertical="center" wrapText="1"/>
    </xf>
    <xf numFmtId="0" fontId="7" fillId="0" borderId="2" xfId="17" applyFont="1" applyFill="1" applyBorder="1" applyAlignment="1">
      <alignment horizontal="center" vertical="center" wrapText="1"/>
    </xf>
    <xf numFmtId="0" fontId="7" fillId="0" borderId="2" xfId="17" applyNumberFormat="1" applyFont="1" applyFill="1" applyBorder="1" applyAlignment="1">
      <alignment horizontal="center" vertical="center" wrapText="1"/>
    </xf>
    <xf numFmtId="0" fontId="7" fillId="0" borderId="2" xfId="17" applyFont="1" applyFill="1" applyBorder="1" applyAlignment="1">
      <alignment horizontal="left" vertical="top" wrapText="1"/>
    </xf>
    <xf numFmtId="1" fontId="7" fillId="0" borderId="2" xfId="17" applyNumberFormat="1" applyFont="1" applyFill="1" applyBorder="1" applyAlignment="1">
      <alignment horizontal="center" vertical="center" wrapText="1"/>
    </xf>
    <xf numFmtId="0" fontId="7" fillId="0" borderId="2" xfId="0" applyFont="1" applyFill="1" applyBorder="1" applyAlignment="1">
      <alignment horizontal="left" vertical="top" wrapText="1"/>
    </xf>
    <xf numFmtId="3" fontId="7" fillId="0" borderId="2" xfId="17" applyNumberFormat="1" applyFont="1" applyFill="1" applyBorder="1" applyAlignment="1">
      <alignment horizontal="center" vertical="center" wrapText="1"/>
    </xf>
    <xf numFmtId="166" fontId="7" fillId="2" borderId="2" xfId="17" applyNumberFormat="1" applyFont="1" applyFill="1" applyBorder="1" applyAlignment="1">
      <alignment horizontal="center" vertical="center" wrapText="1"/>
    </xf>
    <xf numFmtId="3" fontId="7" fillId="2" borderId="2" xfId="17" applyNumberFormat="1" applyFont="1" applyFill="1" applyBorder="1" applyAlignment="1">
      <alignment horizontal="center" vertical="center" wrapText="1"/>
    </xf>
    <xf numFmtId="9" fontId="7" fillId="2" borderId="2" xfId="17" applyNumberFormat="1" applyFont="1" applyFill="1" applyBorder="1" applyAlignment="1">
      <alignment horizontal="left" vertical="center" wrapText="1"/>
    </xf>
    <xf numFmtId="0" fontId="7" fillId="2" borderId="2" xfId="17" applyFont="1" applyFill="1" applyBorder="1" applyAlignment="1">
      <alignment horizontal="center"/>
    </xf>
    <xf numFmtId="9" fontId="7" fillId="2" borderId="2" xfId="17" applyNumberFormat="1" applyFont="1" applyFill="1" applyBorder="1" applyAlignment="1">
      <alignment horizontal="right" vertical="center" wrapText="1"/>
    </xf>
    <xf numFmtId="9" fontId="7" fillId="2" borderId="2" xfId="17" applyNumberFormat="1" applyFont="1" applyFill="1" applyBorder="1" applyAlignment="1">
      <alignment horizontal="right" vertical="top" wrapText="1"/>
    </xf>
    <xf numFmtId="9" fontId="7" fillId="2" borderId="2" xfId="17" applyNumberFormat="1" applyFont="1" applyFill="1" applyBorder="1" applyAlignment="1">
      <alignment horizontal="center" wrapText="1"/>
    </xf>
    <xf numFmtId="9" fontId="7" fillId="2" borderId="2" xfId="17" applyNumberFormat="1" applyFont="1" applyFill="1" applyBorder="1" applyAlignment="1">
      <alignment horizontal="center" vertical="center" wrapText="1"/>
    </xf>
    <xf numFmtId="0" fontId="7" fillId="2" borderId="2" xfId="17" applyFont="1" applyFill="1" applyBorder="1" applyAlignment="1">
      <alignment horizontal="center" vertical="center"/>
    </xf>
    <xf numFmtId="9" fontId="7" fillId="2" borderId="2" xfId="17" applyNumberFormat="1" applyFont="1" applyFill="1" applyBorder="1" applyAlignment="1">
      <alignment horizontal="center" vertical="top" wrapText="1"/>
    </xf>
    <xf numFmtId="49" fontId="7" fillId="2" borderId="2" xfId="17" applyNumberFormat="1" applyFont="1" applyFill="1" applyBorder="1" applyAlignment="1">
      <alignment horizontal="center" vertical="center" wrapText="1"/>
    </xf>
    <xf numFmtId="164" fontId="4" fillId="4" borderId="1" xfId="17" applyNumberFormat="1" applyFont="1" applyFill="1" applyBorder="1" applyAlignment="1">
      <alignment vertical="top" wrapText="1"/>
    </xf>
    <xf numFmtId="164" fontId="4" fillId="4" borderId="1" xfId="17" applyNumberFormat="1" applyFont="1" applyFill="1" applyBorder="1" applyAlignment="1">
      <alignment horizontal="center" vertical="top" wrapText="1"/>
    </xf>
    <xf numFmtId="164" fontId="4" fillId="4" borderId="1" xfId="17" applyNumberFormat="1" applyFont="1" applyFill="1" applyBorder="1" applyAlignment="1">
      <alignment horizontal="center" vertical="center" wrapText="1"/>
    </xf>
    <xf numFmtId="164" fontId="4" fillId="4" borderId="1" xfId="17" applyNumberFormat="1" applyFont="1" applyFill="1" applyBorder="1" applyAlignment="1">
      <alignment horizontal="center" vertical="center"/>
    </xf>
    <xf numFmtId="164" fontId="4" fillId="4" borderId="5" xfId="17" applyNumberFormat="1" applyFont="1" applyFill="1" applyBorder="1" applyAlignment="1">
      <alignment horizontal="center" vertical="center"/>
    </xf>
    <xf numFmtId="0" fontId="4" fillId="0" borderId="2" xfId="0" applyFont="1" applyBorder="1" applyAlignment="1">
      <alignment vertical="top" wrapText="1"/>
    </xf>
    <xf numFmtId="0" fontId="4" fillId="0" borderId="2" xfId="17" applyFont="1" applyFill="1" applyBorder="1" applyAlignment="1">
      <alignment horizontal="center" vertical="center" wrapText="1"/>
    </xf>
    <xf numFmtId="0" fontId="4" fillId="0" borderId="2" xfId="17" applyFont="1" applyFill="1" applyBorder="1" applyAlignment="1">
      <alignment horizontal="center" vertical="center"/>
    </xf>
    <xf numFmtId="0" fontId="4" fillId="0" borderId="2" xfId="13"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2" xfId="0" applyFont="1" applyFill="1" applyBorder="1" applyAlignment="1">
      <alignment vertical="top" wrapText="1"/>
    </xf>
    <xf numFmtId="0" fontId="4" fillId="0" borderId="1" xfId="0" applyFont="1" applyFill="1" applyBorder="1" applyAlignment="1">
      <alignment horizontal="center" wrapText="1"/>
    </xf>
    <xf numFmtId="0" fontId="4" fillId="0" borderId="2" xfId="0" applyFont="1" applyFill="1" applyBorder="1" applyAlignment="1">
      <alignment horizontal="center" vertical="top" wrapText="1"/>
    </xf>
    <xf numFmtId="0" fontId="4" fillId="0" borderId="2" xfId="0" applyFont="1" applyFill="1" applyBorder="1" applyAlignment="1">
      <alignment horizontal="center" vertical="top"/>
    </xf>
    <xf numFmtId="49" fontId="4" fillId="0" borderId="2" xfId="0" applyNumberFormat="1"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top"/>
    </xf>
    <xf numFmtId="0" fontId="4" fillId="0" borderId="4" xfId="0" applyFont="1" applyFill="1" applyBorder="1" applyAlignment="1">
      <alignment vertical="top" wrapText="1"/>
    </xf>
    <xf numFmtId="0" fontId="4" fillId="0" borderId="4" xfId="0" applyFont="1" applyFill="1" applyBorder="1" applyAlignment="1">
      <alignment horizontal="center" vertical="top" wrapText="1"/>
    </xf>
    <xf numFmtId="0" fontId="4" fillId="0" borderId="4" xfId="0" applyFont="1" applyFill="1" applyBorder="1" applyAlignment="1">
      <alignment horizontal="center" vertical="top"/>
    </xf>
    <xf numFmtId="0" fontId="4" fillId="0" borderId="2" xfId="0" applyFont="1" applyFill="1" applyBorder="1" applyAlignment="1">
      <alignment horizontal="center" wrapText="1"/>
    </xf>
    <xf numFmtId="0" fontId="4" fillId="0" borderId="1" xfId="0" applyFont="1" applyFill="1" applyBorder="1" applyAlignment="1">
      <alignment horizontal="center"/>
    </xf>
    <xf numFmtId="0" fontId="4" fillId="0" borderId="4" xfId="0" applyFont="1" applyFill="1" applyBorder="1" applyAlignment="1">
      <alignment horizontal="left" vertical="top" wrapText="1"/>
    </xf>
    <xf numFmtId="0" fontId="4" fillId="0" borderId="4" xfId="0" applyFont="1" applyFill="1" applyBorder="1" applyAlignment="1">
      <alignment horizontal="center" wrapText="1"/>
    </xf>
    <xf numFmtId="0" fontId="4" fillId="0" borderId="4" xfId="0" applyFont="1" applyFill="1" applyBorder="1" applyAlignment="1">
      <alignment horizontal="center"/>
    </xf>
    <xf numFmtId="0" fontId="4" fillId="0" borderId="6" xfId="0" applyFont="1" applyFill="1" applyBorder="1" applyAlignment="1">
      <alignment horizontal="center" wrapText="1"/>
    </xf>
    <xf numFmtId="180" fontId="4" fillId="0" borderId="2" xfId="0" applyNumberFormat="1" applyFont="1" applyFill="1" applyBorder="1" applyAlignment="1">
      <alignment horizontal="center"/>
    </xf>
    <xf numFmtId="180" fontId="4" fillId="0" borderId="6" xfId="0" applyNumberFormat="1" applyFont="1" applyFill="1" applyBorder="1" applyAlignment="1">
      <alignment horizontal="center"/>
    </xf>
    <xf numFmtId="164" fontId="4" fillId="4" borderId="6" xfId="0" applyNumberFormat="1" applyFont="1" applyFill="1" applyBorder="1" applyAlignment="1">
      <alignment horizontal="center"/>
    </xf>
    <xf numFmtId="0" fontId="4" fillId="0" borderId="2" xfId="0" applyFont="1" applyFill="1" applyBorder="1" applyAlignment="1">
      <alignment horizontal="right" vertical="center"/>
    </xf>
    <xf numFmtId="164" fontId="4" fillId="0" borderId="11" xfId="0" applyNumberFormat="1" applyFont="1" applyFill="1" applyBorder="1" applyAlignment="1">
      <alignment horizontal="left" wrapText="1"/>
    </xf>
    <xf numFmtId="0" fontId="4" fillId="0" borderId="2" xfId="0" applyFont="1" applyFill="1" applyBorder="1" applyAlignment="1">
      <alignment horizontal="left" vertical="center"/>
    </xf>
    <xf numFmtId="0" fontId="4" fillId="0" borderId="3" xfId="0" applyFont="1" applyFill="1" applyBorder="1" applyAlignment="1">
      <alignment vertical="center" wrapText="1"/>
    </xf>
    <xf numFmtId="10" fontId="4" fillId="2" borderId="2" xfId="2" applyNumberFormat="1" applyFont="1" applyFill="1" applyBorder="1" applyAlignment="1">
      <alignment horizontal="center" vertical="center" wrapText="1"/>
    </xf>
    <xf numFmtId="9" fontId="4" fillId="2" borderId="2" xfId="0" applyNumberFormat="1" applyFont="1" applyFill="1" applyBorder="1" applyAlignment="1">
      <alignment horizontal="center" vertical="center" wrapText="1"/>
    </xf>
    <xf numFmtId="175" fontId="4" fillId="2" borderId="2" xfId="0" applyNumberFormat="1" applyFont="1" applyFill="1" applyBorder="1" applyAlignment="1">
      <alignment horizontal="center" vertical="center" wrapText="1"/>
    </xf>
    <xf numFmtId="10" fontId="4" fillId="2" borderId="2" xfId="2" applyNumberFormat="1" applyFont="1" applyFill="1" applyBorder="1" applyAlignment="1">
      <alignment horizontal="center" vertical="center"/>
    </xf>
    <xf numFmtId="0" fontId="4" fillId="2" borderId="2" xfId="0" applyFont="1" applyFill="1" applyBorder="1" applyAlignment="1">
      <alignment horizontal="center"/>
    </xf>
    <xf numFmtId="0" fontId="4" fillId="0" borderId="0" xfId="0" applyFont="1" applyFill="1"/>
    <xf numFmtId="0" fontId="4" fillId="2" borderId="2" xfId="0" applyFont="1" applyFill="1" applyBorder="1" applyAlignment="1">
      <alignment horizontal="center" vertical="top" wrapText="1"/>
    </xf>
    <xf numFmtId="164" fontId="4" fillId="4" borderId="2" xfId="0" applyNumberFormat="1" applyFont="1" applyFill="1" applyBorder="1" applyAlignment="1">
      <alignment vertical="center" wrapText="1"/>
    </xf>
    <xf numFmtId="164" fontId="4" fillId="3" borderId="11" xfId="0" applyNumberFormat="1" applyFont="1" applyFill="1" applyBorder="1" applyAlignment="1"/>
    <xf numFmtId="164" fontId="4" fillId="3" borderId="0" xfId="0" applyNumberFormat="1" applyFont="1" applyFill="1" applyAlignment="1">
      <alignment horizontal="center"/>
    </xf>
    <xf numFmtId="164" fontId="4" fillId="2" borderId="11" xfId="0" applyNumberFormat="1" applyFont="1" applyFill="1" applyBorder="1" applyAlignment="1"/>
    <xf numFmtId="0" fontId="4" fillId="2" borderId="3" xfId="0" applyFont="1" applyFill="1" applyBorder="1" applyAlignment="1">
      <alignment horizontal="right" vertical="center"/>
    </xf>
    <xf numFmtId="167" fontId="4" fillId="0" borderId="20" xfId="0" applyNumberFormat="1" applyFont="1" applyBorder="1" applyAlignment="1">
      <alignment horizontal="right" vertical="center"/>
    </xf>
    <xf numFmtId="167" fontId="4" fillId="0" borderId="21" xfId="0" applyNumberFormat="1" applyFont="1" applyBorder="1" applyAlignment="1">
      <alignment horizontal="right" vertical="center"/>
    </xf>
    <xf numFmtId="49" fontId="4" fillId="2" borderId="2" xfId="0" applyNumberFormat="1" applyFont="1" applyFill="1" applyBorder="1" applyAlignment="1">
      <alignment vertical="center"/>
    </xf>
    <xf numFmtId="0" fontId="4" fillId="2" borderId="2" xfId="0" applyFont="1" applyFill="1" applyBorder="1" applyAlignment="1">
      <alignment horizontal="center" vertical="center"/>
    </xf>
    <xf numFmtId="10" fontId="4" fillId="2" borderId="2" xfId="0" applyNumberFormat="1" applyFont="1" applyFill="1" applyBorder="1" applyAlignment="1">
      <alignment horizontal="center" vertical="center"/>
    </xf>
    <xf numFmtId="164" fontId="4" fillId="0" borderId="14" xfId="0" applyNumberFormat="1" applyFont="1" applyBorder="1" applyAlignment="1">
      <alignment horizontal="center" vertical="center" wrapText="1"/>
    </xf>
    <xf numFmtId="164" fontId="4" fillId="3" borderId="18" xfId="0" applyNumberFormat="1" applyFont="1" applyFill="1" applyBorder="1" applyAlignment="1">
      <alignment horizontal="left" vertical="center" wrapText="1"/>
    </xf>
    <xf numFmtId="0" fontId="7" fillId="2" borderId="2" xfId="0" applyFont="1" applyFill="1" applyBorder="1" applyAlignment="1">
      <alignment vertical="top" wrapText="1"/>
    </xf>
    <xf numFmtId="0" fontId="9" fillId="2" borderId="2" xfId="0" applyFont="1" applyFill="1" applyBorder="1" applyAlignment="1">
      <alignment horizontal="center" vertical="center" wrapText="1"/>
    </xf>
    <xf numFmtId="0" fontId="7" fillId="2" borderId="2" xfId="0" applyFont="1" applyFill="1" applyBorder="1" applyAlignment="1">
      <alignment horizontal="center"/>
    </xf>
    <xf numFmtId="2" fontId="7" fillId="2" borderId="2" xfId="0" applyNumberFormat="1" applyFont="1" applyFill="1" applyBorder="1" applyAlignment="1">
      <alignment horizontal="center" vertical="center" wrapText="1"/>
    </xf>
    <xf numFmtId="169" fontId="7" fillId="2" borderId="2" xfId="0" applyNumberFormat="1" applyFont="1" applyFill="1" applyBorder="1" applyAlignment="1">
      <alignment horizontal="center" vertical="center" wrapText="1"/>
    </xf>
    <xf numFmtId="0" fontId="7" fillId="2" borderId="2" xfId="0" applyFont="1" applyFill="1" applyBorder="1" applyAlignment="1">
      <alignment horizontal="right" vertical="center" wrapText="1"/>
    </xf>
    <xf numFmtId="169" fontId="7" fillId="2" borderId="2" xfId="0" applyNumberFormat="1" applyFont="1" applyFill="1" applyBorder="1" applyAlignment="1">
      <alignment vertical="center" wrapText="1"/>
    </xf>
    <xf numFmtId="169" fontId="7" fillId="2" borderId="2" xfId="0" applyNumberFormat="1" applyFont="1" applyFill="1" applyBorder="1" applyAlignment="1">
      <alignment horizontal="right" vertical="center" wrapText="1"/>
    </xf>
    <xf numFmtId="169" fontId="7" fillId="2" borderId="2" xfId="0" applyNumberFormat="1" applyFont="1" applyFill="1" applyBorder="1" applyAlignment="1">
      <alignment horizontal="center"/>
    </xf>
    <xf numFmtId="1" fontId="7" fillId="2" borderId="4" xfId="0" applyNumberFormat="1" applyFont="1" applyFill="1" applyBorder="1" applyAlignment="1">
      <alignment horizontal="center" vertical="center" wrapText="1"/>
    </xf>
    <xf numFmtId="166" fontId="4" fillId="2" borderId="2" xfId="0" applyNumberFormat="1"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2" borderId="0" xfId="0" applyFont="1" applyFill="1"/>
    <xf numFmtId="49" fontId="7" fillId="2" borderId="2" xfId="0" applyNumberFormat="1" applyFont="1" applyFill="1" applyBorder="1" applyAlignment="1">
      <alignment vertical="center"/>
    </xf>
    <xf numFmtId="0" fontId="22" fillId="2" borderId="2" xfId="0" applyFont="1" applyFill="1" applyBorder="1" applyAlignment="1">
      <alignment vertical="center" wrapText="1"/>
    </xf>
    <xf numFmtId="0" fontId="22" fillId="2" borderId="2" xfId="0" applyFont="1" applyFill="1" applyBorder="1" applyAlignment="1">
      <alignment horizontal="center" vertical="center"/>
    </xf>
    <xf numFmtId="169" fontId="7"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11" fillId="2" borderId="2" xfId="0" applyFont="1" applyFill="1" applyBorder="1" applyAlignment="1">
      <alignment horizontal="left" vertical="center" wrapText="1"/>
    </xf>
    <xf numFmtId="0" fontId="11" fillId="2" borderId="2" xfId="0" applyFont="1" applyFill="1" applyBorder="1" applyAlignment="1">
      <alignment vertical="center" wrapText="1"/>
    </xf>
    <xf numFmtId="166" fontId="7" fillId="2" borderId="2" xfId="0" applyNumberFormat="1" applyFont="1" applyFill="1" applyBorder="1" applyAlignment="1">
      <alignment horizontal="left" vertical="center" wrapText="1"/>
    </xf>
    <xf numFmtId="0" fontId="4" fillId="2" borderId="14" xfId="0" applyFont="1" applyFill="1" applyBorder="1" applyAlignment="1">
      <alignment horizontal="left" vertical="center" wrapText="1"/>
    </xf>
    <xf numFmtId="0" fontId="7" fillId="0" borderId="2" xfId="0" applyFont="1" applyBorder="1" applyAlignment="1">
      <alignment horizontal="center" vertical="center"/>
    </xf>
    <xf numFmtId="170" fontId="4" fillId="2" borderId="4" xfId="0" applyNumberFormat="1" applyFont="1" applyFill="1" applyBorder="1" applyAlignment="1">
      <alignment horizontal="left" vertical="center" wrapText="1"/>
    </xf>
    <xf numFmtId="49" fontId="4" fillId="2" borderId="4" xfId="0" applyNumberFormat="1" applyFont="1" applyFill="1" applyBorder="1" applyAlignment="1">
      <alignment vertical="center"/>
    </xf>
    <xf numFmtId="170" fontId="4" fillId="2" borderId="4" xfId="0" applyNumberFormat="1" applyFont="1" applyFill="1" applyBorder="1" applyAlignment="1">
      <alignment horizontal="center" vertical="center" wrapText="1"/>
    </xf>
    <xf numFmtId="3" fontId="4" fillId="2" borderId="23" xfId="0" applyNumberFormat="1" applyFont="1" applyFill="1" applyBorder="1" applyAlignment="1">
      <alignment horizontal="center" vertical="center" wrapText="1"/>
    </xf>
    <xf numFmtId="164" fontId="4" fillId="0" borderId="6" xfId="0" applyNumberFormat="1" applyFont="1" applyBorder="1" applyAlignment="1">
      <alignment horizontal="center" vertical="center" wrapText="1"/>
    </xf>
    <xf numFmtId="0" fontId="4" fillId="0" borderId="0" xfId="0" applyFont="1"/>
    <xf numFmtId="3" fontId="4" fillId="2" borderId="2" xfId="21" applyNumberFormat="1" applyFont="1" applyFill="1" applyBorder="1" applyAlignment="1">
      <alignment horizontal="center" vertical="center" wrapText="1"/>
    </xf>
    <xf numFmtId="1" fontId="4" fillId="2" borderId="2" xfId="21" applyNumberFormat="1" applyFont="1" applyFill="1" applyBorder="1" applyAlignment="1">
      <alignment horizontal="center" vertical="center" wrapText="1"/>
    </xf>
    <xf numFmtId="170" fontId="4" fillId="0" borderId="2" xfId="0" applyNumberFormat="1" applyFont="1" applyFill="1" applyBorder="1" applyAlignment="1">
      <alignment horizontal="center"/>
    </xf>
    <xf numFmtId="3" fontId="4" fillId="2" borderId="25" xfId="0" applyNumberFormat="1" applyFont="1" applyFill="1" applyBorder="1" applyAlignment="1">
      <alignment horizontal="center" vertical="center" wrapText="1"/>
    </xf>
    <xf numFmtId="166" fontId="4" fillId="2" borderId="25" xfId="0" applyNumberFormat="1" applyFont="1" applyFill="1" applyBorder="1" applyAlignment="1">
      <alignment horizontal="center" vertical="center" wrapText="1"/>
    </xf>
    <xf numFmtId="0" fontId="4" fillId="2" borderId="25" xfId="0" applyFont="1" applyFill="1" applyBorder="1" applyAlignment="1">
      <alignment horizontal="center" vertical="center"/>
    </xf>
    <xf numFmtId="0" fontId="4" fillId="4" borderId="2" xfId="0" applyFont="1" applyFill="1" applyBorder="1" applyAlignment="1">
      <alignment horizontal="left"/>
    </xf>
    <xf numFmtId="0" fontId="4" fillId="0" borderId="26" xfId="0" applyNumberFormat="1" applyFont="1" applyBorder="1" applyAlignment="1">
      <alignment horizontal="left" vertical="center"/>
    </xf>
    <xf numFmtId="49" fontId="4" fillId="2" borderId="4" xfId="9" applyNumberFormat="1" applyFont="1" applyFill="1" applyBorder="1" applyAlignment="1">
      <alignment horizontal="left" vertical="center"/>
    </xf>
    <xf numFmtId="0" fontId="4" fillId="2" borderId="4" xfId="0" applyFont="1" applyFill="1" applyBorder="1" applyAlignment="1">
      <alignment horizontal="left" vertical="center"/>
    </xf>
    <xf numFmtId="0" fontId="4" fillId="2" borderId="25" xfId="0" applyFont="1" applyFill="1" applyBorder="1" applyAlignment="1">
      <alignment horizontal="center" vertical="center" wrapText="1"/>
    </xf>
    <xf numFmtId="1" fontId="4" fillId="2" borderId="25" xfId="0" applyNumberFormat="1" applyFont="1" applyFill="1" applyBorder="1" applyAlignment="1">
      <alignment horizontal="center" vertical="center" wrapText="1"/>
    </xf>
    <xf numFmtId="0" fontId="4" fillId="2" borderId="2" xfId="21" applyFont="1" applyFill="1" applyBorder="1" applyAlignment="1">
      <alignment horizontal="center" vertical="center" wrapText="1"/>
    </xf>
    <xf numFmtId="49" fontId="4" fillId="2" borderId="2" xfId="13" applyNumberFormat="1" applyFont="1" applyFill="1" applyBorder="1" applyAlignment="1">
      <alignment horizontal="center" vertical="center" wrapText="1"/>
    </xf>
    <xf numFmtId="49" fontId="4" fillId="2" borderId="2" xfId="0" applyNumberFormat="1" applyFont="1" applyFill="1" applyBorder="1" applyAlignment="1">
      <alignment horizontal="left" vertical="center"/>
    </xf>
    <xf numFmtId="49" fontId="4" fillId="2" borderId="21" xfId="0" applyNumberFormat="1" applyFont="1" applyFill="1" applyBorder="1" applyAlignment="1">
      <alignment horizontal="left" vertical="center"/>
    </xf>
    <xf numFmtId="49" fontId="4" fillId="2" borderId="17" xfId="0" applyNumberFormat="1" applyFont="1" applyFill="1" applyBorder="1" applyAlignment="1">
      <alignment horizontal="left" vertical="center"/>
    </xf>
    <xf numFmtId="3" fontId="7" fillId="2" borderId="2" xfId="0" applyNumberFormat="1" applyFont="1" applyFill="1" applyBorder="1" applyAlignment="1">
      <alignment vertical="center" wrapText="1"/>
    </xf>
    <xf numFmtId="166" fontId="4" fillId="4" borderId="32" xfId="0" applyNumberFormat="1" applyFont="1" applyFill="1" applyBorder="1" applyAlignment="1">
      <alignment horizontal="center"/>
    </xf>
    <xf numFmtId="166" fontId="4" fillId="2" borderId="2" xfId="0" applyNumberFormat="1" applyFont="1" applyFill="1" applyBorder="1" applyAlignment="1">
      <alignment vertical="center" wrapText="1"/>
    </xf>
    <xf numFmtId="167" fontId="4" fillId="2" borderId="2" xfId="13" applyNumberFormat="1" applyFont="1" applyFill="1" applyBorder="1" applyAlignment="1">
      <alignment horizontal="center" vertical="center"/>
    </xf>
    <xf numFmtId="0" fontId="4" fillId="2" borderId="2" xfId="13" applyFont="1" applyFill="1" applyBorder="1" applyAlignment="1">
      <alignment horizontal="left" vertical="center" wrapText="1"/>
    </xf>
    <xf numFmtId="168" fontId="4" fillId="2" borderId="2" xfId="13" applyNumberFormat="1" applyFont="1" applyFill="1" applyBorder="1" applyAlignment="1">
      <alignment horizontal="center" vertical="center"/>
    </xf>
    <xf numFmtId="0" fontId="4" fillId="2" borderId="2" xfId="13" applyFont="1" applyFill="1" applyBorder="1" applyAlignment="1">
      <alignment horizontal="center"/>
    </xf>
    <xf numFmtId="173" fontId="4" fillId="2" borderId="2" xfId="18" applyNumberFormat="1" applyFont="1" applyFill="1" applyBorder="1" applyAlignment="1">
      <alignment horizontal="center" vertical="center" wrapText="1"/>
    </xf>
    <xf numFmtId="49" fontId="4" fillId="2" borderId="2" xfId="13" applyNumberFormat="1" applyFont="1" applyFill="1" applyBorder="1" applyAlignment="1">
      <alignment vertical="center"/>
    </xf>
    <xf numFmtId="0" fontId="4" fillId="0" borderId="0" xfId="0" applyFont="1" applyFill="1" applyBorder="1" applyAlignment="1">
      <alignment horizontal="left" vertical="center"/>
    </xf>
    <xf numFmtId="0" fontId="7" fillId="2" borderId="4" xfId="0" applyFont="1" applyFill="1" applyBorder="1" applyAlignment="1">
      <alignment horizontal="right" vertical="center"/>
    </xf>
    <xf numFmtId="0" fontId="7" fillId="2" borderId="4" xfId="0" applyFont="1" applyFill="1" applyBorder="1" applyAlignment="1">
      <alignment vertical="center" wrapText="1"/>
    </xf>
    <xf numFmtId="168" fontId="7" fillId="0" borderId="6" xfId="0" applyNumberFormat="1" applyFont="1" applyBorder="1" applyAlignment="1">
      <alignment horizontal="right" vertical="center"/>
    </xf>
    <xf numFmtId="0" fontId="7" fillId="2" borderId="6" xfId="6" applyFont="1" applyFill="1" applyBorder="1" applyAlignment="1">
      <alignment horizontal="left" vertical="center" wrapText="1"/>
    </xf>
    <xf numFmtId="0" fontId="7" fillId="0" borderId="2" xfId="0" applyFont="1" applyFill="1" applyBorder="1" applyAlignment="1">
      <alignment horizontal="center" vertical="center"/>
    </xf>
    <xf numFmtId="166" fontId="7" fillId="0" borderId="2"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wrapText="1"/>
    </xf>
    <xf numFmtId="0" fontId="7" fillId="0" borderId="2" xfId="0" applyFont="1" applyFill="1" applyBorder="1" applyAlignment="1">
      <alignment horizontal="center"/>
    </xf>
    <xf numFmtId="2" fontId="4" fillId="0" borderId="2" xfId="0" applyNumberFormat="1" applyFont="1" applyFill="1" applyBorder="1" applyAlignment="1">
      <alignment horizontal="center" vertical="center"/>
    </xf>
    <xf numFmtId="167" fontId="4" fillId="0" borderId="2" xfId="0" applyNumberFormat="1" applyFont="1" applyFill="1" applyBorder="1" applyAlignment="1">
      <alignment horizontal="right" vertical="center"/>
    </xf>
    <xf numFmtId="168" fontId="4" fillId="0" borderId="2" xfId="0" applyNumberFormat="1" applyFont="1" applyFill="1" applyBorder="1" applyAlignment="1">
      <alignment horizontal="right" vertical="center"/>
    </xf>
    <xf numFmtId="0" fontId="4" fillId="4" borderId="32" xfId="0" applyFont="1" applyFill="1" applyBorder="1" applyAlignment="1">
      <alignment horizontal="left"/>
    </xf>
    <xf numFmtId="167" fontId="7" fillId="0" borderId="2" xfId="0" applyNumberFormat="1" applyFont="1" applyFill="1" applyBorder="1" applyAlignment="1">
      <alignment horizontal="right" vertical="center"/>
    </xf>
    <xf numFmtId="0" fontId="4" fillId="0" borderId="1" xfId="6" applyFont="1" applyFill="1" applyBorder="1" applyAlignment="1">
      <alignment vertical="center" wrapText="1"/>
    </xf>
    <xf numFmtId="168" fontId="7" fillId="0" borderId="6" xfId="0" applyNumberFormat="1" applyFont="1" applyFill="1" applyBorder="1" applyAlignment="1">
      <alignment horizontal="right" vertical="center"/>
    </xf>
    <xf numFmtId="1" fontId="7" fillId="0" borderId="2" xfId="0" applyNumberFormat="1" applyFont="1" applyFill="1" applyBorder="1" applyAlignment="1">
      <alignment horizontal="center" vertical="center" wrapText="1"/>
    </xf>
    <xf numFmtId="0" fontId="4" fillId="6" borderId="25" xfId="14" applyFont="1" applyFill="1" applyBorder="1" applyAlignment="1">
      <alignment horizontal="center" vertical="top" wrapText="1"/>
    </xf>
    <xf numFmtId="49" fontId="7" fillId="0" borderId="2" xfId="0" applyNumberFormat="1" applyFont="1" applyFill="1" applyBorder="1" applyAlignment="1">
      <alignment vertical="center"/>
    </xf>
    <xf numFmtId="4" fontId="7" fillId="0" borderId="2" xfId="0" applyNumberFormat="1" applyFont="1" applyFill="1" applyBorder="1" applyAlignment="1">
      <alignment horizontal="center" vertical="center" wrapText="1"/>
    </xf>
    <xf numFmtId="0" fontId="4" fillId="2" borderId="25" xfId="14" applyFont="1" applyFill="1" applyBorder="1" applyAlignment="1">
      <alignment horizontal="center" vertical="center" wrapText="1"/>
    </xf>
    <xf numFmtId="0" fontId="7" fillId="0" borderId="2" xfId="0" applyFont="1" applyFill="1" applyBorder="1" applyAlignment="1">
      <alignment vertical="center"/>
    </xf>
    <xf numFmtId="3" fontId="7" fillId="0" borderId="2" xfId="0" applyNumberFormat="1" applyFont="1" applyFill="1" applyBorder="1" applyAlignment="1">
      <alignment horizontal="center" vertical="center" wrapText="1"/>
    </xf>
    <xf numFmtId="0" fontId="4" fillId="2" borderId="25" xfId="14" applyFont="1" applyFill="1" applyBorder="1" applyAlignment="1">
      <alignment horizontal="center"/>
    </xf>
    <xf numFmtId="166" fontId="4" fillId="4" borderId="2" xfId="14" applyNumberFormat="1" applyFont="1" applyFill="1" applyBorder="1" applyAlignment="1">
      <alignment horizontal="center"/>
    </xf>
    <xf numFmtId="0" fontId="3" fillId="3" borderId="25" xfId="14" applyFont="1" applyFill="1" applyBorder="1" applyAlignment="1">
      <alignment horizontal="center" vertical="center" wrapText="1"/>
    </xf>
    <xf numFmtId="164" fontId="4" fillId="0" borderId="0" xfId="0" applyNumberFormat="1" applyFont="1" applyAlignment="1">
      <alignment horizontal="center" vertical="center" wrapText="1"/>
    </xf>
    <xf numFmtId="165" fontId="4" fillId="0" borderId="0" xfId="0" applyNumberFormat="1" applyFont="1" applyAlignment="1">
      <alignment horizontal="center" vertical="center" wrapText="1"/>
    </xf>
    <xf numFmtId="165" fontId="4" fillId="0" borderId="0" xfId="0" applyNumberFormat="1" applyFont="1" applyAlignment="1">
      <alignment horizontal="center" wrapText="1"/>
    </xf>
    <xf numFmtId="164" fontId="4" fillId="0" borderId="0" xfId="0" applyNumberFormat="1" applyFont="1" applyBorder="1" applyAlignment="1">
      <alignment horizontal="center" vertical="center"/>
    </xf>
    <xf numFmtId="164" fontId="3" fillId="0" borderId="0" xfId="0" applyNumberFormat="1" applyFont="1" applyAlignment="1">
      <alignment horizontal="right"/>
    </xf>
    <xf numFmtId="0" fontId="4" fillId="2" borderId="0" xfId="0" applyFont="1" applyFill="1"/>
    <xf numFmtId="0" fontId="4" fillId="2" borderId="2" xfId="0" applyFont="1" applyFill="1" applyBorder="1" applyAlignment="1">
      <alignment wrapText="1"/>
    </xf>
    <xf numFmtId="168"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left" vertical="center" wrapText="1"/>
    </xf>
    <xf numFmtId="0" fontId="7" fillId="2" borderId="9" xfId="0" applyFont="1" applyFill="1" applyBorder="1" applyAlignment="1">
      <alignment vertical="center" wrapText="1"/>
    </xf>
    <xf numFmtId="167" fontId="7" fillId="2" borderId="2" xfId="0" applyNumberFormat="1" applyFont="1" applyFill="1" applyBorder="1" applyAlignment="1">
      <alignment horizontal="center" vertical="center"/>
    </xf>
    <xf numFmtId="166" fontId="7" fillId="2" borderId="25" xfId="0" applyNumberFormat="1" applyFont="1" applyFill="1" applyBorder="1" applyAlignment="1">
      <alignment horizontal="center" vertical="center" wrapText="1"/>
    </xf>
    <xf numFmtId="0" fontId="3" fillId="4" borderId="2" xfId="0" applyFont="1" applyFill="1" applyBorder="1" applyAlignment="1">
      <alignment horizontal="center" vertical="center" wrapText="1"/>
    </xf>
    <xf numFmtId="3" fontId="4" fillId="0" borderId="2" xfId="0" applyNumberFormat="1" applyFont="1" applyFill="1" applyBorder="1" applyAlignment="1">
      <alignment horizontal="center" vertical="center" wrapText="1"/>
    </xf>
    <xf numFmtId="49" fontId="4" fillId="0" borderId="2" xfId="0" applyNumberFormat="1" applyFont="1" applyFill="1" applyBorder="1" applyAlignment="1">
      <alignment vertical="center" wrapText="1"/>
    </xf>
    <xf numFmtId="3" fontId="4" fillId="0" borderId="2" xfId="0" applyNumberFormat="1" applyFont="1" applyBorder="1" applyAlignment="1">
      <alignment horizontal="center" vertical="center" wrapText="1"/>
    </xf>
    <xf numFmtId="9" fontId="4" fillId="0" borderId="2" xfId="0" applyNumberFormat="1" applyFont="1" applyBorder="1" applyAlignment="1">
      <alignment horizontal="center" vertical="center" wrapText="1"/>
    </xf>
    <xf numFmtId="166" fontId="4" fillId="0" borderId="2" xfId="0" applyNumberFormat="1" applyFont="1" applyBorder="1" applyAlignment="1">
      <alignment horizontal="center" vertical="center" wrapText="1"/>
    </xf>
    <xf numFmtId="169" fontId="4" fillId="0" borderId="2" xfId="0" applyNumberFormat="1" applyFont="1" applyBorder="1" applyAlignment="1">
      <alignment horizontal="center" vertical="center" wrapText="1"/>
    </xf>
    <xf numFmtId="166" fontId="4" fillId="0" borderId="2" xfId="0" applyNumberFormat="1" applyFont="1" applyFill="1" applyBorder="1" applyAlignment="1">
      <alignment horizontal="left" vertical="center" wrapText="1"/>
    </xf>
    <xf numFmtId="9" fontId="4" fillId="0" borderId="2" xfId="0" applyNumberFormat="1" applyFont="1" applyBorder="1" applyAlignment="1">
      <alignment horizontal="center" vertical="center"/>
    </xf>
    <xf numFmtId="9" fontId="4" fillId="0" borderId="2" xfId="0" applyNumberFormat="1" applyFont="1" applyFill="1" applyBorder="1" applyAlignment="1">
      <alignment horizontal="center" vertical="center" wrapText="1"/>
    </xf>
    <xf numFmtId="9" fontId="4" fillId="0" borderId="2" xfId="0" applyNumberFormat="1" applyFont="1" applyFill="1" applyBorder="1" applyAlignment="1">
      <alignment horizontal="center" vertical="center"/>
    </xf>
    <xf numFmtId="49" fontId="4" fillId="0" borderId="2" xfId="0" applyNumberFormat="1" applyFont="1" applyFill="1" applyBorder="1" applyAlignment="1">
      <alignment horizontal="center" vertical="center" wrapText="1"/>
    </xf>
    <xf numFmtId="0" fontId="4" fillId="0" borderId="0" xfId="0" applyFont="1" applyAlignment="1">
      <alignment horizontal="left"/>
    </xf>
    <xf numFmtId="9" fontId="7" fillId="2" borderId="2" xfId="23" applyFont="1" applyFill="1" applyBorder="1" applyAlignment="1">
      <alignment horizontal="center" vertical="center" wrapText="1"/>
    </xf>
    <xf numFmtId="0" fontId="9" fillId="0" borderId="2" xfId="0" applyFont="1" applyFill="1" applyBorder="1" applyAlignment="1">
      <alignment horizontal="center" vertical="center" wrapText="1"/>
    </xf>
    <xf numFmtId="0" fontId="11" fillId="0" borderId="2" xfId="0" applyFont="1" applyBorder="1" applyAlignment="1">
      <alignment vertical="center" wrapText="1"/>
    </xf>
    <xf numFmtId="0" fontId="9" fillId="2" borderId="2" xfId="0" applyFont="1" applyFill="1" applyBorder="1" applyAlignment="1">
      <alignment vertical="center" wrapText="1"/>
    </xf>
    <xf numFmtId="0" fontId="4" fillId="0" borderId="1" xfId="0" applyFont="1" applyFill="1" applyBorder="1" applyAlignment="1">
      <alignment vertical="center" wrapText="1"/>
    </xf>
    <xf numFmtId="0" fontId="9" fillId="2" borderId="53" xfId="0" applyFont="1" applyFill="1" applyBorder="1" applyAlignment="1">
      <alignment horizontal="left" vertical="center" wrapText="1"/>
    </xf>
    <xf numFmtId="0" fontId="7" fillId="2" borderId="56" xfId="0" applyFont="1" applyFill="1" applyBorder="1" applyAlignment="1">
      <alignment horizontal="center" vertical="center" wrapText="1"/>
    </xf>
    <xf numFmtId="166" fontId="11" fillId="5" borderId="2" xfId="0" applyNumberFormat="1" applyFont="1" applyFill="1" applyBorder="1" applyAlignment="1">
      <alignment vertical="center" wrapText="1"/>
    </xf>
    <xf numFmtId="0" fontId="7" fillId="0" borderId="2" xfId="0" applyFont="1" applyBorder="1" applyAlignment="1">
      <alignment vertical="center" wrapText="1"/>
    </xf>
    <xf numFmtId="0" fontId="22" fillId="0" borderId="2" xfId="0" applyFont="1" applyBorder="1" applyAlignment="1">
      <alignment vertical="center" wrapText="1"/>
    </xf>
    <xf numFmtId="0" fontId="22" fillId="0" borderId="53" xfId="0" applyFont="1" applyBorder="1" applyAlignment="1">
      <alignment vertical="center" wrapText="1"/>
    </xf>
    <xf numFmtId="0" fontId="22" fillId="0" borderId="2" xfId="0" applyFont="1" applyFill="1" applyBorder="1" applyAlignment="1">
      <alignment vertical="center" wrapText="1"/>
    </xf>
    <xf numFmtId="49" fontId="3" fillId="2" borderId="4" xfId="0" applyNumberFormat="1" applyFont="1" applyFill="1" applyBorder="1" applyAlignment="1">
      <alignment horizontal="center" vertical="top"/>
    </xf>
    <xf numFmtId="0" fontId="4" fillId="2" borderId="4" xfId="0" applyFont="1" applyFill="1" applyBorder="1" applyAlignment="1">
      <alignment vertical="top" wrapText="1"/>
    </xf>
    <xf numFmtId="0" fontId="4" fillId="2" borderId="14" xfId="0" applyFont="1" applyFill="1" applyBorder="1" applyAlignment="1">
      <alignment horizontal="center" vertical="center"/>
    </xf>
    <xf numFmtId="164" fontId="4" fillId="4" borderId="4" xfId="0" applyNumberFormat="1" applyFont="1" applyFill="1" applyBorder="1" applyAlignment="1">
      <alignment vertical="top" wrapText="1"/>
    </xf>
    <xf numFmtId="164" fontId="4" fillId="4" borderId="14" xfId="0" applyNumberFormat="1" applyFont="1" applyFill="1" applyBorder="1" applyAlignment="1">
      <alignment horizontal="center" vertical="center" wrapText="1"/>
    </xf>
    <xf numFmtId="164" fontId="4" fillId="2" borderId="58" xfId="0" applyNumberFormat="1" applyFont="1" applyFill="1" applyBorder="1" applyAlignment="1"/>
    <xf numFmtId="0" fontId="4" fillId="2" borderId="24" xfId="0" applyFont="1" applyFill="1" applyBorder="1" applyAlignment="1">
      <alignment horizontal="center" vertical="center" wrapText="1"/>
    </xf>
    <xf numFmtId="0" fontId="4" fillId="2" borderId="53" xfId="0" applyFont="1" applyFill="1" applyBorder="1" applyAlignment="1">
      <alignment horizontal="left" vertical="center" wrapText="1"/>
    </xf>
    <xf numFmtId="167" fontId="9" fillId="0" borderId="13" xfId="0" applyNumberFormat="1" applyFont="1" applyBorder="1" applyAlignment="1">
      <alignment horizontal="right" vertical="center"/>
    </xf>
    <xf numFmtId="0" fontId="9" fillId="2" borderId="4" xfId="0" applyFont="1" applyFill="1" applyBorder="1" applyAlignment="1">
      <alignment horizontal="right" vertical="center"/>
    </xf>
    <xf numFmtId="0" fontId="7" fillId="2" borderId="3" xfId="0" applyFont="1" applyFill="1" applyBorder="1" applyAlignment="1">
      <alignment vertical="center" wrapText="1"/>
    </xf>
    <xf numFmtId="167" fontId="3" fillId="2" borderId="2" xfId="0" applyNumberFormat="1" applyFont="1" applyFill="1" applyBorder="1" applyAlignment="1">
      <alignment horizontal="center" vertical="center"/>
    </xf>
    <xf numFmtId="0" fontId="3" fillId="2" borderId="2" xfId="0" applyFont="1" applyFill="1" applyBorder="1" applyAlignment="1">
      <alignment horizontal="right" vertical="center"/>
    </xf>
    <xf numFmtId="167" fontId="4" fillId="2" borderId="2" xfId="0" applyNumberFormat="1" applyFont="1" applyFill="1" applyBorder="1" applyAlignment="1">
      <alignment horizontal="center" vertical="center"/>
    </xf>
    <xf numFmtId="0" fontId="7" fillId="4" borderId="2" xfId="0" applyFont="1" applyFill="1" applyBorder="1" applyAlignment="1">
      <alignment horizontal="left"/>
    </xf>
    <xf numFmtId="0" fontId="17" fillId="5" borderId="4" xfId="0" applyFont="1" applyFill="1" applyBorder="1" applyAlignment="1">
      <alignment vertical="center" wrapText="1"/>
    </xf>
    <xf numFmtId="167" fontId="17" fillId="0" borderId="53" xfId="0" applyNumberFormat="1" applyFont="1" applyBorder="1" applyAlignment="1">
      <alignment horizontal="right" vertical="center"/>
    </xf>
    <xf numFmtId="168" fontId="11" fillId="0" borderId="53" xfId="0" applyNumberFormat="1" applyFont="1" applyBorder="1" applyAlignment="1">
      <alignment horizontal="right" vertical="center"/>
    </xf>
    <xf numFmtId="0" fontId="11" fillId="5" borderId="53" xfId="6" applyFont="1" applyFill="1" applyBorder="1" applyAlignment="1">
      <alignment vertical="center" wrapText="1"/>
    </xf>
    <xf numFmtId="0" fontId="17" fillId="5" borderId="2" xfId="0" applyFont="1" applyFill="1" applyBorder="1" applyAlignment="1">
      <alignment vertical="center" wrapText="1"/>
    </xf>
    <xf numFmtId="49" fontId="17" fillId="5" borderId="53" xfId="0" applyNumberFormat="1" applyFont="1" applyFill="1" applyBorder="1" applyAlignment="1">
      <alignment vertical="center"/>
    </xf>
    <xf numFmtId="49" fontId="11" fillId="5" borderId="53" xfId="0" applyNumberFormat="1" applyFont="1" applyFill="1" applyBorder="1" applyAlignment="1">
      <alignment vertical="center"/>
    </xf>
    <xf numFmtId="0" fontId="11" fillId="5" borderId="53" xfId="0" applyFont="1" applyFill="1" applyBorder="1" applyAlignment="1">
      <alignment vertical="center" wrapText="1"/>
    </xf>
    <xf numFmtId="3" fontId="11" fillId="5" borderId="2" xfId="0" applyNumberFormat="1" applyFont="1" applyFill="1" applyBorder="1" applyAlignment="1">
      <alignment vertical="center" wrapText="1"/>
    </xf>
    <xf numFmtId="0" fontId="11" fillId="5" borderId="2" xfId="0" applyFont="1" applyFill="1" applyBorder="1"/>
    <xf numFmtId="0" fontId="3" fillId="4" borderId="33" xfId="0" applyFont="1" applyFill="1" applyBorder="1" applyAlignment="1">
      <alignment horizontal="left"/>
    </xf>
    <xf numFmtId="0" fontId="11" fillId="2" borderId="2" xfId="6" applyFont="1" applyFill="1" applyBorder="1" applyAlignment="1">
      <alignment horizontal="left" vertical="center" wrapText="1"/>
    </xf>
    <xf numFmtId="0" fontId="11" fillId="2" borderId="2" xfId="6" applyFont="1" applyFill="1" applyBorder="1" applyAlignment="1">
      <alignment vertical="center" wrapText="1"/>
    </xf>
    <xf numFmtId="0" fontId="7" fillId="2" borderId="56" xfId="6" applyFont="1" applyFill="1" applyBorder="1" applyAlignment="1">
      <alignment vertical="center" wrapText="1"/>
    </xf>
    <xf numFmtId="0" fontId="7" fillId="2" borderId="53" xfId="0" applyFont="1" applyFill="1" applyBorder="1" applyAlignment="1">
      <alignment vertical="center" wrapText="1"/>
    </xf>
    <xf numFmtId="0" fontId="7" fillId="2" borderId="53" xfId="0" applyFont="1" applyFill="1" applyBorder="1" applyAlignment="1">
      <alignment horizontal="left" vertical="center" wrapText="1"/>
    </xf>
    <xf numFmtId="0" fontId="7" fillId="2" borderId="2" xfId="13" applyFont="1" applyFill="1" applyBorder="1" applyAlignment="1">
      <alignment vertical="center" wrapText="1"/>
    </xf>
    <xf numFmtId="0" fontId="7" fillId="2" borderId="2" xfId="13" applyFont="1" applyFill="1" applyBorder="1" applyAlignment="1">
      <alignment horizontal="left" vertical="center" wrapText="1"/>
    </xf>
    <xf numFmtId="0" fontId="7" fillId="2" borderId="0" xfId="13" applyFont="1" applyFill="1" applyBorder="1" applyAlignment="1">
      <alignment horizontal="left" vertical="center" wrapText="1"/>
    </xf>
    <xf numFmtId="0" fontId="4" fillId="2" borderId="53" xfId="0" applyFont="1" applyFill="1" applyBorder="1" applyAlignment="1">
      <alignment vertical="center" wrapText="1"/>
    </xf>
    <xf numFmtId="164" fontId="4" fillId="2" borderId="0" xfId="0" applyNumberFormat="1" applyFont="1" applyFill="1" applyAlignment="1">
      <alignment horizontal="center"/>
    </xf>
    <xf numFmtId="0" fontId="9" fillId="2" borderId="2" xfId="0" applyFont="1" applyFill="1" applyBorder="1" applyAlignment="1">
      <alignment horizontal="center" vertical="center"/>
    </xf>
    <xf numFmtId="176" fontId="4" fillId="2" borderId="2" xfId="0" applyNumberFormat="1" applyFont="1" applyFill="1" applyBorder="1" applyAlignment="1">
      <alignment vertical="center" wrapText="1"/>
    </xf>
    <xf numFmtId="0" fontId="7" fillId="2" borderId="2" xfId="0" applyFont="1" applyFill="1" applyBorder="1" applyAlignment="1">
      <alignment vertical="center"/>
    </xf>
    <xf numFmtId="0" fontId="9" fillId="2" borderId="56" xfId="0" applyFont="1" applyFill="1" applyBorder="1" applyAlignment="1">
      <alignment horizontal="center" vertical="center" wrapText="1"/>
    </xf>
    <xf numFmtId="167" fontId="4" fillId="0" borderId="1" xfId="4" applyNumberFormat="1" applyFont="1" applyFill="1" applyBorder="1" applyAlignment="1">
      <alignment horizontal="center" vertical="center"/>
    </xf>
    <xf numFmtId="167" fontId="4" fillId="0" borderId="4" xfId="4" applyNumberFormat="1" applyFont="1" applyFill="1" applyBorder="1" applyAlignment="1">
      <alignment horizontal="center" vertical="center"/>
    </xf>
    <xf numFmtId="168" fontId="4" fillId="0" borderId="1" xfId="4" applyNumberFormat="1" applyFont="1" applyFill="1" applyBorder="1" applyAlignment="1">
      <alignment horizontal="center" vertical="center"/>
    </xf>
    <xf numFmtId="49" fontId="4" fillId="0" borderId="1" xfId="4" applyNumberFormat="1" applyFont="1" applyFill="1" applyBorder="1" applyAlignment="1">
      <alignment horizontal="center" vertical="center"/>
    </xf>
    <xf numFmtId="164" fontId="3" fillId="3" borderId="2" xfId="0" applyNumberFormat="1" applyFont="1" applyFill="1" applyBorder="1" applyAlignment="1">
      <alignment horizontal="left" vertical="center" wrapText="1"/>
    </xf>
    <xf numFmtId="0" fontId="4" fillId="0" borderId="4" xfId="4" applyFont="1" applyFill="1" applyBorder="1" applyAlignment="1">
      <alignment horizontal="center" vertical="center"/>
    </xf>
    <xf numFmtId="168" fontId="4" fillId="0" borderId="2"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4" xfId="0" applyFont="1" applyFill="1" applyBorder="1" applyAlignment="1">
      <alignment horizontal="center" vertical="center"/>
    </xf>
    <xf numFmtId="49" fontId="4" fillId="0" borderId="2" xfId="0" applyNumberFormat="1" applyFont="1" applyFill="1" applyBorder="1" applyAlignment="1">
      <alignment horizontal="center" vertical="center"/>
    </xf>
    <xf numFmtId="0" fontId="4" fillId="0" borderId="1" xfId="6" applyFont="1" applyFill="1" applyBorder="1" applyAlignment="1">
      <alignment horizontal="center" vertical="center" wrapText="1"/>
    </xf>
    <xf numFmtId="0" fontId="4" fillId="0" borderId="4" xfId="6" applyFont="1" applyFill="1" applyBorder="1" applyAlignment="1">
      <alignment horizontal="center" vertical="center" wrapText="1"/>
    </xf>
    <xf numFmtId="164" fontId="3" fillId="4" borderId="2" xfId="0" applyNumberFormat="1" applyFont="1" applyFill="1" applyBorder="1" applyAlignment="1"/>
    <xf numFmtId="167" fontId="4" fillId="0" borderId="2" xfId="0" applyNumberFormat="1" applyFont="1" applyFill="1" applyBorder="1" applyAlignment="1">
      <alignment horizontal="center" vertical="center"/>
    </xf>
    <xf numFmtId="0" fontId="4" fillId="2" borderId="2" xfId="0" applyFont="1" applyFill="1" applyBorder="1" applyAlignment="1">
      <alignment horizontal="left" vertical="center" wrapText="1"/>
    </xf>
    <xf numFmtId="164" fontId="3" fillId="3" borderId="6" xfId="0" applyNumberFormat="1" applyFont="1" applyFill="1" applyBorder="1" applyAlignment="1">
      <alignment horizontal="left"/>
    </xf>
    <xf numFmtId="164" fontId="4" fillId="4" borderId="2" xfId="0" applyNumberFormat="1" applyFont="1" applyFill="1" applyBorder="1" applyAlignment="1"/>
    <xf numFmtId="164" fontId="4" fillId="4" borderId="4" xfId="0" applyNumberFormat="1" applyFont="1" applyFill="1" applyBorder="1" applyAlignment="1"/>
    <xf numFmtId="49" fontId="3"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164" fontId="4" fillId="4" borderId="8" xfId="0" applyNumberFormat="1" applyFont="1" applyFill="1" applyBorder="1" applyAlignment="1">
      <alignment horizontal="left" vertical="center" wrapText="1"/>
    </xf>
    <xf numFmtId="49" fontId="4" fillId="2" borderId="2" xfId="0" applyNumberFormat="1" applyFont="1" applyFill="1" applyBorder="1" applyAlignment="1">
      <alignment horizontal="center" vertical="center" wrapText="1"/>
    </xf>
    <xf numFmtId="166" fontId="4" fillId="2" borderId="2" xfId="0" applyNumberFormat="1" applyFont="1" applyFill="1" applyBorder="1" applyAlignment="1">
      <alignment horizontal="center" vertical="center" wrapText="1"/>
    </xf>
    <xf numFmtId="168" fontId="7" fillId="0" borderId="2" xfId="0" applyNumberFormat="1" applyFont="1" applyBorder="1" applyAlignment="1">
      <alignment horizontal="center" vertical="center"/>
    </xf>
    <xf numFmtId="0" fontId="7" fillId="2" borderId="2" xfId="0" applyFont="1" applyFill="1" applyBorder="1" applyAlignment="1">
      <alignment horizontal="center" vertical="center"/>
    </xf>
    <xf numFmtId="0" fontId="4" fillId="2" borderId="2" xfId="6" applyFont="1" applyFill="1" applyBorder="1" applyAlignment="1">
      <alignment horizontal="left" vertical="center" wrapText="1"/>
    </xf>
    <xf numFmtId="0" fontId="4" fillId="5" borderId="2" xfId="0" applyFont="1" applyFill="1" applyBorder="1" applyAlignment="1">
      <alignment horizontal="left" vertical="center" wrapText="1"/>
    </xf>
    <xf numFmtId="164" fontId="3" fillId="4" borderId="2" xfId="0" applyNumberFormat="1" applyFont="1" applyFill="1" applyBorder="1" applyAlignment="1">
      <alignment horizontal="center"/>
    </xf>
    <xf numFmtId="168" fontId="7" fillId="0" borderId="2" xfId="0" applyNumberFormat="1" applyFont="1" applyFill="1" applyBorder="1" applyAlignment="1">
      <alignment horizontal="center" vertical="center"/>
    </xf>
    <xf numFmtId="0" fontId="4" fillId="0" borderId="2" xfId="0" applyFont="1" applyFill="1" applyBorder="1" applyAlignment="1">
      <alignment horizontal="left" vertical="center" wrapText="1"/>
    </xf>
    <xf numFmtId="164" fontId="3" fillId="4" borderId="6" xfId="0" applyNumberFormat="1" applyFont="1" applyFill="1" applyBorder="1" applyAlignment="1">
      <alignment horizontal="left" vertical="center"/>
    </xf>
    <xf numFmtId="0" fontId="7" fillId="0" borderId="2" xfId="0" applyFont="1" applyFill="1" applyBorder="1" applyAlignment="1">
      <alignment horizontal="left" vertical="center" wrapText="1"/>
    </xf>
    <xf numFmtId="164" fontId="3" fillId="3" borderId="16" xfId="0" applyNumberFormat="1" applyFont="1" applyFill="1" applyBorder="1" applyAlignment="1">
      <alignment horizontal="left"/>
    </xf>
    <xf numFmtId="164" fontId="3" fillId="4" borderId="1" xfId="0" applyNumberFormat="1" applyFont="1" applyFill="1" applyBorder="1" applyAlignment="1">
      <alignment horizontal="center"/>
    </xf>
    <xf numFmtId="49" fontId="4" fillId="0" borderId="1"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0" fontId="4" fillId="0" borderId="3" xfId="6" applyFont="1" applyFill="1" applyBorder="1" applyAlignment="1">
      <alignment horizontal="center" vertical="center" wrapText="1"/>
    </xf>
    <xf numFmtId="167" fontId="17" fillId="0" borderId="1" xfId="0" applyNumberFormat="1" applyFont="1" applyBorder="1" applyAlignment="1">
      <alignment horizontal="right" vertical="center"/>
    </xf>
    <xf numFmtId="168" fontId="11" fillId="0" borderId="1" xfId="0" applyNumberFormat="1" applyFont="1" applyBorder="1" applyAlignment="1">
      <alignment horizontal="right" vertical="center"/>
    </xf>
    <xf numFmtId="164" fontId="4" fillId="4" borderId="2" xfId="0" applyNumberFormat="1" applyFont="1" applyFill="1" applyBorder="1" applyAlignment="1">
      <alignment horizontal="center"/>
    </xf>
    <xf numFmtId="0" fontId="7" fillId="2" borderId="2" xfId="17" applyFont="1" applyFill="1" applyBorder="1" applyAlignment="1">
      <alignment horizontal="left" vertical="top" wrapText="1"/>
    </xf>
    <xf numFmtId="168" fontId="11" fillId="2" borderId="1" xfId="0" applyNumberFormat="1" applyFont="1" applyFill="1" applyBorder="1" applyAlignment="1">
      <alignment horizontal="center" vertical="center"/>
    </xf>
    <xf numFmtId="0" fontId="7" fillId="2" borderId="2" xfId="17" applyFont="1" applyFill="1" applyBorder="1" applyAlignment="1">
      <alignment horizontal="left" vertical="center" wrapText="1"/>
    </xf>
    <xf numFmtId="167" fontId="17" fillId="0" borderId="2" xfId="0" applyNumberFormat="1" applyFont="1" applyFill="1" applyBorder="1" applyAlignment="1">
      <alignment horizontal="center" vertical="center"/>
    </xf>
    <xf numFmtId="168" fontId="11" fillId="0" borderId="2" xfId="0" applyNumberFormat="1" applyFont="1" applyFill="1" applyBorder="1" applyAlignment="1">
      <alignment horizontal="center" vertical="center"/>
    </xf>
    <xf numFmtId="167" fontId="17" fillId="0" borderId="2" xfId="0" applyNumberFormat="1" applyFont="1" applyBorder="1" applyAlignment="1">
      <alignment horizontal="center" vertical="center"/>
    </xf>
    <xf numFmtId="168" fontId="11" fillId="0" borderId="2" xfId="0" applyNumberFormat="1" applyFont="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vertical="center" wrapText="1"/>
    </xf>
    <xf numFmtId="0" fontId="4" fillId="0" borderId="2" xfId="0" applyFont="1" applyBorder="1" applyAlignment="1">
      <alignment horizontal="center" vertical="center" wrapText="1"/>
    </xf>
    <xf numFmtId="0" fontId="7" fillId="2" borderId="1"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49" fontId="7" fillId="2" borderId="3"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4" fillId="0" borderId="2" xfId="0" applyFont="1" applyBorder="1" applyAlignment="1">
      <alignment vertical="center" wrapText="1"/>
    </xf>
    <xf numFmtId="0" fontId="4" fillId="0" borderId="4"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4"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166" fontId="4" fillId="0" borderId="4" xfId="0" applyNumberFormat="1"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4" fillId="2" borderId="4" xfId="0" applyFont="1" applyFill="1" applyBorder="1" applyAlignment="1">
      <alignment horizontal="center" vertical="center"/>
    </xf>
    <xf numFmtId="49" fontId="9" fillId="2" borderId="3" xfId="0" applyNumberFormat="1" applyFont="1" applyFill="1" applyBorder="1" applyAlignment="1">
      <alignment horizontal="center" vertical="center"/>
    </xf>
    <xf numFmtId="3" fontId="4" fillId="2" borderId="2" xfId="0" applyNumberFormat="1" applyFont="1" applyFill="1" applyBorder="1" applyAlignment="1">
      <alignment horizontal="center" vertical="center" wrapText="1"/>
    </xf>
    <xf numFmtId="49" fontId="4" fillId="2" borderId="26" xfId="0" applyNumberFormat="1" applyFont="1" applyFill="1" applyBorder="1" applyAlignment="1">
      <alignment horizontal="left" vertical="center"/>
    </xf>
    <xf numFmtId="49" fontId="4" fillId="2" borderId="2" xfId="0" applyNumberFormat="1" applyFont="1" applyFill="1" applyBorder="1" applyAlignment="1">
      <alignment horizontal="center" vertical="center"/>
    </xf>
    <xf numFmtId="166" fontId="7" fillId="2" borderId="2" xfId="0" applyNumberFormat="1" applyFont="1" applyFill="1" applyBorder="1" applyAlignment="1">
      <alignment horizontal="center" vertical="center"/>
    </xf>
    <xf numFmtId="0" fontId="4" fillId="2" borderId="2" xfId="0" applyFont="1" applyFill="1" applyBorder="1" applyAlignment="1">
      <alignment horizontal="left" vertical="top" wrapText="1"/>
    </xf>
    <xf numFmtId="169" fontId="4" fillId="0" borderId="2" xfId="0" applyNumberFormat="1" applyFont="1" applyFill="1" applyBorder="1" applyAlignment="1">
      <alignment horizontal="center" vertical="center" wrapText="1"/>
    </xf>
    <xf numFmtId="164" fontId="4" fillId="4" borderId="2" xfId="0" applyNumberFormat="1" applyFont="1" applyFill="1" applyBorder="1" applyAlignment="1">
      <alignment vertical="center"/>
    </xf>
    <xf numFmtId="166" fontId="4" fillId="4" borderId="2" xfId="0" applyNumberFormat="1" applyFont="1" applyFill="1" applyBorder="1" applyAlignment="1">
      <alignment horizontal="center"/>
    </xf>
    <xf numFmtId="169" fontId="7" fillId="2" borderId="53" xfId="0" applyNumberFormat="1" applyFont="1" applyFill="1" applyBorder="1" applyAlignment="1">
      <alignment horizontal="center" vertical="center" wrapText="1"/>
    </xf>
    <xf numFmtId="169" fontId="7" fillId="2" borderId="4" xfId="0" applyNumberFormat="1" applyFont="1" applyFill="1" applyBorder="1" applyAlignment="1">
      <alignment horizontal="center" vertical="center" wrapText="1"/>
    </xf>
    <xf numFmtId="0" fontId="9" fillId="2" borderId="2" xfId="0" applyFont="1" applyFill="1" applyBorder="1" applyAlignment="1">
      <alignment horizontal="left" vertical="center" wrapText="1"/>
    </xf>
    <xf numFmtId="0" fontId="4" fillId="2" borderId="53" xfId="0" applyFont="1" applyFill="1" applyBorder="1" applyAlignment="1">
      <alignment horizontal="center" vertical="center" wrapText="1"/>
    </xf>
    <xf numFmtId="0" fontId="4" fillId="2" borderId="4" xfId="13" applyFont="1" applyFill="1" applyBorder="1" applyAlignment="1">
      <alignment horizontal="center" vertical="center" wrapText="1"/>
    </xf>
    <xf numFmtId="169" fontId="4" fillId="2" borderId="4" xfId="13" applyNumberFormat="1" applyFont="1" applyFill="1" applyBorder="1" applyAlignment="1">
      <alignment horizontal="center" vertical="center" wrapText="1"/>
    </xf>
    <xf numFmtId="0" fontId="4" fillId="2" borderId="4" xfId="13" applyFont="1" applyFill="1" applyBorder="1" applyAlignment="1">
      <alignment horizontal="center" vertical="center"/>
    </xf>
    <xf numFmtId="0" fontId="11" fillId="2" borderId="53" xfId="6" applyFont="1" applyFill="1" applyBorder="1" applyAlignment="1">
      <alignment horizontal="left" vertical="center" wrapText="1"/>
    </xf>
    <xf numFmtId="49" fontId="4" fillId="2" borderId="3" xfId="0" applyNumberFormat="1" applyFont="1" applyFill="1" applyBorder="1" applyAlignment="1">
      <alignment horizontal="left" vertical="center"/>
    </xf>
    <xf numFmtId="166" fontId="7" fillId="2" borderId="4" xfId="0" applyNumberFormat="1" applyFont="1" applyFill="1" applyBorder="1" applyAlignment="1">
      <alignment horizontal="left" vertical="center" wrapText="1"/>
    </xf>
    <xf numFmtId="164" fontId="3" fillId="3" borderId="30" xfId="0" applyNumberFormat="1" applyFont="1" applyFill="1" applyBorder="1" applyAlignment="1">
      <alignment horizontal="left" vertical="center" wrapText="1"/>
    </xf>
    <xf numFmtId="0" fontId="4" fillId="0" borderId="2" xfId="0" applyFont="1" applyFill="1" applyBorder="1" applyAlignment="1">
      <alignment horizontal="center" vertical="center" wrapText="1"/>
    </xf>
    <xf numFmtId="49" fontId="4" fillId="0" borderId="2" xfId="0" applyNumberFormat="1" applyFont="1" applyFill="1" applyBorder="1" applyAlignment="1">
      <alignment vertical="center"/>
    </xf>
    <xf numFmtId="0" fontId="7" fillId="0" borderId="1" xfId="0" applyFont="1" applyFill="1" applyBorder="1" applyAlignment="1">
      <alignment horizontal="center" vertical="center" wrapText="1"/>
    </xf>
    <xf numFmtId="169" fontId="7" fillId="0" borderId="4" xfId="0" applyNumberFormat="1" applyFont="1" applyFill="1" applyBorder="1" applyAlignment="1">
      <alignment horizontal="center" vertical="center" wrapText="1"/>
    </xf>
    <xf numFmtId="0" fontId="7" fillId="0" borderId="4" xfId="0" applyFont="1" applyFill="1" applyBorder="1" applyAlignment="1">
      <alignment horizontal="right" vertical="center"/>
    </xf>
    <xf numFmtId="0" fontId="4" fillId="4" borderId="6" xfId="14" applyFont="1" applyFill="1" applyBorder="1" applyAlignment="1">
      <alignment horizontal="center"/>
    </xf>
    <xf numFmtId="0" fontId="7" fillId="2" borderId="6" xfId="0" applyFont="1" applyFill="1" applyBorder="1" applyAlignment="1">
      <alignment horizontal="left" vertical="center" wrapText="1"/>
    </xf>
    <xf numFmtId="0" fontId="7" fillId="2" borderId="9" xfId="0" applyFont="1" applyFill="1" applyBorder="1" applyAlignment="1">
      <alignment horizontal="left" vertical="center" wrapText="1"/>
    </xf>
    <xf numFmtId="49" fontId="4" fillId="2" borderId="1"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164" fontId="4" fillId="3" borderId="18" xfId="0" applyNumberFormat="1" applyFont="1" applyFill="1" applyBorder="1" applyAlignment="1">
      <alignment horizontal="left"/>
    </xf>
    <xf numFmtId="0" fontId="7" fillId="2" borderId="3" xfId="17" applyFont="1" applyFill="1" applyBorder="1" applyAlignment="1">
      <alignment horizontal="left" vertical="center" wrapText="1"/>
    </xf>
    <xf numFmtId="0" fontId="7" fillId="2" borderId="53" xfId="0" applyFont="1" applyFill="1" applyBorder="1" applyAlignment="1">
      <alignment horizontal="center" vertical="center" wrapText="1"/>
    </xf>
    <xf numFmtId="0" fontId="7" fillId="2" borderId="2" xfId="0" applyFont="1" applyFill="1" applyBorder="1" applyAlignment="1">
      <alignment horizontal="left" vertical="center"/>
    </xf>
    <xf numFmtId="166" fontId="4" fillId="4" borderId="33" xfId="0" applyNumberFormat="1" applyFont="1" applyFill="1" applyBorder="1" applyAlignment="1">
      <alignment horizontal="center"/>
    </xf>
    <xf numFmtId="164" fontId="4" fillId="3" borderId="8" xfId="0" applyNumberFormat="1" applyFont="1" applyFill="1" applyBorder="1" applyAlignment="1">
      <alignment horizontal="left" vertical="center" wrapText="1"/>
    </xf>
    <xf numFmtId="0" fontId="9" fillId="2" borderId="3" xfId="0" applyFont="1" applyFill="1" applyBorder="1" applyAlignment="1">
      <alignment horizontal="center" vertical="center" wrapText="1"/>
    </xf>
    <xf numFmtId="167" fontId="9" fillId="0" borderId="53" xfId="0" applyNumberFormat="1" applyFont="1" applyBorder="1" applyAlignment="1">
      <alignment horizontal="center" vertical="center"/>
    </xf>
    <xf numFmtId="167" fontId="9" fillId="0" borderId="3" xfId="0" applyNumberFormat="1" applyFont="1" applyBorder="1" applyAlignment="1">
      <alignment horizontal="center" vertical="center"/>
    </xf>
    <xf numFmtId="168" fontId="7" fillId="0" borderId="53" xfId="0" applyNumberFormat="1" applyFont="1" applyBorder="1" applyAlignment="1">
      <alignment horizontal="center" vertical="center"/>
    </xf>
    <xf numFmtId="0" fontId="7" fillId="2" borderId="53" xfId="0" applyFont="1" applyFill="1" applyBorder="1" applyAlignment="1">
      <alignment horizontal="center" vertical="center"/>
    </xf>
    <xf numFmtId="0" fontId="7" fillId="2" borderId="53" xfId="13" applyFont="1" applyFill="1" applyBorder="1" applyAlignment="1">
      <alignment vertical="center" wrapText="1"/>
    </xf>
    <xf numFmtId="0" fontId="9" fillId="4" borderId="2" xfId="0" applyFont="1" applyFill="1" applyBorder="1" applyAlignment="1">
      <alignment vertical="center"/>
    </xf>
    <xf numFmtId="167" fontId="7" fillId="2" borderId="4" xfId="0" applyNumberFormat="1" applyFont="1" applyFill="1" applyBorder="1" applyAlignment="1">
      <alignment horizontal="center" vertical="center"/>
    </xf>
    <xf numFmtId="168" fontId="7" fillId="2" borderId="1"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wrapText="1"/>
    </xf>
    <xf numFmtId="168" fontId="7" fillId="2" borderId="4" xfId="0" applyNumberFormat="1" applyFont="1" applyFill="1" applyBorder="1" applyAlignment="1">
      <alignment horizontal="center" vertical="center"/>
    </xf>
    <xf numFmtId="166" fontId="7" fillId="2" borderId="2" xfId="0" applyNumberFormat="1" applyFont="1" applyFill="1" applyBorder="1" applyAlignment="1">
      <alignment horizontal="center" vertical="center" wrapText="1"/>
    </xf>
    <xf numFmtId="49" fontId="7" fillId="2" borderId="2" xfId="0" applyNumberFormat="1" applyFont="1" applyFill="1" applyBorder="1" applyAlignment="1">
      <alignment horizontal="center" vertical="center"/>
    </xf>
    <xf numFmtId="0" fontId="7" fillId="2" borderId="2" xfId="0" applyFont="1" applyFill="1" applyBorder="1" applyAlignment="1">
      <alignment horizontal="left" vertical="center" wrapText="1"/>
    </xf>
    <xf numFmtId="0" fontId="4" fillId="0" borderId="2" xfId="0" applyFont="1" applyBorder="1" applyAlignment="1">
      <alignment horizontal="left" vertical="center" wrapText="1"/>
    </xf>
    <xf numFmtId="166" fontId="4" fillId="0" borderId="2" xfId="0" applyNumberFormat="1" applyFont="1" applyFill="1" applyBorder="1" applyAlignment="1">
      <alignment horizontal="center" vertical="center" wrapText="1"/>
    </xf>
    <xf numFmtId="0" fontId="4" fillId="0" borderId="2" xfId="0" applyFont="1" applyBorder="1" applyAlignment="1">
      <alignment horizontal="center" vertical="center"/>
    </xf>
    <xf numFmtId="49" fontId="4" fillId="0" borderId="2" xfId="0" applyNumberFormat="1" applyFont="1" applyFill="1" applyBorder="1" applyAlignment="1">
      <alignment horizontal="left" vertical="center" wrapText="1"/>
    </xf>
    <xf numFmtId="0" fontId="4" fillId="4" borderId="2" xfId="0" applyFont="1" applyFill="1" applyBorder="1" applyAlignment="1">
      <alignment vertical="center"/>
    </xf>
    <xf numFmtId="0" fontId="3" fillId="0" borderId="4" xfId="5" applyFont="1" applyFill="1" applyBorder="1" applyAlignment="1">
      <alignment horizontal="left" vertical="center" wrapText="1"/>
    </xf>
    <xf numFmtId="0" fontId="7" fillId="4" borderId="2" xfId="0" applyFont="1" applyFill="1" applyBorder="1"/>
    <xf numFmtId="166" fontId="7" fillId="2" borderId="2" xfId="0" applyNumberFormat="1" applyFont="1" applyFill="1" applyBorder="1"/>
    <xf numFmtId="168" fontId="4" fillId="0" borderId="2" xfId="0" applyNumberFormat="1" applyFont="1" applyFill="1" applyBorder="1" applyAlignment="1">
      <alignment vertical="center"/>
    </xf>
    <xf numFmtId="0" fontId="7" fillId="2" borderId="2"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49" fontId="4" fillId="0" borderId="2" xfId="0" applyNumberFormat="1" applyFont="1" applyFill="1" applyBorder="1" applyAlignment="1">
      <alignment horizontal="center" vertical="center"/>
    </xf>
    <xf numFmtId="0" fontId="4" fillId="0" borderId="2" xfId="0" applyFont="1" applyBorder="1" applyAlignment="1">
      <alignment horizontal="center" vertical="center" wrapText="1"/>
    </xf>
    <xf numFmtId="167" fontId="4" fillId="0" borderId="2" xfId="0" applyNumberFormat="1" applyFont="1" applyFill="1" applyBorder="1" applyAlignment="1">
      <alignment horizontal="center" vertical="center"/>
    </xf>
    <xf numFmtId="166" fontId="4" fillId="0" borderId="2" xfId="0" applyNumberFormat="1" applyFont="1" applyFill="1" applyBorder="1" applyAlignment="1">
      <alignment horizontal="center" vertical="center" wrapText="1"/>
    </xf>
    <xf numFmtId="0" fontId="4" fillId="2" borderId="4" xfId="2" applyNumberFormat="1" applyFont="1" applyFill="1" applyBorder="1" applyAlignment="1">
      <alignment horizontal="center" vertical="center" wrapText="1"/>
    </xf>
    <xf numFmtId="3" fontId="4" fillId="2" borderId="2" xfId="0" applyNumberFormat="1" applyFont="1" applyFill="1" applyBorder="1" applyAlignment="1">
      <alignment horizontal="right" vertical="center"/>
    </xf>
    <xf numFmtId="181" fontId="4" fillId="2" borderId="2" xfId="20" applyNumberFormat="1" applyFont="1" applyFill="1" applyBorder="1" applyAlignment="1">
      <alignment vertical="center"/>
    </xf>
    <xf numFmtId="0" fontId="4" fillId="2" borderId="2" xfId="0" applyNumberFormat="1" applyFont="1" applyFill="1" applyBorder="1" applyAlignment="1">
      <alignment horizontal="center" vertical="center" wrapText="1"/>
    </xf>
    <xf numFmtId="164" fontId="4" fillId="4" borderId="4" xfId="0" applyNumberFormat="1" applyFont="1" applyFill="1" applyBorder="1" applyAlignment="1">
      <alignment horizontal="center"/>
    </xf>
    <xf numFmtId="166" fontId="4" fillId="0" borderId="53" xfId="0" applyNumberFormat="1" applyFont="1" applyFill="1" applyBorder="1" applyAlignment="1">
      <alignment horizontal="center" vertical="center" wrapText="1"/>
    </xf>
    <xf numFmtId="49" fontId="9" fillId="0" borderId="21" xfId="0" applyNumberFormat="1" applyFont="1" applyFill="1" applyBorder="1" applyAlignment="1">
      <alignment vertical="center"/>
    </xf>
    <xf numFmtId="0" fontId="3" fillId="0" borderId="0" xfId="0" applyFont="1" applyAlignment="1">
      <alignment horizontal="right"/>
    </xf>
    <xf numFmtId="0" fontId="3" fillId="0" borderId="0" xfId="0" applyFont="1" applyBorder="1" applyAlignment="1">
      <alignment horizontal="right" vertical="center"/>
    </xf>
    <xf numFmtId="0" fontId="9" fillId="2" borderId="2" xfId="0" applyFont="1" applyFill="1" applyBorder="1" applyAlignment="1">
      <alignment horizontal="center" vertical="center" wrapText="1"/>
    </xf>
    <xf numFmtId="0" fontId="7" fillId="0" borderId="2" xfId="0" applyFont="1" applyFill="1" applyBorder="1" applyAlignment="1">
      <alignment horizontal="left" wrapText="1"/>
    </xf>
    <xf numFmtId="167" fontId="7" fillId="0" borderId="2" xfId="0" applyNumberFormat="1" applyFont="1" applyFill="1" applyBorder="1" applyAlignment="1">
      <alignment vertical="center"/>
    </xf>
    <xf numFmtId="49" fontId="18" fillId="0" borderId="2" xfId="6" applyNumberFormat="1" applyFont="1" applyFill="1" applyBorder="1" applyAlignment="1">
      <alignment horizontal="left" vertical="center" wrapText="1"/>
    </xf>
    <xf numFmtId="49" fontId="7" fillId="0" borderId="2" xfId="6" applyNumberFormat="1" applyFont="1" applyFill="1" applyBorder="1" applyAlignment="1">
      <alignment horizontal="left" vertical="center" wrapText="1"/>
    </xf>
    <xf numFmtId="0" fontId="7" fillId="0" borderId="2" xfId="0" applyFont="1" applyFill="1" applyBorder="1"/>
    <xf numFmtId="0" fontId="7" fillId="0" borderId="2" xfId="0" applyFont="1" applyBorder="1" applyAlignment="1">
      <alignment horizontal="left" vertical="center" wrapText="1"/>
    </xf>
    <xf numFmtId="49" fontId="7" fillId="0" borderId="2" xfId="0" applyNumberFormat="1" applyFont="1" applyBorder="1" applyAlignment="1">
      <alignment horizontal="left" vertical="center" wrapText="1"/>
    </xf>
    <xf numFmtId="166" fontId="7" fillId="0" borderId="2" xfId="0" applyNumberFormat="1" applyFont="1" applyFill="1" applyBorder="1" applyAlignment="1">
      <alignment vertical="center" wrapText="1"/>
    </xf>
    <xf numFmtId="0" fontId="4" fillId="0" borderId="2" xfId="0" applyFont="1" applyFill="1" applyBorder="1" applyAlignment="1"/>
    <xf numFmtId="49" fontId="4" fillId="0" borderId="2" xfId="0" applyNumberFormat="1" applyFont="1" applyBorder="1" applyAlignment="1">
      <alignment horizontal="left" vertical="center" wrapText="1"/>
    </xf>
    <xf numFmtId="0" fontId="7" fillId="2" borderId="1" xfId="0" applyFont="1" applyFill="1" applyBorder="1" applyAlignment="1">
      <alignment horizontal="center"/>
    </xf>
    <xf numFmtId="0" fontId="7" fillId="2" borderId="1" xfId="0" applyFont="1" applyFill="1" applyBorder="1" applyAlignment="1"/>
    <xf numFmtId="0" fontId="7" fillId="2" borderId="1" xfId="0" applyFont="1" applyFill="1" applyBorder="1"/>
    <xf numFmtId="0" fontId="7" fillId="2" borderId="5" xfId="0" applyFont="1" applyFill="1" applyBorder="1"/>
    <xf numFmtId="0" fontId="7" fillId="2" borderId="2" xfId="0" applyFont="1" applyFill="1" applyBorder="1" applyAlignment="1">
      <alignment horizontal="right"/>
    </xf>
    <xf numFmtId="0" fontId="4" fillId="0" borderId="2" xfId="0" applyFont="1" applyBorder="1" applyAlignment="1">
      <alignment horizontal="left" wrapText="1"/>
    </xf>
    <xf numFmtId="0" fontId="10" fillId="0" borderId="0" xfId="0" applyFont="1" applyAlignment="1">
      <alignment horizontal="left" vertical="center"/>
    </xf>
    <xf numFmtId="169" fontId="7" fillId="0" borderId="2"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center"/>
    </xf>
    <xf numFmtId="49" fontId="9" fillId="0" borderId="1" xfId="0" applyNumberFormat="1" applyFont="1" applyBorder="1" applyAlignment="1">
      <alignment horizontal="center" vertical="center"/>
    </xf>
    <xf numFmtId="0" fontId="3" fillId="0" borderId="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9" fillId="0" borderId="2" xfId="0" applyFont="1" applyBorder="1"/>
    <xf numFmtId="49" fontId="7" fillId="0" borderId="1" xfId="0" applyNumberFormat="1" applyFont="1" applyBorder="1" applyAlignment="1">
      <alignment horizontal="center" vertical="center"/>
    </xf>
    <xf numFmtId="49" fontId="9" fillId="0" borderId="2" xfId="0" applyNumberFormat="1" applyFont="1" applyFill="1" applyBorder="1" applyAlignment="1">
      <alignment horizontal="center" vertical="center"/>
    </xf>
    <xf numFmtId="0" fontId="9" fillId="0" borderId="1" xfId="0" applyFont="1" applyBorder="1" applyAlignment="1">
      <alignment horizontal="left" vertical="center" wrapText="1"/>
    </xf>
    <xf numFmtId="49" fontId="9" fillId="0" borderId="2" xfId="0" applyNumberFormat="1" applyFont="1" applyBorder="1" applyAlignment="1">
      <alignment horizontal="left" vertical="center" wrapText="1"/>
    </xf>
    <xf numFmtId="0" fontId="51" fillId="0" borderId="0" xfId="0" applyFont="1" applyAlignment="1">
      <alignment horizontal="left" vertical="center" wrapText="1"/>
    </xf>
    <xf numFmtId="9" fontId="9" fillId="0" borderId="2" xfId="0" applyNumberFormat="1" applyFont="1" applyBorder="1"/>
    <xf numFmtId="0" fontId="9" fillId="0" borderId="1" xfId="0" applyFont="1" applyBorder="1" applyAlignment="1">
      <alignment horizontal="center" vertical="center" wrapText="1"/>
    </xf>
    <xf numFmtId="0" fontId="9" fillId="0" borderId="1" xfId="0" applyFont="1" applyBorder="1"/>
    <xf numFmtId="9" fontId="9" fillId="0" borderId="5" xfId="0" applyNumberFormat="1" applyFont="1" applyBorder="1"/>
    <xf numFmtId="9" fontId="9" fillId="0" borderId="1" xfId="0" applyNumberFormat="1" applyFont="1" applyBorder="1"/>
    <xf numFmtId="0" fontId="48" fillId="0" borderId="0" xfId="0" applyFont="1" applyAlignment="1">
      <alignment wrapText="1"/>
    </xf>
    <xf numFmtId="49" fontId="7" fillId="0" borderId="2" xfId="0" applyNumberFormat="1" applyFont="1" applyBorder="1" applyAlignment="1">
      <alignment horizontal="left" vertical="top" wrapText="1"/>
    </xf>
    <xf numFmtId="0" fontId="10" fillId="0" borderId="0" xfId="0" applyFont="1" applyAlignment="1">
      <alignment horizontal="left" vertical="center" wrapText="1"/>
    </xf>
    <xf numFmtId="0" fontId="10" fillId="0" borderId="0" xfId="0" applyFont="1" applyAlignment="1">
      <alignment wrapText="1"/>
    </xf>
    <xf numFmtId="167" fontId="9" fillId="0" borderId="13" xfId="13" applyNumberFormat="1" applyFont="1" applyBorder="1" applyAlignment="1">
      <alignment horizontal="right" vertical="center"/>
    </xf>
    <xf numFmtId="0" fontId="7" fillId="2" borderId="4" xfId="13" applyFont="1" applyFill="1" applyBorder="1" applyAlignment="1">
      <alignment horizontal="right" vertical="center"/>
    </xf>
    <xf numFmtId="0" fontId="9" fillId="2" borderId="4" xfId="13" applyFont="1" applyFill="1" applyBorder="1" applyAlignment="1">
      <alignment horizontal="right" vertical="center"/>
    </xf>
    <xf numFmtId="0" fontId="9" fillId="2" borderId="4" xfId="13" applyFont="1" applyFill="1" applyBorder="1" applyAlignment="1">
      <alignment horizontal="center" vertical="center" wrapText="1"/>
    </xf>
    <xf numFmtId="167" fontId="9" fillId="0" borderId="53" xfId="13" applyNumberFormat="1" applyFont="1" applyBorder="1" applyAlignment="1">
      <alignment horizontal="right" vertical="center"/>
    </xf>
    <xf numFmtId="168" fontId="7" fillId="0" borderId="53" xfId="13" applyNumberFormat="1" applyFont="1" applyBorder="1" applyAlignment="1">
      <alignment horizontal="right" vertical="center"/>
    </xf>
    <xf numFmtId="0" fontId="7" fillId="2" borderId="2" xfId="13" applyFont="1" applyFill="1" applyBorder="1" applyAlignment="1">
      <alignment horizontal="center" vertical="center" wrapText="1"/>
    </xf>
    <xf numFmtId="0" fontId="9" fillId="2" borderId="2" xfId="13" applyFont="1" applyFill="1" applyBorder="1" applyAlignment="1">
      <alignment horizontal="center" vertical="center" wrapText="1"/>
    </xf>
    <xf numFmtId="168" fontId="7" fillId="0" borderId="6" xfId="13" applyNumberFormat="1" applyFont="1" applyBorder="1" applyAlignment="1">
      <alignment horizontal="right" vertical="center"/>
    </xf>
    <xf numFmtId="168" fontId="7" fillId="0" borderId="2" xfId="13" applyNumberFormat="1" applyFont="1" applyBorder="1" applyAlignment="1">
      <alignment horizontal="right" vertical="center"/>
    </xf>
    <xf numFmtId="49" fontId="9" fillId="2" borderId="53" xfId="13" applyNumberFormat="1" applyFont="1" applyFill="1" applyBorder="1" applyAlignment="1">
      <alignment vertical="center"/>
    </xf>
    <xf numFmtId="49" fontId="7" fillId="2" borderId="53" xfId="13" applyNumberFormat="1" applyFont="1" applyFill="1" applyBorder="1" applyAlignment="1">
      <alignment vertical="center"/>
    </xf>
    <xf numFmtId="0" fontId="7" fillId="2" borderId="2" xfId="13" applyFont="1" applyFill="1" applyBorder="1"/>
    <xf numFmtId="167" fontId="9" fillId="2" borderId="1" xfId="0" applyNumberFormat="1" applyFont="1" applyFill="1" applyBorder="1" applyAlignment="1">
      <alignment horizontal="center" vertical="center"/>
    </xf>
    <xf numFmtId="168" fontId="9" fillId="2" borderId="2" xfId="0" applyNumberFormat="1" applyFont="1" applyFill="1" applyBorder="1" applyAlignment="1">
      <alignment vertical="center"/>
    </xf>
    <xf numFmtId="1" fontId="7" fillId="2" borderId="2" xfId="0" applyNumberFormat="1" applyFont="1" applyFill="1" applyBorder="1" applyAlignment="1">
      <alignment vertical="center"/>
    </xf>
    <xf numFmtId="1" fontId="9" fillId="2" borderId="2" xfId="0" applyNumberFormat="1" applyFont="1" applyFill="1" applyBorder="1" applyAlignment="1">
      <alignment horizontal="center" vertical="center"/>
    </xf>
    <xf numFmtId="1" fontId="7" fillId="2" borderId="2" xfId="0" applyNumberFormat="1" applyFont="1" applyFill="1" applyBorder="1" applyAlignment="1">
      <alignment horizontal="center" vertical="center"/>
    </xf>
    <xf numFmtId="167" fontId="7" fillId="2" borderId="1" xfId="0" applyNumberFormat="1" applyFont="1" applyFill="1" applyBorder="1" applyAlignment="1">
      <alignment vertical="center"/>
    </xf>
    <xf numFmtId="177" fontId="7" fillId="2" borderId="1" xfId="0" applyNumberFormat="1" applyFont="1" applyFill="1" applyBorder="1" applyAlignment="1">
      <alignment horizontal="center" vertical="center" wrapText="1"/>
    </xf>
    <xf numFmtId="177" fontId="7" fillId="2" borderId="1" xfId="0" applyNumberFormat="1" applyFont="1" applyFill="1" applyBorder="1" applyAlignment="1">
      <alignment vertical="center" wrapText="1"/>
    </xf>
    <xf numFmtId="167" fontId="7" fillId="2" borderId="2" xfId="0" applyNumberFormat="1" applyFont="1" applyFill="1" applyBorder="1" applyAlignment="1">
      <alignment vertical="center"/>
    </xf>
    <xf numFmtId="167" fontId="9" fillId="2" borderId="4" xfId="0" applyNumberFormat="1" applyFont="1" applyFill="1" applyBorder="1" applyAlignment="1">
      <alignment horizontal="center" vertical="center"/>
    </xf>
    <xf numFmtId="1" fontId="7" fillId="2" borderId="1" xfId="0" applyNumberFormat="1" applyFont="1" applyFill="1" applyBorder="1" applyAlignment="1">
      <alignment vertical="center"/>
    </xf>
    <xf numFmtId="1" fontId="7" fillId="2" borderId="4" xfId="0" applyNumberFormat="1" applyFont="1" applyFill="1" applyBorder="1" applyAlignment="1">
      <alignment vertical="center"/>
    </xf>
    <xf numFmtId="177" fontId="7" fillId="2" borderId="4" xfId="0" applyNumberFormat="1" applyFont="1" applyFill="1" applyBorder="1" applyAlignment="1">
      <alignment horizontal="center" vertical="center" wrapText="1"/>
    </xf>
    <xf numFmtId="177" fontId="7" fillId="2" borderId="2" xfId="0" applyNumberFormat="1" applyFont="1" applyFill="1" applyBorder="1" applyAlignment="1">
      <alignment vertical="center" wrapText="1"/>
    </xf>
    <xf numFmtId="167" fontId="9" fillId="2" borderId="2" xfId="0" applyNumberFormat="1" applyFont="1" applyFill="1" applyBorder="1" applyAlignment="1">
      <alignment vertical="center"/>
    </xf>
    <xf numFmtId="168" fontId="7" fillId="2" borderId="1" xfId="0" applyNumberFormat="1" applyFont="1" applyFill="1" applyBorder="1" applyAlignment="1">
      <alignment horizontal="center" vertical="center" wrapText="1"/>
    </xf>
    <xf numFmtId="1" fontId="7" fillId="2" borderId="1" xfId="0" applyNumberFormat="1" applyFont="1" applyFill="1" applyBorder="1" applyAlignment="1">
      <alignment vertical="center" wrapText="1"/>
    </xf>
    <xf numFmtId="1" fontId="7" fillId="2" borderId="2" xfId="0" applyNumberFormat="1" applyFont="1" applyFill="1" applyBorder="1" applyAlignment="1">
      <alignment horizontal="right" vertical="center"/>
    </xf>
    <xf numFmtId="166" fontId="11" fillId="2" borderId="2" xfId="0" applyNumberFormat="1" applyFont="1" applyFill="1" applyBorder="1" applyAlignment="1">
      <alignment horizontal="center" vertical="center" wrapText="1"/>
    </xf>
    <xf numFmtId="0" fontId="11" fillId="2" borderId="2" xfId="0" applyFont="1" applyFill="1" applyBorder="1" applyAlignment="1">
      <alignment horizontal="center" vertical="center" wrapText="1"/>
    </xf>
    <xf numFmtId="166" fontId="11" fillId="2" borderId="2" xfId="12" applyNumberFormat="1" applyFont="1" applyFill="1" applyBorder="1" applyAlignment="1">
      <alignment horizontal="center" vertical="center" wrapText="1"/>
    </xf>
    <xf numFmtId="1" fontId="7" fillId="2" borderId="4" xfId="0" applyNumberFormat="1" applyFont="1" applyFill="1" applyBorder="1" applyAlignment="1">
      <alignment horizontal="right" vertical="center"/>
    </xf>
    <xf numFmtId="0" fontId="22" fillId="2" borderId="2" xfId="0" applyFont="1" applyFill="1" applyBorder="1" applyAlignment="1">
      <alignment horizontal="center" vertical="center" wrapText="1"/>
    </xf>
    <xf numFmtId="0" fontId="22" fillId="0" borderId="2" xfId="0" applyFont="1" applyBorder="1" applyAlignment="1">
      <alignment horizontal="center" vertical="center"/>
    </xf>
    <xf numFmtId="167" fontId="9" fillId="2" borderId="2" xfId="0" applyNumberFormat="1" applyFont="1" applyFill="1" applyBorder="1" applyAlignment="1">
      <alignment horizontal="center" vertical="center"/>
    </xf>
    <xf numFmtId="168" fontId="9" fillId="2" borderId="4"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168" fontId="9" fillId="2" borderId="2" xfId="0" applyNumberFormat="1" applyFont="1" applyFill="1" applyBorder="1" applyAlignment="1">
      <alignment horizontal="center" vertical="center"/>
    </xf>
    <xf numFmtId="0" fontId="9" fillId="0" borderId="2" xfId="6" applyFont="1" applyFill="1" applyBorder="1" applyAlignment="1">
      <alignment horizontal="left" vertical="center" wrapText="1"/>
    </xf>
    <xf numFmtId="1" fontId="7" fillId="2" borderId="1" xfId="0" applyNumberFormat="1" applyFont="1" applyFill="1" applyBorder="1" applyAlignment="1">
      <alignment horizontal="center" vertical="center"/>
    </xf>
    <xf numFmtId="16" fontId="7" fillId="2" borderId="2" xfId="0" applyNumberFormat="1" applyFont="1" applyFill="1" applyBorder="1" applyAlignment="1">
      <alignment horizontal="right" vertical="center" wrapText="1"/>
    </xf>
    <xf numFmtId="0" fontId="52" fillId="0" borderId="2" xfId="0" applyFont="1" applyFill="1" applyBorder="1" applyAlignment="1">
      <alignment horizontal="left" vertical="center" wrapText="1"/>
    </xf>
    <xf numFmtId="168" fontId="7" fillId="2" borderId="2" xfId="0" applyNumberFormat="1" applyFont="1" applyFill="1" applyBorder="1" applyAlignment="1">
      <alignment horizontal="center" vertical="center" wrapText="1"/>
    </xf>
    <xf numFmtId="1" fontId="7" fillId="2" borderId="2" xfId="0" applyNumberFormat="1" applyFont="1" applyFill="1" applyBorder="1" applyAlignment="1">
      <alignment vertical="center" wrapText="1"/>
    </xf>
    <xf numFmtId="168" fontId="7" fillId="2" borderId="4" xfId="0" applyNumberFormat="1" applyFont="1" applyFill="1" applyBorder="1" applyAlignment="1">
      <alignment horizontal="center" vertical="center" wrapText="1"/>
    </xf>
    <xf numFmtId="1" fontId="7" fillId="2" borderId="4" xfId="0" applyNumberFormat="1" applyFont="1" applyFill="1" applyBorder="1" applyAlignment="1">
      <alignment vertical="center" wrapText="1"/>
    </xf>
    <xf numFmtId="168" fontId="7" fillId="2" borderId="6" xfId="0" applyNumberFormat="1" applyFont="1" applyFill="1" applyBorder="1" applyAlignment="1">
      <alignment horizontal="center" vertical="center"/>
    </xf>
    <xf numFmtId="0" fontId="4" fillId="2" borderId="2" xfId="0" applyFont="1" applyFill="1" applyBorder="1" applyAlignment="1">
      <alignment horizontal="right" vertical="center" wrapText="1" indent="1"/>
    </xf>
    <xf numFmtId="9" fontId="7" fillId="2" borderId="4" xfId="0" applyNumberFormat="1"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0" fontId="7" fillId="2" borderId="2" xfId="6" applyFont="1" applyFill="1" applyBorder="1" applyAlignment="1">
      <alignment horizontal="left" vertical="center" wrapText="1"/>
    </xf>
    <xf numFmtId="169" fontId="9" fillId="2" borderId="2" xfId="0" applyNumberFormat="1" applyFont="1" applyFill="1" applyBorder="1" applyAlignment="1">
      <alignment horizontal="center" vertical="center" wrapText="1"/>
    </xf>
    <xf numFmtId="168" fontId="11" fillId="2" borderId="1" xfId="0" applyNumberFormat="1" applyFont="1" applyFill="1" applyBorder="1" applyAlignment="1">
      <alignment horizontal="right" vertical="center"/>
    </xf>
    <xf numFmtId="1" fontId="7" fillId="2" borderId="3" xfId="0" applyNumberFormat="1" applyFont="1" applyFill="1" applyBorder="1" applyAlignment="1">
      <alignment horizontal="right" vertical="center"/>
    </xf>
    <xf numFmtId="0" fontId="11" fillId="0" borderId="2" xfId="6" applyFont="1" applyFill="1" applyBorder="1" applyAlignment="1">
      <alignment horizontal="left" vertical="center" wrapText="1"/>
    </xf>
    <xf numFmtId="0" fontId="11" fillId="0" borderId="2" xfId="0" applyFont="1" applyFill="1" applyBorder="1" applyAlignment="1">
      <alignment horizontal="left" vertical="center" wrapText="1"/>
    </xf>
    <xf numFmtId="0" fontId="11" fillId="2" borderId="1" xfId="0" applyFont="1" applyFill="1" applyBorder="1" applyAlignment="1">
      <alignment horizontal="center" vertical="center" wrapText="1"/>
    </xf>
    <xf numFmtId="169" fontId="11" fillId="2" borderId="1" xfId="0" applyNumberFormat="1" applyFont="1" applyFill="1" applyBorder="1" applyAlignment="1">
      <alignment horizontal="center" vertical="center" wrapText="1"/>
    </xf>
    <xf numFmtId="167" fontId="3" fillId="2" borderId="2" xfId="0" applyNumberFormat="1" applyFont="1" applyFill="1" applyBorder="1" applyAlignment="1">
      <alignment horizontal="center" vertical="center" wrapText="1"/>
    </xf>
    <xf numFmtId="1" fontId="4" fillId="2" borderId="2" xfId="0" applyNumberFormat="1" applyFont="1" applyFill="1" applyBorder="1" applyAlignment="1">
      <alignment horizontal="center" vertical="center"/>
    </xf>
    <xf numFmtId="0" fontId="17" fillId="2" borderId="2" xfId="0" applyFont="1" applyFill="1" applyBorder="1" applyAlignment="1">
      <alignment horizontal="left" vertical="center" wrapText="1"/>
    </xf>
    <xf numFmtId="0" fontId="17" fillId="2" borderId="2" xfId="0" applyFont="1" applyFill="1" applyBorder="1" applyAlignment="1">
      <alignment horizontal="center" vertical="center" wrapText="1"/>
    </xf>
    <xf numFmtId="169" fontId="17" fillId="2" borderId="2" xfId="0" applyNumberFormat="1" applyFont="1" applyFill="1" applyBorder="1" applyAlignment="1">
      <alignment horizontal="center" vertical="center" wrapText="1"/>
    </xf>
    <xf numFmtId="167" fontId="4" fillId="2" borderId="2" xfId="0" applyNumberFormat="1" applyFont="1" applyFill="1" applyBorder="1" applyAlignment="1">
      <alignment horizontal="center" vertical="center" wrapText="1"/>
    </xf>
    <xf numFmtId="177" fontId="17" fillId="2" borderId="2" xfId="0" applyNumberFormat="1" applyFont="1" applyFill="1" applyBorder="1" applyAlignment="1">
      <alignment horizontal="left" vertical="center" wrapText="1"/>
    </xf>
    <xf numFmtId="0" fontId="4" fillId="0" borderId="2" xfId="14" applyFont="1" applyFill="1" applyBorder="1" applyAlignment="1">
      <alignment vertical="center" wrapText="1"/>
    </xf>
    <xf numFmtId="0" fontId="4" fillId="2" borderId="2" xfId="6" applyFont="1" applyFill="1" applyBorder="1" applyAlignment="1">
      <alignment horizontal="left" vertical="top" wrapText="1"/>
    </xf>
    <xf numFmtId="0" fontId="4" fillId="0" borderId="2" xfId="6" applyFont="1" applyFill="1" applyBorder="1" applyAlignment="1">
      <alignment vertical="top" wrapText="1"/>
    </xf>
    <xf numFmtId="0" fontId="3" fillId="0" borderId="2" xfId="6" applyFont="1" applyFill="1" applyBorder="1" applyAlignment="1">
      <alignment vertical="center" wrapText="1"/>
    </xf>
    <xf numFmtId="0" fontId="3" fillId="0" borderId="2" xfId="6" applyFont="1" applyFill="1" applyBorder="1" applyAlignment="1">
      <alignment vertical="top" wrapText="1"/>
    </xf>
    <xf numFmtId="0" fontId="3" fillId="2" borderId="2" xfId="6" applyFont="1" applyFill="1" applyBorder="1" applyAlignment="1">
      <alignment horizontal="left" vertical="center" wrapText="1"/>
    </xf>
    <xf numFmtId="49" fontId="9" fillId="2" borderId="2" xfId="0" applyNumberFormat="1" applyFont="1" applyFill="1" applyBorder="1" applyAlignment="1">
      <alignment horizontal="center" vertical="center"/>
    </xf>
    <xf numFmtId="0" fontId="4" fillId="0" borderId="53" xfId="0" applyFont="1" applyFill="1" applyBorder="1" applyAlignment="1">
      <alignment vertical="top" wrapText="1"/>
    </xf>
    <xf numFmtId="0" fontId="4" fillId="0" borderId="16" xfId="0" applyFont="1" applyFill="1" applyBorder="1" applyAlignment="1">
      <alignment horizontal="center" vertical="center" wrapText="1"/>
    </xf>
    <xf numFmtId="0" fontId="4" fillId="0" borderId="53" xfId="0" applyFont="1" applyFill="1" applyBorder="1" applyAlignment="1">
      <alignment horizontal="left" vertical="center" wrapText="1"/>
    </xf>
    <xf numFmtId="0" fontId="4" fillId="0" borderId="53" xfId="0" applyFont="1" applyFill="1" applyBorder="1" applyAlignment="1">
      <alignment horizontal="center" vertical="center" wrapText="1"/>
    </xf>
    <xf numFmtId="49" fontId="4" fillId="0" borderId="53" xfId="0" applyNumberFormat="1" applyFont="1" applyFill="1" applyBorder="1" applyAlignment="1">
      <alignment horizontal="center" vertical="center" wrapText="1"/>
    </xf>
    <xf numFmtId="49" fontId="4" fillId="0" borderId="53" xfId="0" applyNumberFormat="1" applyFont="1" applyFill="1" applyBorder="1" applyAlignment="1">
      <alignment horizontal="center" vertical="top"/>
    </xf>
    <xf numFmtId="0" fontId="4" fillId="0" borderId="2" xfId="0" applyFont="1" applyFill="1" applyBorder="1" applyAlignment="1">
      <alignment horizontal="justify" vertical="center"/>
    </xf>
    <xf numFmtId="0" fontId="4" fillId="0" borderId="53" xfId="0" applyFont="1" applyFill="1" applyBorder="1" applyAlignment="1">
      <alignment vertical="center"/>
    </xf>
    <xf numFmtId="0" fontId="4" fillId="0" borderId="4" xfId="0" applyFont="1" applyFill="1" applyBorder="1" applyAlignment="1">
      <alignment horizontal="justify" vertical="center"/>
    </xf>
    <xf numFmtId="0" fontId="4" fillId="0" borderId="3" xfId="0" applyFont="1" applyFill="1" applyBorder="1" applyAlignment="1">
      <alignment vertical="center"/>
    </xf>
    <xf numFmtId="0" fontId="4" fillId="0" borderId="53" xfId="0" applyFont="1" applyFill="1" applyBorder="1" applyAlignment="1">
      <alignment horizontal="left" vertical="top" wrapText="1"/>
    </xf>
    <xf numFmtId="0" fontId="4" fillId="0" borderId="3" xfId="0" applyFont="1" applyFill="1" applyBorder="1" applyAlignment="1">
      <alignment horizontal="center" vertical="center" wrapText="1"/>
    </xf>
    <xf numFmtId="3" fontId="4" fillId="0" borderId="2" xfId="0" applyNumberFormat="1" applyFont="1" applyFill="1" applyBorder="1" applyAlignment="1">
      <alignment horizontal="center" vertical="center"/>
    </xf>
    <xf numFmtId="49" fontId="4" fillId="0" borderId="2" xfId="0" applyNumberFormat="1" applyFont="1" applyFill="1" applyBorder="1" applyAlignment="1">
      <alignment horizontal="center" vertical="top"/>
    </xf>
    <xf numFmtId="3" fontId="4" fillId="0" borderId="4" xfId="0" applyNumberFormat="1" applyFont="1" applyFill="1" applyBorder="1" applyAlignment="1">
      <alignment horizontal="center" vertical="center"/>
    </xf>
    <xf numFmtId="0" fontId="4" fillId="0" borderId="53" xfId="0" applyFont="1" applyFill="1" applyBorder="1" applyAlignment="1">
      <alignment vertical="center" wrapText="1"/>
    </xf>
    <xf numFmtId="0" fontId="4" fillId="0" borderId="53" xfId="0" applyFont="1" applyFill="1" applyBorder="1" applyAlignment="1">
      <alignment horizontal="center" vertical="center"/>
    </xf>
    <xf numFmtId="0" fontId="7" fillId="0" borderId="53" xfId="0" applyFont="1" applyFill="1" applyBorder="1" applyAlignment="1">
      <alignment vertical="center" wrapText="1"/>
    </xf>
    <xf numFmtId="3" fontId="4" fillId="0" borderId="53" xfId="0" applyNumberFormat="1" applyFont="1" applyFill="1" applyBorder="1" applyAlignment="1">
      <alignment vertical="center" wrapText="1"/>
    </xf>
    <xf numFmtId="3" fontId="4" fillId="0" borderId="53" xfId="0" applyNumberFormat="1" applyFont="1" applyFill="1" applyBorder="1" applyAlignment="1">
      <alignment horizontal="center" vertical="center" wrapText="1"/>
    </xf>
    <xf numFmtId="49" fontId="4" fillId="0" borderId="3" xfId="0" applyNumberFormat="1" applyFont="1" applyFill="1" applyBorder="1" applyAlignment="1">
      <alignment horizontal="center" vertical="top"/>
    </xf>
    <xf numFmtId="0" fontId="7" fillId="0" borderId="2" xfId="0" applyFont="1" applyFill="1" applyBorder="1" applyAlignment="1">
      <alignment horizontal="center" wrapText="1"/>
    </xf>
    <xf numFmtId="0" fontId="3" fillId="0" borderId="2" xfId="0" applyFont="1" applyFill="1" applyBorder="1" applyAlignment="1">
      <alignment horizontal="left" vertical="top" wrapText="1"/>
    </xf>
    <xf numFmtId="0" fontId="3" fillId="0" borderId="53" xfId="0" applyFont="1" applyFill="1" applyBorder="1" applyAlignment="1">
      <alignment vertical="center" wrapText="1"/>
    </xf>
    <xf numFmtId="0" fontId="3" fillId="0" borderId="2" xfId="0" applyFont="1" applyFill="1" applyBorder="1" applyAlignment="1">
      <alignment horizontal="center" vertical="center" wrapText="1"/>
    </xf>
    <xf numFmtId="0" fontId="3" fillId="0" borderId="6"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3" fontId="3" fillId="0" borderId="2" xfId="3" applyNumberFormat="1" applyFont="1" applyFill="1" applyBorder="1" applyAlignment="1">
      <alignment horizontal="right" vertical="center" wrapText="1" indent="1"/>
    </xf>
    <xf numFmtId="17" fontId="4" fillId="0" borderId="53" xfId="0" applyNumberFormat="1" applyFont="1" applyFill="1" applyBorder="1" applyAlignment="1">
      <alignment vertical="top" wrapText="1"/>
    </xf>
    <xf numFmtId="17" fontId="4" fillId="0" borderId="4" xfId="0" applyNumberFormat="1" applyFont="1" applyFill="1" applyBorder="1" applyAlignment="1">
      <alignment vertical="top" wrapText="1"/>
    </xf>
    <xf numFmtId="0" fontId="4" fillId="0" borderId="4" xfId="0" applyFont="1" applyFill="1" applyBorder="1" applyAlignment="1">
      <alignment horizontal="center" vertical="center" wrapText="1"/>
    </xf>
    <xf numFmtId="3" fontId="4" fillId="0" borderId="4" xfId="0" applyNumberFormat="1" applyFont="1" applyFill="1" applyBorder="1" applyAlignment="1">
      <alignment horizontal="center" vertical="center" wrapText="1"/>
    </xf>
    <xf numFmtId="0" fontId="7" fillId="0" borderId="6" xfId="0" applyFont="1" applyFill="1" applyBorder="1" applyAlignment="1">
      <alignment wrapText="1"/>
    </xf>
    <xf numFmtId="49" fontId="3" fillId="0" borderId="2" xfId="0" applyNumberFormat="1" applyFont="1" applyFill="1" applyBorder="1" applyAlignment="1">
      <alignment horizontal="center" vertical="center"/>
    </xf>
    <xf numFmtId="3" fontId="4" fillId="0" borderId="2" xfId="0" applyNumberFormat="1" applyFont="1" applyFill="1" applyBorder="1" applyAlignment="1">
      <alignment horizontal="center" vertical="top" wrapText="1"/>
    </xf>
    <xf numFmtId="0" fontId="4" fillId="0" borderId="53" xfId="15" applyFont="1" applyFill="1" applyBorder="1" applyAlignment="1">
      <alignment vertical="top" wrapText="1"/>
    </xf>
    <xf numFmtId="0" fontId="4" fillId="0" borderId="2" xfId="15" applyFont="1" applyFill="1" applyBorder="1" applyAlignment="1">
      <alignment vertical="top" wrapText="1"/>
    </xf>
    <xf numFmtId="0" fontId="4" fillId="0" borderId="2" xfId="15" applyFont="1" applyFill="1" applyBorder="1" applyAlignment="1">
      <alignment horizontal="center" vertical="center" wrapText="1"/>
    </xf>
    <xf numFmtId="3" fontId="4" fillId="0" borderId="2" xfId="15" applyNumberFormat="1" applyFont="1" applyFill="1" applyBorder="1" applyAlignment="1">
      <alignment horizontal="center" vertical="center" wrapText="1"/>
    </xf>
    <xf numFmtId="0" fontId="4" fillId="0" borderId="2" xfId="15" applyFont="1" applyFill="1" applyBorder="1" applyAlignment="1">
      <alignment horizontal="center" vertical="center"/>
    </xf>
    <xf numFmtId="0" fontId="4" fillId="0" borderId="4" xfId="15" applyFont="1" applyFill="1" applyBorder="1" applyAlignment="1">
      <alignment vertical="top" wrapText="1"/>
    </xf>
    <xf numFmtId="0" fontId="4" fillId="0" borderId="6" xfId="0" applyFont="1" applyFill="1" applyBorder="1" applyAlignment="1">
      <alignment horizontal="center" vertical="center"/>
    </xf>
    <xf numFmtId="0" fontId="3" fillId="2" borderId="2" xfId="17" applyFont="1" applyFill="1" applyBorder="1" applyAlignment="1">
      <alignment vertical="center" wrapText="1"/>
    </xf>
    <xf numFmtId="0" fontId="7" fillId="2" borderId="2" xfId="6" applyFont="1" applyFill="1" applyBorder="1" applyAlignment="1">
      <alignment vertical="center" wrapText="1"/>
    </xf>
    <xf numFmtId="167" fontId="4" fillId="2" borderId="1" xfId="13" applyNumberFormat="1" applyFont="1" applyFill="1" applyBorder="1" applyAlignment="1">
      <alignment vertical="center" wrapText="1"/>
    </xf>
    <xf numFmtId="167" fontId="4" fillId="2" borderId="2" xfId="13" applyNumberFormat="1" applyFont="1" applyFill="1" applyBorder="1" applyAlignment="1">
      <alignment vertical="center" wrapText="1"/>
    </xf>
    <xf numFmtId="167" fontId="4" fillId="2" borderId="2" xfId="13" applyNumberFormat="1" applyFont="1" applyFill="1" applyBorder="1" applyAlignment="1">
      <alignment horizontal="left" vertical="center" wrapText="1"/>
    </xf>
    <xf numFmtId="0" fontId="4" fillId="5" borderId="2" xfId="6" applyFont="1" applyFill="1" applyBorder="1" applyAlignment="1">
      <alignment vertical="center" wrapText="1"/>
    </xf>
    <xf numFmtId="0" fontId="3" fillId="5" borderId="4" xfId="0" applyFont="1" applyFill="1" applyBorder="1" applyAlignment="1">
      <alignment horizontal="left" vertical="center" wrapText="1"/>
    </xf>
    <xf numFmtId="0" fontId="11" fillId="0" borderId="4" xfId="0" applyFont="1" applyBorder="1"/>
    <xf numFmtId="0" fontId="3" fillId="5" borderId="2" xfId="0" applyFont="1" applyFill="1" applyBorder="1" applyAlignment="1">
      <alignment horizontal="center" vertical="top" wrapText="1"/>
    </xf>
    <xf numFmtId="0" fontId="17" fillId="5" borderId="2" xfId="0" applyFont="1" applyFill="1" applyBorder="1" applyAlignment="1">
      <alignment horizontal="center" vertical="top" wrapText="1"/>
    </xf>
    <xf numFmtId="167" fontId="3" fillId="0" borderId="2" xfId="13" applyNumberFormat="1" applyFont="1" applyBorder="1" applyAlignment="1">
      <alignment horizontal="center" vertical="top"/>
    </xf>
    <xf numFmtId="49" fontId="4" fillId="0" borderId="2" xfId="7" applyNumberFormat="1" applyFont="1" applyFill="1" applyBorder="1" applyAlignment="1">
      <alignment horizontal="center" vertical="top"/>
    </xf>
    <xf numFmtId="178" fontId="4" fillId="0" borderId="2" xfId="13" applyNumberFormat="1" applyFont="1" applyFill="1" applyBorder="1"/>
    <xf numFmtId="0" fontId="3" fillId="0" borderId="2" xfId="17" applyFont="1" applyFill="1" applyBorder="1" applyAlignment="1">
      <alignment horizontal="left" vertical="center" wrapText="1"/>
    </xf>
    <xf numFmtId="49" fontId="4" fillId="0" borderId="2" xfId="0" applyNumberFormat="1" applyFont="1" applyFill="1" applyBorder="1" applyAlignment="1"/>
    <xf numFmtId="179" fontId="3" fillId="0" borderId="2" xfId="0" applyNumberFormat="1" applyFont="1" applyFill="1" applyBorder="1" applyAlignment="1">
      <alignment wrapText="1"/>
    </xf>
    <xf numFmtId="0" fontId="3" fillId="0" borderId="2" xfId="0" applyFont="1" applyFill="1" applyBorder="1" applyAlignment="1">
      <alignment wrapText="1"/>
    </xf>
    <xf numFmtId="0" fontId="9" fillId="2" borderId="2" xfId="0" applyFont="1" applyFill="1" applyBorder="1" applyAlignment="1">
      <alignment horizontal="left" vertical="top" wrapText="1"/>
    </xf>
    <xf numFmtId="179" fontId="4" fillId="0" borderId="2" xfId="0" applyNumberFormat="1" applyFont="1" applyFill="1" applyBorder="1" applyAlignment="1">
      <alignment vertical="center" wrapText="1"/>
    </xf>
    <xf numFmtId="49" fontId="4" fillId="0" borderId="2" xfId="0" applyNumberFormat="1" applyFont="1" applyFill="1" applyBorder="1" applyAlignment="1">
      <alignment vertical="top"/>
    </xf>
    <xf numFmtId="49" fontId="7" fillId="2" borderId="2" xfId="0" applyNumberFormat="1" applyFont="1" applyFill="1" applyBorder="1" applyAlignment="1">
      <alignment horizontal="left" vertical="top" wrapText="1"/>
    </xf>
    <xf numFmtId="49" fontId="7" fillId="0" borderId="2" xfId="0" applyNumberFormat="1" applyFont="1" applyFill="1" applyBorder="1" applyAlignment="1">
      <alignment horizontal="left" vertical="top" wrapText="1"/>
    </xf>
    <xf numFmtId="167" fontId="3" fillId="0" borderId="2" xfId="13" applyNumberFormat="1" applyFont="1" applyBorder="1" applyAlignment="1">
      <alignment horizontal="center" vertical="center"/>
    </xf>
    <xf numFmtId="0" fontId="7" fillId="2" borderId="2" xfId="0" applyNumberFormat="1" applyFont="1" applyFill="1" applyBorder="1" applyAlignment="1">
      <alignment vertical="center" wrapText="1"/>
    </xf>
    <xf numFmtId="0" fontId="7" fillId="2" borderId="2" xfId="0" applyFont="1" applyFill="1" applyBorder="1" applyAlignment="1">
      <alignment horizontal="center" vertical="top" wrapText="1"/>
    </xf>
    <xf numFmtId="0" fontId="7" fillId="2" borderId="2" xfId="0" applyFont="1" applyFill="1" applyBorder="1" applyAlignment="1">
      <alignment horizontal="center" vertical="top"/>
    </xf>
    <xf numFmtId="49" fontId="9" fillId="0" borderId="6" xfId="0" applyNumberFormat="1" applyFont="1" applyFill="1" applyBorder="1" applyAlignment="1">
      <alignment vertical="center" wrapText="1"/>
    </xf>
    <xf numFmtId="0" fontId="3" fillId="2" borderId="14" xfId="0" applyFont="1" applyFill="1" applyBorder="1" applyAlignment="1">
      <alignment horizontal="left" vertical="center" wrapText="1"/>
    </xf>
    <xf numFmtId="0" fontId="17" fillId="5" borderId="4" xfId="13" applyFont="1" applyFill="1" applyBorder="1" applyAlignment="1">
      <alignment vertical="center" wrapText="1"/>
    </xf>
    <xf numFmtId="0" fontId="11" fillId="5" borderId="2" xfId="13" applyFont="1" applyFill="1" applyBorder="1" applyAlignment="1">
      <alignment vertical="center" wrapText="1"/>
    </xf>
    <xf numFmtId="0" fontId="17" fillId="5" borderId="2" xfId="13" applyFont="1" applyFill="1" applyBorder="1" applyAlignment="1">
      <alignment horizontal="left" vertical="center" wrapText="1"/>
    </xf>
    <xf numFmtId="0" fontId="17" fillId="2" borderId="2" xfId="0" applyFont="1" applyFill="1" applyBorder="1" applyAlignment="1">
      <alignment vertical="center" wrapText="1"/>
    </xf>
    <xf numFmtId="0" fontId="10" fillId="2" borderId="2" xfId="0" applyFont="1" applyFill="1" applyBorder="1" applyAlignment="1">
      <alignment horizontal="left" vertical="center" wrapText="1"/>
    </xf>
    <xf numFmtId="0" fontId="10" fillId="30" borderId="2" xfId="0" applyFont="1" applyFill="1" applyBorder="1" applyAlignment="1">
      <alignment horizontal="left" vertical="center" wrapText="1"/>
    </xf>
    <xf numFmtId="3" fontId="7" fillId="2" borderId="3" xfId="0" applyNumberFormat="1" applyFont="1" applyFill="1" applyBorder="1" applyAlignment="1">
      <alignment horizontal="center" vertical="center" wrapText="1"/>
    </xf>
    <xf numFmtId="0" fontId="7" fillId="2" borderId="6" xfId="0" applyFont="1" applyFill="1" applyBorder="1" applyAlignment="1">
      <alignment vertical="center" wrapText="1"/>
    </xf>
    <xf numFmtId="49" fontId="7" fillId="2" borderId="53" xfId="0" applyNumberFormat="1" applyFont="1" applyFill="1" applyBorder="1" applyAlignment="1">
      <alignment horizontal="center" vertical="center"/>
    </xf>
    <xf numFmtId="49" fontId="9" fillId="2" borderId="17" xfId="0" applyNumberFormat="1" applyFont="1" applyFill="1" applyBorder="1" applyAlignment="1">
      <alignment horizontal="center" vertical="center"/>
    </xf>
    <xf numFmtId="0" fontId="52" fillId="6" borderId="21" xfId="0" applyFont="1" applyFill="1" applyBorder="1" applyAlignment="1">
      <alignment horizontal="left" wrapText="1"/>
    </xf>
    <xf numFmtId="0" fontId="52" fillId="6" borderId="2" xfId="0" applyFont="1" applyFill="1" applyBorder="1" applyAlignment="1">
      <alignment vertical="top" wrapText="1"/>
    </xf>
    <xf numFmtId="0" fontId="52" fillId="6" borderId="2" xfId="0" applyFont="1" applyFill="1" applyBorder="1" applyAlignment="1">
      <alignment horizontal="left" wrapText="1"/>
    </xf>
    <xf numFmtId="0" fontId="54" fillId="6" borderId="2" xfId="0" applyFont="1" applyFill="1" applyBorder="1" applyAlignment="1">
      <alignment horizontal="left" wrapText="1"/>
    </xf>
    <xf numFmtId="0" fontId="52" fillId="6" borderId="2" xfId="0" applyFont="1" applyFill="1" applyBorder="1" applyAlignment="1">
      <alignment horizontal="center" wrapText="1"/>
    </xf>
    <xf numFmtId="0" fontId="52" fillId="6" borderId="25" xfId="0" applyFont="1" applyFill="1" applyBorder="1" applyAlignment="1">
      <alignment vertical="top" wrapText="1"/>
    </xf>
    <xf numFmtId="0" fontId="52" fillId="6" borderId="2" xfId="0" applyFont="1" applyFill="1" applyBorder="1" applyAlignment="1">
      <alignment horizontal="right" wrapText="1"/>
    </xf>
    <xf numFmtId="0" fontId="7" fillId="2" borderId="25" xfId="0" applyFont="1" applyFill="1" applyBorder="1" applyAlignment="1">
      <alignment horizontal="center" vertical="center" wrapText="1"/>
    </xf>
    <xf numFmtId="0" fontId="52" fillId="6" borderId="21" xfId="0" applyFont="1" applyFill="1" applyBorder="1" applyAlignment="1">
      <alignment vertical="top" wrapText="1"/>
    </xf>
    <xf numFmtId="9" fontId="52" fillId="6" borderId="2" xfId="0" applyNumberFormat="1" applyFont="1" applyFill="1" applyBorder="1" applyAlignment="1">
      <alignment vertical="top" wrapText="1"/>
    </xf>
    <xf numFmtId="0" fontId="7" fillId="2" borderId="25" xfId="0" applyFont="1" applyFill="1" applyBorder="1"/>
    <xf numFmtId="0" fontId="7" fillId="6" borderId="2" xfId="0" applyFont="1" applyFill="1" applyBorder="1" applyAlignment="1">
      <alignment horizontal="left" wrapText="1"/>
    </xf>
    <xf numFmtId="166" fontId="7" fillId="2" borderId="25" xfId="0" applyNumberFormat="1" applyFont="1" applyFill="1" applyBorder="1" applyAlignment="1">
      <alignment vertical="center" wrapText="1"/>
    </xf>
    <xf numFmtId="9" fontId="7" fillId="2" borderId="2" xfId="0" applyNumberFormat="1" applyFont="1" applyFill="1" applyBorder="1" applyAlignment="1">
      <alignment vertical="center" wrapText="1"/>
    </xf>
    <xf numFmtId="166" fontId="7" fillId="2" borderId="25" xfId="0" applyNumberFormat="1" applyFont="1" applyFill="1" applyBorder="1"/>
    <xf numFmtId="0" fontId="7" fillId="0" borderId="25" xfId="0" applyFont="1" applyBorder="1"/>
    <xf numFmtId="167" fontId="7" fillId="0" borderId="21" xfId="0" applyNumberFormat="1" applyFont="1" applyBorder="1" applyAlignment="1">
      <alignment horizontal="right" vertical="center"/>
    </xf>
    <xf numFmtId="0" fontId="7" fillId="6" borderId="2"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25" xfId="0" applyFont="1" applyFill="1" applyBorder="1" applyAlignment="1">
      <alignment horizontal="center" vertical="center" wrapText="1"/>
    </xf>
    <xf numFmtId="0" fontId="4" fillId="2" borderId="2" xfId="0" applyFont="1" applyFill="1" applyBorder="1" applyAlignment="1">
      <alignment vertical="center"/>
    </xf>
    <xf numFmtId="0" fontId="7" fillId="6" borderId="25" xfId="0" applyFont="1" applyFill="1" applyBorder="1" applyAlignment="1">
      <alignment vertical="center" wrapText="1"/>
    </xf>
    <xf numFmtId="0" fontId="52" fillId="6" borderId="6" xfId="0" applyFont="1" applyFill="1" applyBorder="1" applyAlignment="1">
      <alignment horizontal="left" wrapText="1"/>
    </xf>
    <xf numFmtId="0" fontId="3" fillId="3" borderId="2" xfId="0" applyFont="1" applyFill="1" applyBorder="1" applyAlignment="1">
      <alignment vertical="center" wrapText="1"/>
    </xf>
    <xf numFmtId="0" fontId="3" fillId="3" borderId="25" xfId="0" applyFont="1" applyFill="1" applyBorder="1" applyAlignment="1">
      <alignment vertical="center" wrapText="1"/>
    </xf>
    <xf numFmtId="0" fontId="4" fillId="2" borderId="25" xfId="0" applyFont="1" applyFill="1" applyBorder="1" applyAlignment="1">
      <alignment vertical="center" wrapText="1"/>
    </xf>
    <xf numFmtId="168" fontId="4" fillId="2" borderId="21" xfId="0" applyNumberFormat="1" applyFont="1" applyFill="1" applyBorder="1" applyAlignment="1">
      <alignment horizontal="center" vertical="center" wrapText="1"/>
    </xf>
    <xf numFmtId="0" fontId="3" fillId="2" borderId="25" xfId="0" applyFont="1" applyFill="1" applyBorder="1" applyAlignment="1">
      <alignment vertical="center" wrapText="1"/>
    </xf>
    <xf numFmtId="169" fontId="4" fillId="2" borderId="2" xfId="0" applyNumberFormat="1" applyFont="1" applyFill="1" applyBorder="1" applyAlignment="1">
      <alignment vertical="center" wrapText="1"/>
    </xf>
    <xf numFmtId="169" fontId="4" fillId="2" borderId="25" xfId="0" applyNumberFormat="1" applyFont="1" applyFill="1" applyBorder="1" applyAlignment="1">
      <alignment vertical="center" wrapText="1"/>
    </xf>
    <xf numFmtId="166" fontId="3" fillId="2" borderId="2" xfId="0" applyNumberFormat="1" applyFont="1" applyFill="1" applyBorder="1" applyAlignment="1">
      <alignment vertical="center" wrapText="1"/>
    </xf>
    <xf numFmtId="166" fontId="3" fillId="2" borderId="25" xfId="0" applyNumberFormat="1" applyFont="1" applyFill="1" applyBorder="1" applyAlignment="1">
      <alignment vertical="center" wrapText="1"/>
    </xf>
    <xf numFmtId="169" fontId="3" fillId="2" borderId="2" xfId="0" applyNumberFormat="1" applyFont="1" applyFill="1" applyBorder="1" applyAlignment="1">
      <alignment vertical="center" wrapText="1"/>
    </xf>
    <xf numFmtId="169" fontId="3" fillId="2" borderId="25" xfId="0" applyNumberFormat="1" applyFont="1" applyFill="1" applyBorder="1" applyAlignment="1">
      <alignment vertical="center" wrapText="1"/>
    </xf>
    <xf numFmtId="167" fontId="9" fillId="0" borderId="21" xfId="0" applyNumberFormat="1" applyFont="1" applyFill="1" applyBorder="1" applyAlignment="1">
      <alignment horizontal="right" vertical="center"/>
    </xf>
    <xf numFmtId="0" fontId="4" fillId="2" borderId="2" xfId="0" applyNumberFormat="1" applyFont="1" applyFill="1" applyBorder="1" applyAlignment="1">
      <alignment horizontal="left" vertical="center" wrapText="1"/>
    </xf>
    <xf numFmtId="0" fontId="7" fillId="0" borderId="0" xfId="0" applyFont="1"/>
    <xf numFmtId="49" fontId="9" fillId="0" borderId="2" xfId="0" applyNumberFormat="1" applyFont="1" applyFill="1" applyBorder="1" applyAlignment="1">
      <alignment vertical="center"/>
    </xf>
    <xf numFmtId="49" fontId="7" fillId="2" borderId="21" xfId="0" applyNumberFormat="1" applyFont="1" applyFill="1" applyBorder="1" applyAlignment="1">
      <alignment vertical="center"/>
    </xf>
    <xf numFmtId="49" fontId="9" fillId="0" borderId="21" xfId="0" applyNumberFormat="1" applyFont="1" applyFill="1" applyBorder="1" applyAlignment="1">
      <alignment horizontal="left" vertical="center"/>
    </xf>
    <xf numFmtId="1" fontId="7" fillId="2" borderId="2" xfId="7" applyNumberFormat="1" applyFont="1" applyFill="1" applyBorder="1" applyAlignment="1">
      <alignment vertical="center" wrapText="1"/>
    </xf>
    <xf numFmtId="0" fontId="9" fillId="2" borderId="2" xfId="12" applyFont="1" applyFill="1" applyBorder="1" applyAlignment="1">
      <alignment vertical="center" wrapText="1"/>
    </xf>
    <xf numFmtId="0" fontId="7" fillId="2" borderId="2" xfId="12" applyFont="1" applyFill="1" applyBorder="1" applyAlignment="1">
      <alignment vertical="center" wrapText="1"/>
    </xf>
    <xf numFmtId="0" fontId="7" fillId="0"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167" fontId="3" fillId="0" borderId="21" xfId="27" applyNumberFormat="1" applyFont="1" applyFill="1" applyBorder="1" applyAlignment="1">
      <alignment horizontal="center" vertical="center"/>
    </xf>
    <xf numFmtId="49" fontId="4" fillId="0" borderId="2" xfId="27" applyNumberFormat="1" applyFont="1" applyFill="1" applyBorder="1" applyAlignment="1">
      <alignment horizontal="center" vertical="center"/>
    </xf>
    <xf numFmtId="49" fontId="4" fillId="0" borderId="2" xfId="27" applyNumberFormat="1" applyFont="1" applyFill="1" applyBorder="1" applyAlignment="1">
      <alignment vertical="center"/>
    </xf>
    <xf numFmtId="166" fontId="7" fillId="0" borderId="25" xfId="0" applyNumberFormat="1" applyFont="1" applyBorder="1"/>
    <xf numFmtId="167" fontId="11" fillId="0" borderId="21" xfId="24" applyNumberFormat="1" applyFont="1" applyBorder="1" applyAlignment="1">
      <alignment horizontal="right" vertical="center"/>
    </xf>
    <xf numFmtId="0" fontId="17" fillId="5" borderId="2" xfId="24" applyFont="1" applyFill="1" applyBorder="1" applyAlignment="1">
      <alignment vertical="center" wrapText="1"/>
    </xf>
    <xf numFmtId="0" fontId="17" fillId="5" borderId="6" xfId="24" applyFont="1" applyFill="1" applyBorder="1" applyAlignment="1">
      <alignment horizontal="left" vertical="center" wrapText="1"/>
    </xf>
    <xf numFmtId="0" fontId="3" fillId="0" borderId="2" xfId="24" applyFont="1" applyFill="1" applyBorder="1" applyAlignment="1">
      <alignment horizontal="left" vertical="center" wrapText="1"/>
    </xf>
    <xf numFmtId="0" fontId="3" fillId="0" borderId="2" xfId="24" applyFont="1" applyFill="1" applyBorder="1" applyAlignment="1">
      <alignment horizontal="center" vertical="center" wrapText="1"/>
    </xf>
    <xf numFmtId="175" fontId="3" fillId="0" borderId="2" xfId="23" applyNumberFormat="1" applyFont="1" applyFill="1" applyBorder="1" applyAlignment="1">
      <alignment horizontal="center" vertical="center" wrapText="1"/>
    </xf>
    <xf numFmtId="175" fontId="3" fillId="0" borderId="25" xfId="23" applyNumberFormat="1" applyFont="1" applyFill="1" applyBorder="1" applyAlignment="1">
      <alignment horizontal="center" vertical="center" wrapText="1"/>
    </xf>
    <xf numFmtId="168" fontId="11" fillId="0" borderId="2" xfId="24" applyNumberFormat="1" applyFont="1" applyBorder="1" applyAlignment="1">
      <alignment horizontal="center" vertical="center"/>
    </xf>
    <xf numFmtId="0" fontId="11" fillId="5" borderId="2" xfId="24" applyFont="1" applyFill="1" applyBorder="1" applyAlignment="1">
      <alignment horizontal="right" vertical="center"/>
    </xf>
    <xf numFmtId="0" fontId="11" fillId="5" borderId="2" xfId="6" applyFont="1" applyFill="1" applyBorder="1" applyAlignment="1">
      <alignment horizontal="left" vertical="center" wrapText="1"/>
    </xf>
    <xf numFmtId="0" fontId="4" fillId="0" borderId="2" xfId="24" applyFont="1" applyBorder="1" applyAlignment="1">
      <alignment horizontal="left" vertical="center" wrapText="1"/>
    </xf>
    <xf numFmtId="0" fontId="4" fillId="0" borderId="2" xfId="24" applyFont="1" applyFill="1" applyBorder="1" applyAlignment="1">
      <alignment horizontal="center" vertical="center" wrapText="1"/>
    </xf>
    <xf numFmtId="175" fontId="4" fillId="0" borderId="2" xfId="24" applyNumberFormat="1" applyFont="1" applyFill="1" applyBorder="1" applyAlignment="1">
      <alignment horizontal="center" vertical="center" wrapText="1"/>
    </xf>
    <xf numFmtId="9" fontId="4" fillId="0" borderId="2" xfId="24" applyNumberFormat="1" applyFont="1" applyFill="1" applyBorder="1" applyAlignment="1">
      <alignment horizontal="center" vertical="center" wrapText="1"/>
    </xf>
    <xf numFmtId="9" fontId="4" fillId="0" borderId="25" xfId="24" applyNumberFormat="1" applyFont="1" applyFill="1" applyBorder="1" applyAlignment="1">
      <alignment horizontal="center" vertical="center" wrapText="1"/>
    </xf>
    <xf numFmtId="167" fontId="11" fillId="0" borderId="21" xfId="24" applyNumberFormat="1" applyFont="1" applyFill="1" applyBorder="1" applyAlignment="1">
      <alignment horizontal="center" vertical="center"/>
    </xf>
    <xf numFmtId="168" fontId="11" fillId="0" borderId="2" xfId="24" applyNumberFormat="1" applyFont="1" applyFill="1" applyBorder="1" applyAlignment="1">
      <alignment horizontal="center" vertical="center"/>
    </xf>
    <xf numFmtId="0" fontId="11" fillId="0" borderId="2" xfId="24" applyFont="1" applyFill="1" applyBorder="1" applyAlignment="1">
      <alignment horizontal="center" vertical="center"/>
    </xf>
    <xf numFmtId="0" fontId="11" fillId="0" borderId="2" xfId="6" applyFont="1" applyBorder="1" applyAlignment="1">
      <alignment horizontal="left" vertical="center" wrapText="1"/>
    </xf>
    <xf numFmtId="175" fontId="4" fillId="0" borderId="25" xfId="24" applyNumberFormat="1" applyFont="1" applyFill="1" applyBorder="1" applyAlignment="1">
      <alignment horizontal="center" vertical="center" wrapText="1"/>
    </xf>
    <xf numFmtId="0" fontId="4" fillId="0" borderId="4" xfId="24" applyFont="1" applyBorder="1" applyAlignment="1">
      <alignment horizontal="left" vertical="center" wrapText="1"/>
    </xf>
    <xf numFmtId="0" fontId="4" fillId="2" borderId="2" xfId="24" applyFont="1" applyFill="1" applyBorder="1" applyAlignment="1">
      <alignment horizontal="left" vertical="center" wrapText="1"/>
    </xf>
    <xf numFmtId="0" fontId="4" fillId="2" borderId="2" xfId="24" applyFont="1" applyFill="1" applyBorder="1" applyAlignment="1">
      <alignment horizontal="center" vertical="center" wrapText="1"/>
    </xf>
    <xf numFmtId="0" fontId="4" fillId="2" borderId="2" xfId="24" applyNumberFormat="1" applyFont="1" applyFill="1" applyBorder="1" applyAlignment="1">
      <alignment horizontal="center" vertical="center" wrapText="1"/>
    </xf>
    <xf numFmtId="0" fontId="4" fillId="2" borderId="25" xfId="24" applyFont="1" applyFill="1" applyBorder="1" applyAlignment="1">
      <alignment horizontal="center" vertical="center" wrapText="1"/>
    </xf>
    <xf numFmtId="167" fontId="11" fillId="2" borderId="21" xfId="24" applyNumberFormat="1" applyFont="1" applyFill="1" applyBorder="1" applyAlignment="1">
      <alignment horizontal="center" vertical="center"/>
    </xf>
    <xf numFmtId="168" fontId="11" fillId="2" borderId="2" xfId="24" applyNumberFormat="1" applyFont="1" applyFill="1" applyBorder="1" applyAlignment="1">
      <alignment horizontal="center" vertical="center"/>
    </xf>
    <xf numFmtId="0" fontId="11" fillId="2" borderId="2" xfId="24" applyFont="1" applyFill="1" applyBorder="1" applyAlignment="1">
      <alignment horizontal="center"/>
    </xf>
    <xf numFmtId="0" fontId="4" fillId="2" borderId="53" xfId="24" applyFont="1" applyFill="1" applyBorder="1" applyAlignment="1">
      <alignment horizontal="left" vertical="center" wrapText="1"/>
    </xf>
    <xf numFmtId="167" fontId="11" fillId="2" borderId="21" xfId="24" applyNumberFormat="1" applyFont="1" applyFill="1" applyBorder="1" applyAlignment="1">
      <alignment horizontal="right" vertical="center"/>
    </xf>
    <xf numFmtId="0" fontId="11" fillId="2" borderId="2" xfId="24" applyFont="1" applyFill="1" applyBorder="1" applyAlignment="1">
      <alignment horizontal="right" vertical="center"/>
    </xf>
    <xf numFmtId="0" fontId="11" fillId="2" borderId="2" xfId="24" applyFont="1" applyFill="1" applyBorder="1" applyAlignment="1">
      <alignment horizontal="left" vertical="center" wrapText="1"/>
    </xf>
    <xf numFmtId="175" fontId="4" fillId="2" borderId="2" xfId="24" applyNumberFormat="1" applyFont="1" applyFill="1" applyBorder="1" applyAlignment="1">
      <alignment horizontal="center" vertical="center" wrapText="1"/>
    </xf>
    <xf numFmtId="175" fontId="4" fillId="2" borderId="25" xfId="24" applyNumberFormat="1" applyFont="1" applyFill="1" applyBorder="1" applyAlignment="1">
      <alignment horizontal="center" vertical="center" wrapText="1"/>
    </xf>
    <xf numFmtId="167" fontId="11" fillId="0" borderId="21" xfId="24" applyNumberFormat="1" applyFont="1" applyFill="1" applyBorder="1" applyAlignment="1">
      <alignment horizontal="right" vertical="center"/>
    </xf>
    <xf numFmtId="0" fontId="11" fillId="0" borderId="2" xfId="24" applyFont="1" applyFill="1" applyBorder="1" applyAlignment="1">
      <alignment horizontal="right" vertical="center"/>
    </xf>
    <xf numFmtId="0" fontId="4" fillId="0" borderId="25" xfId="24" applyFont="1" applyFill="1" applyBorder="1" applyAlignment="1">
      <alignment horizontal="center" vertical="center" wrapText="1"/>
    </xf>
    <xf numFmtId="171" fontId="11" fillId="0" borderId="21" xfId="24" applyNumberFormat="1" applyFont="1" applyFill="1" applyBorder="1" applyAlignment="1">
      <alignment horizontal="center" vertical="center" wrapText="1"/>
    </xf>
    <xf numFmtId="0" fontId="11" fillId="0" borderId="2" xfId="24" applyFont="1" applyFill="1" applyBorder="1" applyAlignment="1">
      <alignment horizontal="center" wrapText="1"/>
    </xf>
    <xf numFmtId="0" fontId="3" fillId="2" borderId="2" xfId="24" applyFont="1" applyFill="1" applyBorder="1" applyAlignment="1">
      <alignment horizontal="left" vertical="center" wrapText="1"/>
    </xf>
    <xf numFmtId="0" fontId="3" fillId="0" borderId="25" xfId="24" applyFont="1" applyFill="1" applyBorder="1" applyAlignment="1">
      <alignment horizontal="center" vertical="center" wrapText="1"/>
    </xf>
    <xf numFmtId="0" fontId="4" fillId="0" borderId="4" xfId="24" applyFont="1" applyFill="1" applyBorder="1" applyAlignment="1">
      <alignment horizontal="left" wrapText="1"/>
    </xf>
    <xf numFmtId="0" fontId="4" fillId="0" borderId="2" xfId="24" applyFont="1" applyFill="1" applyBorder="1" applyAlignment="1">
      <alignment horizontal="left" vertical="center" wrapText="1"/>
    </xf>
    <xf numFmtId="1" fontId="4" fillId="0" borderId="2" xfId="24" applyNumberFormat="1" applyFont="1" applyFill="1" applyBorder="1" applyAlignment="1">
      <alignment horizontal="center" vertical="center" wrapText="1"/>
    </xf>
    <xf numFmtId="1" fontId="4" fillId="0" borderId="25" xfId="24" applyNumberFormat="1" applyFont="1" applyFill="1" applyBorder="1" applyAlignment="1">
      <alignment horizontal="center" vertical="center" wrapText="1"/>
    </xf>
    <xf numFmtId="0" fontId="4" fillId="0" borderId="2" xfId="24" applyFont="1" applyFill="1" applyBorder="1" applyAlignment="1">
      <alignment horizontal="left" wrapText="1"/>
    </xf>
    <xf numFmtId="0" fontId="4" fillId="0" borderId="2" xfId="24" applyFont="1" applyFill="1" applyBorder="1" applyAlignment="1">
      <alignment horizontal="left" vertical="top" wrapText="1"/>
    </xf>
    <xf numFmtId="1" fontId="11" fillId="0" borderId="2" xfId="10" applyNumberFormat="1" applyFont="1" applyBorder="1" applyAlignment="1">
      <alignment horizontal="center" vertical="center"/>
    </xf>
    <xf numFmtId="1" fontId="11" fillId="0" borderId="25" xfId="10" applyNumberFormat="1" applyFont="1" applyBorder="1" applyAlignment="1">
      <alignment horizontal="center" vertical="center"/>
    </xf>
    <xf numFmtId="0" fontId="7" fillId="2" borderId="21" xfId="24" applyFont="1" applyFill="1" applyBorder="1" applyAlignment="1">
      <alignment horizontal="center"/>
    </xf>
    <xf numFmtId="0" fontId="7" fillId="2" borderId="2" xfId="24" applyFont="1" applyFill="1" applyBorder="1" applyAlignment="1">
      <alignment horizontal="center"/>
    </xf>
    <xf numFmtId="0" fontId="7" fillId="2" borderId="53" xfId="24" applyFont="1" applyFill="1" applyBorder="1" applyAlignment="1">
      <alignment horizontal="left" vertical="center" wrapText="1"/>
    </xf>
    <xf numFmtId="0" fontId="7" fillId="2" borderId="2" xfId="24" applyFont="1" applyFill="1" applyBorder="1" applyAlignment="1">
      <alignment horizontal="left" vertical="center" wrapText="1"/>
    </xf>
    <xf numFmtId="0" fontId="7" fillId="2" borderId="2" xfId="24" applyFont="1" applyFill="1" applyBorder="1" applyAlignment="1">
      <alignment horizontal="center" vertical="center" wrapText="1"/>
    </xf>
    <xf numFmtId="9" fontId="7" fillId="2" borderId="2" xfId="24" applyNumberFormat="1" applyFont="1" applyFill="1" applyBorder="1" applyAlignment="1">
      <alignment horizontal="center" vertical="center"/>
    </xf>
    <xf numFmtId="9" fontId="7" fillId="2" borderId="25" xfId="24" applyNumberFormat="1" applyFont="1" applyFill="1" applyBorder="1" applyAlignment="1">
      <alignment horizontal="center" vertical="center"/>
    </xf>
    <xf numFmtId="0" fontId="11" fillId="0" borderId="2" xfId="24" applyFont="1" applyFill="1" applyBorder="1" applyAlignment="1">
      <alignment horizontal="center"/>
    </xf>
    <xf numFmtId="0" fontId="9" fillId="0" borderId="2" xfId="24" applyFont="1" applyFill="1" applyBorder="1" applyAlignment="1">
      <alignment horizontal="center" vertical="center"/>
    </xf>
    <xf numFmtId="1" fontId="9" fillId="0" borderId="2" xfId="24" applyNumberFormat="1" applyFont="1" applyFill="1" applyBorder="1" applyAlignment="1">
      <alignment horizontal="center" vertical="center"/>
    </xf>
    <xf numFmtId="9" fontId="7" fillId="0" borderId="2" xfId="24" applyNumberFormat="1" applyFont="1" applyFill="1" applyBorder="1" applyAlignment="1">
      <alignment horizontal="center" vertical="center" wrapText="1"/>
    </xf>
    <xf numFmtId="0" fontId="4" fillId="0" borderId="2" xfId="24" applyFont="1" applyFill="1" applyBorder="1" applyAlignment="1">
      <alignment horizontal="center" vertical="center"/>
    </xf>
    <xf numFmtId="0" fontId="11" fillId="2" borderId="21" xfId="24" applyFont="1" applyFill="1" applyBorder="1" applyAlignment="1">
      <alignment horizontal="center"/>
    </xf>
    <xf numFmtId="0" fontId="4" fillId="2" borderId="2" xfId="24" applyFont="1" applyFill="1" applyBorder="1" applyAlignment="1">
      <alignment vertical="center" wrapText="1"/>
    </xf>
    <xf numFmtId="9" fontId="4" fillId="2" borderId="2" xfId="26" applyFont="1" applyFill="1" applyBorder="1" applyAlignment="1">
      <alignment horizontal="center" vertical="center"/>
    </xf>
    <xf numFmtId="9" fontId="4" fillId="2" borderId="25" xfId="26" applyFont="1" applyFill="1" applyBorder="1" applyAlignment="1">
      <alignment horizontal="center" vertical="center"/>
    </xf>
    <xf numFmtId="1" fontId="4" fillId="2" borderId="2" xfId="24" applyNumberFormat="1" applyFont="1" applyFill="1" applyBorder="1" applyAlignment="1">
      <alignment horizontal="center" vertical="center"/>
    </xf>
    <xf numFmtId="1" fontId="4" fillId="2" borderId="25" xfId="24" applyNumberFormat="1" applyFont="1" applyFill="1" applyBorder="1" applyAlignment="1">
      <alignment horizontal="center" vertical="center"/>
    </xf>
    <xf numFmtId="0" fontId="4" fillId="2" borderId="2" xfId="24" applyFont="1" applyFill="1" applyBorder="1" applyAlignment="1">
      <alignment horizontal="center" vertical="center"/>
    </xf>
    <xf numFmtId="0" fontId="4" fillId="2" borderId="25" xfId="24" applyFont="1" applyFill="1" applyBorder="1" applyAlignment="1">
      <alignment horizontal="center" vertical="center"/>
    </xf>
    <xf numFmtId="9" fontId="4" fillId="2" borderId="2" xfId="24" applyNumberFormat="1" applyFont="1" applyFill="1" applyBorder="1" applyAlignment="1">
      <alignment horizontal="center" vertical="center"/>
    </xf>
    <xf numFmtId="175" fontId="4" fillId="2" borderId="2" xfId="24" applyNumberFormat="1" applyFont="1" applyFill="1" applyBorder="1" applyAlignment="1">
      <alignment horizontal="center" vertical="center"/>
    </xf>
    <xf numFmtId="9" fontId="4" fillId="2" borderId="25" xfId="24" applyNumberFormat="1" applyFont="1" applyFill="1" applyBorder="1" applyAlignment="1">
      <alignment horizontal="center" vertical="center"/>
    </xf>
    <xf numFmtId="0" fontId="4" fillId="2" borderId="2" xfId="24" applyNumberFormat="1" applyFont="1" applyFill="1" applyBorder="1" applyAlignment="1">
      <alignment horizontal="center" vertical="center"/>
    </xf>
    <xf numFmtId="0" fontId="4" fillId="2" borderId="25" xfId="24" applyNumberFormat="1" applyFont="1" applyFill="1" applyBorder="1" applyAlignment="1">
      <alignment horizontal="center" vertical="center"/>
    </xf>
    <xf numFmtId="0" fontId="11" fillId="0" borderId="21" xfId="24" applyFont="1" applyFill="1" applyBorder="1" applyAlignment="1">
      <alignment horizontal="center"/>
    </xf>
    <xf numFmtId="9" fontId="4" fillId="0" borderId="2" xfId="24" applyNumberFormat="1" applyFont="1" applyFill="1" applyBorder="1" applyAlignment="1">
      <alignment horizontal="center" vertical="center"/>
    </xf>
    <xf numFmtId="9" fontId="4" fillId="0" borderId="25" xfId="24" applyNumberFormat="1" applyFont="1" applyFill="1" applyBorder="1" applyAlignment="1">
      <alignment horizontal="center" vertical="center"/>
    </xf>
    <xf numFmtId="9" fontId="4" fillId="0" borderId="2" xfId="26" applyFont="1" applyFill="1" applyBorder="1" applyAlignment="1">
      <alignment horizontal="center" vertical="center"/>
    </xf>
    <xf numFmtId="9" fontId="4" fillId="0" borderId="25" xfId="26" applyFont="1" applyFill="1" applyBorder="1" applyAlignment="1">
      <alignment horizontal="center" vertical="center"/>
    </xf>
    <xf numFmtId="0" fontId="7" fillId="0" borderId="25" xfId="0" applyFont="1" applyFill="1" applyBorder="1" applyAlignment="1">
      <alignment vertical="center" wrapText="1"/>
    </xf>
    <xf numFmtId="49" fontId="9" fillId="0" borderId="2" xfId="0" applyNumberFormat="1" applyFont="1" applyFill="1" applyBorder="1" applyAlignment="1">
      <alignment vertical="center" wrapText="1"/>
    </xf>
    <xf numFmtId="49" fontId="7" fillId="2" borderId="2" xfId="0" applyNumberFormat="1" applyFont="1" applyFill="1" applyBorder="1" applyAlignment="1">
      <alignment vertical="center" wrapText="1"/>
    </xf>
    <xf numFmtId="49" fontId="9" fillId="2" borderId="2" xfId="0" applyNumberFormat="1" applyFont="1" applyFill="1" applyBorder="1" applyAlignment="1">
      <alignment vertical="center" wrapText="1"/>
    </xf>
    <xf numFmtId="0" fontId="7" fillId="2" borderId="25" xfId="0" applyFont="1" applyFill="1" applyBorder="1" applyAlignment="1">
      <alignment vertical="center"/>
    </xf>
    <xf numFmtId="0" fontId="9" fillId="2" borderId="2" xfId="0" applyFont="1" applyFill="1" applyBorder="1" applyAlignment="1">
      <alignment horizontal="right" vertical="center"/>
    </xf>
    <xf numFmtId="0" fontId="4" fillId="2" borderId="25" xfId="0" applyFont="1" applyFill="1" applyBorder="1" applyAlignment="1">
      <alignment vertical="center"/>
    </xf>
    <xf numFmtId="0" fontId="7" fillId="0" borderId="25" xfId="0" applyFont="1" applyBorder="1" applyAlignment="1">
      <alignment vertical="center"/>
    </xf>
    <xf numFmtId="167" fontId="7" fillId="0" borderId="21" xfId="0" applyNumberFormat="1" applyFont="1" applyBorder="1" applyAlignment="1">
      <alignment horizontal="center" vertical="center"/>
    </xf>
    <xf numFmtId="0" fontId="7" fillId="0" borderId="2" xfId="0" applyFont="1" applyBorder="1" applyAlignment="1">
      <alignment vertical="center"/>
    </xf>
    <xf numFmtId="167" fontId="9" fillId="2" borderId="21" xfId="0" applyNumberFormat="1" applyFont="1" applyFill="1" applyBorder="1" applyAlignment="1">
      <alignment vertical="center"/>
    </xf>
    <xf numFmtId="0" fontId="9" fillId="2" borderId="2" xfId="0" applyFont="1" applyFill="1" applyBorder="1" applyAlignment="1">
      <alignment vertical="center"/>
    </xf>
    <xf numFmtId="169" fontId="9" fillId="2" borderId="2" xfId="0" applyNumberFormat="1" applyFont="1" applyFill="1" applyBorder="1" applyAlignment="1">
      <alignment vertical="center" wrapText="1"/>
    </xf>
    <xf numFmtId="169" fontId="9" fillId="2" borderId="25" xfId="0" applyNumberFormat="1" applyFont="1" applyFill="1" applyBorder="1" applyAlignment="1">
      <alignment vertical="center" wrapText="1"/>
    </xf>
    <xf numFmtId="9" fontId="7" fillId="2" borderId="25" xfId="0" applyNumberFormat="1" applyFont="1" applyFill="1" applyBorder="1" applyAlignment="1">
      <alignment vertical="center" wrapText="1"/>
    </xf>
    <xf numFmtId="167" fontId="7" fillId="2" borderId="21" xfId="0" applyNumberFormat="1" applyFont="1" applyFill="1" applyBorder="1" applyAlignment="1">
      <alignment vertical="center"/>
    </xf>
    <xf numFmtId="168" fontId="7" fillId="2" borderId="2" xfId="0" applyNumberFormat="1" applyFont="1" applyFill="1" applyBorder="1" applyAlignment="1">
      <alignment vertical="center"/>
    </xf>
    <xf numFmtId="0" fontId="7" fillId="2" borderId="25" xfId="0" applyFont="1" applyFill="1" applyBorder="1" applyAlignment="1">
      <alignment vertical="center" wrapText="1"/>
    </xf>
    <xf numFmtId="49" fontId="9" fillId="2" borderId="2" xfId="0" applyNumberFormat="1" applyFont="1" applyFill="1" applyBorder="1" applyAlignment="1">
      <alignment vertical="center"/>
    </xf>
    <xf numFmtId="3" fontId="7" fillId="2" borderId="25" xfId="0" applyNumberFormat="1" applyFont="1" applyFill="1" applyBorder="1" applyAlignment="1">
      <alignment vertical="center" wrapText="1"/>
    </xf>
    <xf numFmtId="167" fontId="3" fillId="2" borderId="21" xfId="0" applyNumberFormat="1" applyFont="1" applyFill="1" applyBorder="1" applyAlignment="1">
      <alignment vertical="center"/>
    </xf>
    <xf numFmtId="0" fontId="3" fillId="2" borderId="2" xfId="0" applyFont="1" applyFill="1" applyBorder="1" applyAlignment="1">
      <alignment vertical="center"/>
    </xf>
    <xf numFmtId="0" fontId="3" fillId="2" borderId="2" xfId="17"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25" xfId="0" applyFont="1" applyFill="1" applyBorder="1" applyAlignment="1">
      <alignment horizontal="center" vertical="center"/>
    </xf>
    <xf numFmtId="1" fontId="7" fillId="2" borderId="25" xfId="0" applyNumberFormat="1" applyFont="1" applyFill="1" applyBorder="1" applyAlignment="1">
      <alignment vertical="center" wrapText="1"/>
    </xf>
    <xf numFmtId="0" fontId="7" fillId="2" borderId="25" xfId="0" applyNumberFormat="1" applyFont="1" applyFill="1" applyBorder="1" applyAlignment="1">
      <alignment vertical="center" wrapText="1"/>
    </xf>
    <xf numFmtId="0" fontId="17" fillId="2" borderId="2" xfId="17" applyFont="1" applyFill="1" applyBorder="1" applyAlignment="1">
      <alignment vertical="center" wrapText="1"/>
    </xf>
    <xf numFmtId="1" fontId="17" fillId="2" borderId="2" xfId="17" applyNumberFormat="1" applyFont="1" applyFill="1" applyBorder="1" applyAlignment="1">
      <alignment vertical="center" wrapText="1"/>
    </xf>
    <xf numFmtId="1" fontId="17" fillId="2" borderId="25" xfId="17" applyNumberFormat="1" applyFont="1" applyFill="1" applyBorder="1" applyAlignment="1">
      <alignment vertical="center" wrapText="1"/>
    </xf>
    <xf numFmtId="1" fontId="11" fillId="2" borderId="2" xfId="17" applyNumberFormat="1" applyFont="1" applyFill="1" applyBorder="1" applyAlignment="1">
      <alignment vertical="center" wrapText="1"/>
    </xf>
    <xf numFmtId="1" fontId="11" fillId="2" borderId="25" xfId="17" applyNumberFormat="1" applyFont="1" applyFill="1" applyBorder="1" applyAlignment="1">
      <alignment vertical="center" wrapText="1"/>
    </xf>
    <xf numFmtId="0" fontId="3" fillId="2" borderId="53" xfId="0" applyFont="1" applyFill="1" applyBorder="1" applyAlignment="1">
      <alignment horizontal="left" vertical="top" wrapText="1"/>
    </xf>
    <xf numFmtId="0" fontId="6" fillId="2" borderId="4" xfId="0" applyFont="1" applyFill="1" applyBorder="1" applyAlignment="1">
      <alignment horizontal="left" vertical="top" wrapText="1"/>
    </xf>
    <xf numFmtId="0" fontId="3" fillId="2" borderId="53" xfId="0" applyFont="1" applyFill="1" applyBorder="1" applyAlignment="1">
      <alignment horizontal="justify" vertical="top"/>
    </xf>
    <xf numFmtId="49" fontId="3" fillId="2" borderId="2" xfId="0" applyNumberFormat="1" applyFont="1" applyFill="1" applyBorder="1" applyAlignment="1">
      <alignment horizontal="center" vertical="top"/>
    </xf>
    <xf numFmtId="49" fontId="4" fillId="2" borderId="2" xfId="0" applyNumberFormat="1" applyFont="1" applyFill="1" applyBorder="1" applyAlignment="1">
      <alignment horizontal="center" vertical="top"/>
    </xf>
    <xf numFmtId="0" fontId="4" fillId="2" borderId="0" xfId="0" applyFont="1" applyFill="1" applyAlignment="1">
      <alignment horizontal="center" vertical="center"/>
    </xf>
    <xf numFmtId="3" fontId="4" fillId="2" borderId="53" xfId="0" applyNumberFormat="1"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167" fontId="9" fillId="0" borderId="21" xfId="0" applyNumberFormat="1" applyFont="1" applyBorder="1" applyAlignment="1">
      <alignment horizontal="right" vertical="center"/>
    </xf>
    <xf numFmtId="0" fontId="9" fillId="2" borderId="4" xfId="13" applyFont="1" applyFill="1" applyBorder="1" applyAlignment="1">
      <alignment horizontal="left" vertical="center" wrapText="1"/>
    </xf>
    <xf numFmtId="0" fontId="9" fillId="2" borderId="25" xfId="0" applyFont="1" applyFill="1" applyBorder="1" applyAlignment="1">
      <alignment vertical="center" wrapText="1"/>
    </xf>
    <xf numFmtId="49" fontId="9" fillId="2" borderId="25" xfId="0" applyNumberFormat="1" applyFont="1" applyFill="1" applyBorder="1" applyAlignment="1">
      <alignment vertical="center" wrapText="1"/>
    </xf>
    <xf numFmtId="166" fontId="9" fillId="2" borderId="2" xfId="0" applyNumberFormat="1" applyFont="1" applyFill="1" applyBorder="1" applyAlignment="1">
      <alignment vertical="center"/>
    </xf>
    <xf numFmtId="166" fontId="9" fillId="2" borderId="25" xfId="0" applyNumberFormat="1" applyFont="1" applyFill="1" applyBorder="1" applyAlignment="1">
      <alignment vertical="center"/>
    </xf>
    <xf numFmtId="166" fontId="7" fillId="2" borderId="2" xfId="0" applyNumberFormat="1" applyFont="1" applyFill="1" applyBorder="1" applyAlignment="1">
      <alignment vertical="center"/>
    </xf>
    <xf numFmtId="166" fontId="7" fillId="2" borderId="25" xfId="0" applyNumberFormat="1" applyFont="1" applyFill="1" applyBorder="1" applyAlignment="1">
      <alignment vertical="center"/>
    </xf>
    <xf numFmtId="49" fontId="9" fillId="2" borderId="21" xfId="0" applyNumberFormat="1" applyFont="1" applyFill="1" applyBorder="1" applyAlignment="1">
      <alignment vertical="center"/>
    </xf>
    <xf numFmtId="166" fontId="9" fillId="2" borderId="2" xfId="0" applyNumberFormat="1" applyFont="1" applyFill="1" applyBorder="1" applyAlignment="1">
      <alignment vertical="center" wrapText="1"/>
    </xf>
    <xf numFmtId="166" fontId="9" fillId="2" borderId="25" xfId="0" applyNumberFormat="1" applyFont="1" applyFill="1" applyBorder="1" applyAlignment="1">
      <alignment vertical="center" wrapText="1"/>
    </xf>
    <xf numFmtId="0" fontId="4" fillId="2" borderId="16" xfId="0" applyFont="1" applyFill="1" applyBorder="1" applyAlignment="1">
      <alignment horizontal="left" vertical="center" wrapText="1"/>
    </xf>
    <xf numFmtId="167" fontId="9" fillId="0" borderId="13" xfId="6" applyNumberFormat="1" applyFont="1" applyFill="1" applyBorder="1" applyAlignment="1">
      <alignment horizontal="right" vertical="center"/>
    </xf>
    <xf numFmtId="0" fontId="7" fillId="0" borderId="4" xfId="6" applyFont="1" applyFill="1" applyBorder="1" applyAlignment="1">
      <alignment horizontal="right" vertical="center"/>
    </xf>
    <xf numFmtId="0" fontId="9" fillId="0" borderId="14" xfId="6" applyFont="1" applyFill="1" applyBorder="1" applyAlignment="1">
      <alignment horizontal="center" vertical="center"/>
    </xf>
    <xf numFmtId="169" fontId="9" fillId="0" borderId="2" xfId="6" applyNumberFormat="1" applyFont="1" applyFill="1" applyBorder="1" applyAlignment="1">
      <alignment horizontal="center" vertical="center" wrapText="1"/>
    </xf>
    <xf numFmtId="0" fontId="9" fillId="0" borderId="2" xfId="6" applyFont="1" applyFill="1" applyBorder="1" applyAlignment="1">
      <alignment horizontal="center" vertical="center" wrapText="1"/>
    </xf>
    <xf numFmtId="167" fontId="9" fillId="0" borderId="53" xfId="6" applyNumberFormat="1" applyFont="1" applyFill="1" applyBorder="1" applyAlignment="1">
      <alignment horizontal="right" vertical="center"/>
    </xf>
    <xf numFmtId="0" fontId="7" fillId="0" borderId="14" xfId="6" applyFont="1" applyFill="1" applyBorder="1" applyAlignment="1">
      <alignment horizontal="center" vertical="center"/>
    </xf>
    <xf numFmtId="0" fontId="7" fillId="0" borderId="2" xfId="6" applyFont="1" applyFill="1" applyBorder="1" applyAlignment="1">
      <alignment horizontal="center" vertical="center" wrapText="1"/>
    </xf>
    <xf numFmtId="167" fontId="9" fillId="0" borderId="3" xfId="6" applyNumberFormat="1" applyFont="1" applyFill="1" applyBorder="1" applyAlignment="1">
      <alignment horizontal="center" vertical="center"/>
    </xf>
    <xf numFmtId="49" fontId="9" fillId="0" borderId="53" xfId="6" applyNumberFormat="1" applyFont="1" applyFill="1" applyBorder="1" applyAlignment="1">
      <alignment horizontal="center" vertical="center"/>
    </xf>
    <xf numFmtId="49" fontId="7" fillId="0" borderId="53" xfId="6" applyNumberFormat="1" applyFont="1" applyFill="1" applyBorder="1" applyAlignment="1">
      <alignment vertical="center"/>
    </xf>
    <xf numFmtId="49" fontId="7" fillId="0" borderId="56" xfId="6" applyNumberFormat="1" applyFont="1" applyFill="1" applyBorder="1" applyAlignment="1">
      <alignment horizontal="center" vertical="center"/>
    </xf>
    <xf numFmtId="0" fontId="9" fillId="0" borderId="2" xfId="6" applyFont="1" applyFill="1" applyBorder="1" applyAlignment="1">
      <alignment horizontal="center" vertical="center"/>
    </xf>
    <xf numFmtId="0" fontId="7" fillId="0" borderId="2" xfId="6" applyFont="1" applyFill="1" applyBorder="1" applyAlignment="1">
      <alignment horizontal="center" vertical="center"/>
    </xf>
    <xf numFmtId="49" fontId="9" fillId="0" borderId="53" xfId="6" applyNumberFormat="1" applyFont="1" applyFill="1" applyBorder="1" applyAlignment="1">
      <alignment vertical="center"/>
    </xf>
    <xf numFmtId="49" fontId="7" fillId="0" borderId="56" xfId="6" applyNumberFormat="1" applyFont="1" applyFill="1" applyBorder="1" applyAlignment="1">
      <alignment vertical="center"/>
    </xf>
    <xf numFmtId="49" fontId="9" fillId="0" borderId="3" xfId="6" applyNumberFormat="1" applyFont="1" applyFill="1" applyBorder="1" applyAlignment="1">
      <alignment vertical="center"/>
    </xf>
    <xf numFmtId="49" fontId="7" fillId="0" borderId="16" xfId="6" applyNumberFormat="1" applyFont="1" applyFill="1" applyBorder="1" applyAlignment="1">
      <alignment vertical="center"/>
    </xf>
    <xf numFmtId="3" fontId="7" fillId="0" borderId="2" xfId="6" applyNumberFormat="1" applyFont="1" applyFill="1" applyBorder="1" applyAlignment="1">
      <alignment horizontal="center" vertical="center" wrapText="1"/>
    </xf>
    <xf numFmtId="49" fontId="9" fillId="0" borderId="4" xfId="6" applyNumberFormat="1" applyFont="1" applyFill="1" applyBorder="1" applyAlignment="1">
      <alignment vertical="center"/>
    </xf>
    <xf numFmtId="49" fontId="9" fillId="0" borderId="3" xfId="6" applyNumberFormat="1" applyFont="1" applyFill="1" applyBorder="1" applyAlignment="1">
      <alignment horizontal="center" vertical="center"/>
    </xf>
    <xf numFmtId="49" fontId="7" fillId="0" borderId="3" xfId="6" applyNumberFormat="1" applyFont="1" applyFill="1" applyBorder="1" applyAlignment="1">
      <alignment vertical="center"/>
    </xf>
    <xf numFmtId="0" fontId="7" fillId="0" borderId="53" xfId="6" applyFont="1" applyFill="1" applyBorder="1" applyAlignment="1">
      <alignment vertical="center" wrapText="1"/>
    </xf>
    <xf numFmtId="49" fontId="7" fillId="0" borderId="2" xfId="6" applyNumberFormat="1" applyFont="1" applyFill="1" applyBorder="1" applyAlignment="1">
      <alignment horizontal="center" vertical="center" wrapText="1"/>
    </xf>
    <xf numFmtId="1" fontId="7" fillId="0" borderId="2" xfId="6" applyNumberFormat="1" applyFont="1" applyFill="1" applyBorder="1" applyAlignment="1">
      <alignment horizontal="center" vertical="center" wrapText="1"/>
    </xf>
    <xf numFmtId="49" fontId="7" fillId="0" borderId="16" xfId="6" applyNumberFormat="1" applyFont="1" applyFill="1" applyBorder="1" applyAlignment="1">
      <alignment horizontal="center" vertical="center"/>
    </xf>
    <xf numFmtId="0" fontId="7" fillId="0" borderId="4" xfId="6" applyFont="1" applyFill="1" applyBorder="1" applyAlignment="1">
      <alignment horizontal="left" vertical="center" wrapText="1"/>
    </xf>
    <xf numFmtId="0" fontId="7" fillId="0" borderId="53" xfId="6" applyFont="1" applyFill="1" applyBorder="1" applyAlignment="1">
      <alignment horizontal="left" vertical="center" wrapText="1"/>
    </xf>
    <xf numFmtId="166" fontId="7" fillId="0" borderId="2" xfId="6" applyNumberFormat="1" applyFont="1" applyFill="1" applyBorder="1" applyAlignment="1">
      <alignment horizontal="center" vertical="center" wrapText="1"/>
    </xf>
    <xf numFmtId="0" fontId="7" fillId="0" borderId="4" xfId="6" applyFont="1" applyFill="1" applyBorder="1" applyAlignment="1">
      <alignment horizontal="center" vertical="center" wrapText="1"/>
    </xf>
    <xf numFmtId="0" fontId="7" fillId="0" borderId="2" xfId="6" applyFont="1" applyFill="1" applyBorder="1" applyAlignment="1">
      <alignment horizontal="left" vertical="top" wrapText="1"/>
    </xf>
    <xf numFmtId="49" fontId="7" fillId="0" borderId="53" xfId="6" applyNumberFormat="1" applyFont="1" applyFill="1" applyBorder="1" applyAlignment="1">
      <alignment horizontal="center" vertical="center"/>
    </xf>
    <xf numFmtId="0" fontId="7" fillId="2" borderId="2" xfId="0" applyFont="1" applyFill="1" applyBorder="1" applyAlignment="1">
      <alignment horizontal="left" wrapText="1"/>
    </xf>
    <xf numFmtId="0" fontId="9" fillId="0" borderId="53" xfId="0" applyFont="1" applyBorder="1" applyAlignment="1">
      <alignment vertical="center" wrapText="1"/>
    </xf>
    <xf numFmtId="169" fontId="7" fillId="0" borderId="2" xfId="0" applyNumberFormat="1" applyFont="1" applyBorder="1" applyAlignment="1">
      <alignment vertical="center" wrapText="1"/>
    </xf>
    <xf numFmtId="0" fontId="7" fillId="0" borderId="25" xfId="0" applyFont="1" applyBorder="1" applyAlignment="1">
      <alignment vertical="center" wrapText="1"/>
    </xf>
    <xf numFmtId="0" fontId="6" fillId="2" borderId="4" xfId="0" applyFont="1" applyFill="1" applyBorder="1" applyAlignment="1">
      <alignment horizontal="left" vertical="center" wrapText="1"/>
    </xf>
    <xf numFmtId="0" fontId="7" fillId="0" borderId="6" xfId="6" applyFont="1" applyFill="1" applyBorder="1" applyAlignment="1">
      <alignment horizontal="left" vertical="center" wrapText="1"/>
    </xf>
    <xf numFmtId="0" fontId="7" fillId="0" borderId="25" xfId="0" applyFont="1" applyBorder="1" applyAlignment="1">
      <alignment horizontal="center" vertical="center" wrapText="1"/>
    </xf>
    <xf numFmtId="0" fontId="4" fillId="2" borderId="2" xfId="5" applyFont="1" applyFill="1" applyBorder="1" applyAlignment="1">
      <alignment horizontal="left" vertical="center" wrapText="1"/>
    </xf>
    <xf numFmtId="0" fontId="7" fillId="0" borderId="25"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7" fillId="0" borderId="25" xfId="0" applyFont="1" applyFill="1" applyBorder="1" applyAlignment="1">
      <alignment horizontal="center" vertical="center"/>
    </xf>
    <xf numFmtId="3" fontId="7" fillId="0" borderId="25" xfId="0" applyNumberFormat="1"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2" xfId="0" applyFont="1" applyBorder="1" applyAlignment="1">
      <alignment vertical="center" wrapText="1"/>
    </xf>
    <xf numFmtId="166" fontId="3" fillId="0" borderId="2" xfId="10" applyNumberFormat="1" applyFont="1" applyBorder="1" applyAlignment="1">
      <alignment horizontal="left" vertical="center" wrapText="1"/>
    </xf>
    <xf numFmtId="166" fontId="3" fillId="0" borderId="2" xfId="10" applyNumberFormat="1" applyFont="1" applyBorder="1" applyAlignment="1">
      <alignment horizontal="center" vertical="center" wrapText="1"/>
    </xf>
    <xf numFmtId="166" fontId="3" fillId="0" borderId="2" xfId="7" applyNumberFormat="1" applyFont="1" applyBorder="1" applyAlignment="1">
      <alignment vertical="center" wrapText="1"/>
    </xf>
    <xf numFmtId="0" fontId="10" fillId="0" borderId="2" xfId="0" applyFont="1" applyBorder="1" applyAlignment="1">
      <alignment horizontal="left" vertical="center" wrapText="1"/>
    </xf>
    <xf numFmtId="0" fontId="3" fillId="0" borderId="6" xfId="0" applyFont="1" applyBorder="1" applyAlignment="1">
      <alignment horizontal="left" vertical="center" wrapText="1"/>
    </xf>
    <xf numFmtId="0" fontId="3" fillId="0" borderId="9" xfId="0" applyFont="1" applyBorder="1" applyAlignment="1">
      <alignment vertical="center" wrapText="1"/>
    </xf>
    <xf numFmtId="0" fontId="3" fillId="0" borderId="2" xfId="0" applyFont="1" applyBorder="1" applyAlignment="1">
      <alignment horizontal="center" vertical="center" wrapText="1"/>
    </xf>
    <xf numFmtId="0" fontId="9" fillId="0" borderId="2" xfId="0" applyFont="1" applyBorder="1" applyAlignment="1">
      <alignment vertical="center"/>
    </xf>
    <xf numFmtId="0" fontId="9" fillId="0" borderId="25" xfId="0" applyFont="1" applyBorder="1" applyAlignment="1">
      <alignment vertical="center"/>
    </xf>
    <xf numFmtId="0" fontId="4" fillId="0" borderId="10" xfId="0" applyFont="1" applyBorder="1" applyAlignment="1">
      <alignment vertical="center" wrapText="1"/>
    </xf>
    <xf numFmtId="0" fontId="4" fillId="0" borderId="9" xfId="0" applyFont="1" applyBorder="1" applyAlignment="1">
      <alignment vertical="center" wrapText="1"/>
    </xf>
    <xf numFmtId="49" fontId="4" fillId="0" borderId="21"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0" fontId="4" fillId="0" borderId="6" xfId="0" applyFont="1" applyBorder="1" applyAlignment="1">
      <alignment horizontal="left" vertical="center" wrapText="1"/>
    </xf>
    <xf numFmtId="0" fontId="7" fillId="0" borderId="0" xfId="0" applyFont="1" applyFill="1" applyAlignment="1">
      <alignment horizontal="center" vertical="center"/>
    </xf>
    <xf numFmtId="0" fontId="11" fillId="0" borderId="2" xfId="0" applyFont="1" applyFill="1" applyBorder="1" applyAlignment="1">
      <alignment vertical="center" wrapText="1"/>
    </xf>
    <xf numFmtId="0" fontId="11" fillId="0" borderId="2" xfId="0" applyFont="1" applyFill="1" applyBorder="1" applyAlignment="1">
      <alignment horizontal="center" vertical="center" wrapText="1"/>
    </xf>
    <xf numFmtId="9" fontId="9" fillId="0" borderId="2" xfId="23" applyFont="1" applyFill="1" applyBorder="1" applyAlignment="1">
      <alignment horizontal="center" vertical="center" wrapText="1"/>
    </xf>
    <xf numFmtId="9" fontId="9" fillId="0" borderId="2" xfId="23" applyNumberFormat="1" applyFont="1" applyFill="1" applyBorder="1" applyAlignment="1">
      <alignment horizontal="center" vertical="center" wrapText="1"/>
    </xf>
    <xf numFmtId="0" fontId="7" fillId="0" borderId="53" xfId="0" applyFont="1" applyFill="1" applyBorder="1" applyAlignment="1">
      <alignment horizontal="left" vertical="center" wrapText="1"/>
    </xf>
    <xf numFmtId="0" fontId="7" fillId="0" borderId="53" xfId="0" applyFont="1" applyBorder="1" applyAlignment="1">
      <alignment horizontal="center" vertical="center"/>
    </xf>
    <xf numFmtId="0" fontId="9" fillId="0" borderId="53" xfId="0" applyFont="1" applyFill="1" applyBorder="1" applyAlignment="1">
      <alignment horizontal="center" vertical="center" wrapText="1"/>
    </xf>
    <xf numFmtId="169" fontId="9" fillId="0" borderId="53" xfId="0" applyNumberFormat="1" applyFont="1" applyFill="1" applyBorder="1" applyAlignment="1">
      <alignment horizontal="center" vertical="center" wrapText="1"/>
    </xf>
    <xf numFmtId="49" fontId="7" fillId="0" borderId="53" xfId="0" applyNumberFormat="1" applyFont="1" applyFill="1" applyBorder="1" applyAlignment="1">
      <alignment horizontal="center" vertical="center"/>
    </xf>
    <xf numFmtId="0" fontId="11" fillId="0" borderId="53" xfId="0" applyFont="1" applyFill="1" applyBorder="1" applyAlignment="1">
      <alignment horizontal="left" vertical="center" wrapText="1"/>
    </xf>
    <xf numFmtId="49" fontId="11" fillId="0" borderId="2" xfId="0" applyNumberFormat="1" applyFont="1" applyFill="1" applyBorder="1" applyAlignment="1">
      <alignment horizontal="center" vertical="center" wrapText="1"/>
    </xf>
    <xf numFmtId="0" fontId="11" fillId="2" borderId="53" xfId="0" applyFont="1" applyFill="1" applyBorder="1" applyAlignment="1">
      <alignment horizontal="center" vertical="center" wrapText="1"/>
    </xf>
    <xf numFmtId="167" fontId="9" fillId="0" borderId="2" xfId="0" applyNumberFormat="1" applyFont="1" applyBorder="1" applyAlignment="1">
      <alignment horizontal="right" vertical="center"/>
    </xf>
    <xf numFmtId="9" fontId="7" fillId="2" borderId="2"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0" fontId="9" fillId="2" borderId="4" xfId="0" applyFont="1" applyFill="1" applyBorder="1" applyAlignment="1">
      <alignment vertical="center" wrapText="1"/>
    </xf>
    <xf numFmtId="167" fontId="9" fillId="0" borderId="53" xfId="0" applyNumberFormat="1" applyFont="1" applyBorder="1" applyAlignment="1">
      <alignment horizontal="right" vertical="center"/>
    </xf>
    <xf numFmtId="168" fontId="7" fillId="0" borderId="53" xfId="0" applyNumberFormat="1" applyFont="1" applyBorder="1" applyAlignment="1">
      <alignment horizontal="right" vertical="center"/>
    </xf>
    <xf numFmtId="0" fontId="4" fillId="0" borderId="25" xfId="0" applyFont="1" applyFill="1" applyBorder="1" applyAlignment="1">
      <alignment vertical="center" wrapText="1"/>
    </xf>
    <xf numFmtId="0" fontId="9" fillId="2" borderId="25" xfId="0" applyFont="1" applyFill="1" applyBorder="1" applyAlignment="1">
      <alignment horizontal="center" vertical="center" wrapText="1"/>
    </xf>
    <xf numFmtId="0" fontId="9" fillId="2" borderId="2" xfId="6" applyFont="1" applyFill="1" applyBorder="1" applyAlignment="1">
      <alignment horizontal="left" vertical="center" wrapText="1"/>
    </xf>
    <xf numFmtId="167" fontId="9" fillId="0" borderId="3" xfId="0" applyNumberFormat="1" applyFont="1" applyBorder="1" applyAlignment="1">
      <alignment horizontal="right" vertical="center"/>
    </xf>
    <xf numFmtId="49" fontId="9" fillId="2" borderId="53" xfId="0" applyNumberFormat="1" applyFont="1" applyFill="1" applyBorder="1" applyAlignment="1">
      <alignment horizontal="center" vertical="center"/>
    </xf>
    <xf numFmtId="49" fontId="7" fillId="2" borderId="53" xfId="0" applyNumberFormat="1" applyFont="1" applyFill="1" applyBorder="1" applyAlignment="1">
      <alignment vertical="center"/>
    </xf>
    <xf numFmtId="16" fontId="4" fillId="2" borderId="2" xfId="0" applyNumberFormat="1" applyFont="1" applyFill="1" applyBorder="1" applyAlignment="1">
      <alignment vertical="top" wrapText="1"/>
    </xf>
    <xf numFmtId="0" fontId="7" fillId="2" borderId="14" xfId="0" applyFont="1" applyFill="1" applyBorder="1" applyAlignment="1">
      <alignment vertical="center" wrapText="1"/>
    </xf>
    <xf numFmtId="166" fontId="7" fillId="0" borderId="2" xfId="0" applyNumberFormat="1" applyFont="1" applyBorder="1" applyAlignment="1">
      <alignment horizontal="center" vertical="center"/>
    </xf>
    <xf numFmtId="0" fontId="9" fillId="2" borderId="6" xfId="0" applyFont="1" applyFill="1" applyBorder="1" applyAlignment="1">
      <alignment vertical="center" wrapText="1"/>
    </xf>
    <xf numFmtId="1" fontId="7" fillId="2" borderId="2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4" fillId="4" borderId="25" xfId="0" applyFont="1" applyFill="1" applyBorder="1" applyAlignment="1">
      <alignment vertical="center"/>
    </xf>
    <xf numFmtId="0" fontId="3" fillId="2" borderId="2" xfId="17" applyFont="1" applyFill="1" applyBorder="1" applyAlignment="1">
      <alignment horizontal="left" vertical="center" wrapText="1"/>
    </xf>
    <xf numFmtId="0" fontId="4" fillId="2" borderId="2" xfId="17" applyFont="1" applyFill="1" applyBorder="1" applyAlignment="1">
      <alignment horizontal="left" vertical="center" wrapText="1"/>
    </xf>
    <xf numFmtId="0" fontId="4" fillId="5" borderId="2" xfId="17" applyFont="1" applyFill="1" applyBorder="1" applyAlignment="1">
      <alignment horizontal="left" vertical="center" wrapText="1"/>
    </xf>
    <xf numFmtId="0" fontId="4" fillId="5" borderId="2" xfId="17" applyFont="1" applyFill="1" applyBorder="1" applyAlignment="1">
      <alignment horizontal="left" vertical="top" wrapText="1"/>
    </xf>
    <xf numFmtId="167" fontId="17" fillId="0" borderId="21" xfId="0" applyNumberFormat="1" applyFont="1" applyFill="1" applyBorder="1" applyAlignment="1">
      <alignment horizontal="center" vertical="center"/>
    </xf>
    <xf numFmtId="168" fontId="11" fillId="0" borderId="2" xfId="0" applyNumberFormat="1" applyFont="1" applyFill="1" applyBorder="1" applyAlignment="1">
      <alignment horizontal="right" vertical="center"/>
    </xf>
    <xf numFmtId="0" fontId="17" fillId="0" borderId="2" xfId="0" applyFont="1" applyFill="1" applyBorder="1" applyAlignment="1">
      <alignment horizontal="center" vertical="center"/>
    </xf>
    <xf numFmtId="0" fontId="17" fillId="0" borderId="2" xfId="0" applyFont="1" applyFill="1" applyBorder="1" applyAlignment="1">
      <alignment vertical="top" wrapText="1"/>
    </xf>
    <xf numFmtId="0" fontId="17" fillId="0" borderId="2" xfId="0" applyFont="1" applyFill="1" applyBorder="1" applyAlignment="1">
      <alignment horizontal="center" vertical="center" wrapText="1"/>
    </xf>
    <xf numFmtId="0" fontId="11" fillId="0" borderId="2" xfId="0" applyFont="1" applyFill="1" applyBorder="1" applyAlignment="1">
      <alignment horizontal="left" vertical="top" wrapText="1"/>
    </xf>
    <xf numFmtId="171" fontId="17" fillId="0" borderId="21" xfId="0" applyNumberFormat="1" applyFont="1" applyFill="1" applyBorder="1" applyAlignment="1">
      <alignment horizontal="center" vertical="center"/>
    </xf>
    <xf numFmtId="171" fontId="17" fillId="0" borderId="2" xfId="0" applyNumberFormat="1" applyFont="1" applyFill="1" applyBorder="1" applyAlignment="1">
      <alignment horizontal="left" vertical="center"/>
    </xf>
    <xf numFmtId="171" fontId="17" fillId="2" borderId="2" xfId="0" applyNumberFormat="1" applyFont="1" applyFill="1" applyBorder="1" applyAlignment="1">
      <alignment horizontal="left" vertical="center" wrapText="1"/>
    </xf>
    <xf numFmtId="171" fontId="17" fillId="2" borderId="2" xfId="0" applyNumberFormat="1" applyFont="1" applyFill="1" applyBorder="1" applyAlignment="1">
      <alignment horizontal="left" vertical="top" wrapText="1"/>
    </xf>
    <xf numFmtId="0" fontId="11" fillId="0" borderId="2" xfId="0" applyFont="1" applyFill="1" applyBorder="1" applyAlignment="1">
      <alignment horizontal="center" vertical="center"/>
    </xf>
    <xf numFmtId="167" fontId="17" fillId="2" borderId="21" xfId="0" applyNumberFormat="1" applyFont="1" applyFill="1" applyBorder="1" applyAlignment="1">
      <alignment horizontal="center" vertical="center"/>
    </xf>
    <xf numFmtId="168" fontId="11" fillId="2" borderId="2" xfId="0" applyNumberFormat="1" applyFont="1" applyFill="1" applyBorder="1" applyAlignment="1">
      <alignment horizontal="right" vertical="center"/>
    </xf>
    <xf numFmtId="0" fontId="11" fillId="2" borderId="2" xfId="0" applyFont="1" applyFill="1" applyBorder="1" applyAlignment="1">
      <alignment horizontal="center" vertical="center"/>
    </xf>
    <xf numFmtId="0" fontId="11" fillId="2" borderId="2" xfId="0" applyFont="1" applyFill="1" applyBorder="1" applyAlignment="1">
      <alignment vertical="top" wrapText="1"/>
    </xf>
    <xf numFmtId="0" fontId="11" fillId="0" borderId="2" xfId="0" applyFont="1" applyBorder="1" applyAlignment="1">
      <alignment horizontal="center" vertical="center" wrapText="1"/>
    </xf>
    <xf numFmtId="171" fontId="17" fillId="5" borderId="21" xfId="0" applyNumberFormat="1" applyFont="1" applyFill="1" applyBorder="1" applyAlignment="1">
      <alignment horizontal="center" vertical="center"/>
    </xf>
    <xf numFmtId="171" fontId="17" fillId="5" borderId="2" xfId="0" applyNumberFormat="1" applyFont="1" applyFill="1" applyBorder="1" applyAlignment="1">
      <alignment horizontal="left" vertical="center"/>
    </xf>
    <xf numFmtId="167" fontId="17" fillId="0" borderId="21" xfId="0" applyNumberFormat="1" applyFont="1" applyBorder="1" applyAlignment="1">
      <alignment horizontal="center" vertical="center"/>
    </xf>
    <xf numFmtId="0" fontId="11" fillId="5" borderId="2" xfId="0" applyFont="1" applyFill="1" applyBorder="1" applyAlignment="1">
      <alignment horizontal="center" vertical="center"/>
    </xf>
    <xf numFmtId="0" fontId="11" fillId="0" borderId="2" xfId="31" applyFont="1" applyFill="1" applyBorder="1" applyAlignment="1">
      <alignment horizontal="left" vertical="top" wrapText="1"/>
    </xf>
    <xf numFmtId="0" fontId="11" fillId="0" borderId="2" xfId="0" applyFont="1" applyBorder="1" applyAlignment="1">
      <alignment horizontal="center" vertical="center"/>
    </xf>
    <xf numFmtId="167" fontId="17" fillId="0" borderId="21" xfId="0" applyNumberFormat="1" applyFont="1" applyFill="1" applyBorder="1" applyAlignment="1">
      <alignment vertical="center"/>
    </xf>
    <xf numFmtId="168" fontId="11" fillId="0" borderId="2" xfId="0" applyNumberFormat="1" applyFont="1" applyFill="1" applyBorder="1" applyAlignment="1">
      <alignment vertical="center"/>
    </xf>
    <xf numFmtId="0" fontId="11" fillId="2" borderId="2" xfId="0" applyFont="1" applyFill="1" applyBorder="1" applyAlignment="1">
      <alignment horizontal="left" vertical="top" wrapText="1"/>
    </xf>
    <xf numFmtId="0" fontId="17" fillId="2" borderId="2" xfId="220" applyFont="1" applyFill="1" applyBorder="1" applyAlignment="1">
      <alignment vertical="top" wrapText="1"/>
    </xf>
    <xf numFmtId="167" fontId="17" fillId="2" borderId="21" xfId="0" applyNumberFormat="1" applyFont="1" applyFill="1" applyBorder="1" applyAlignment="1">
      <alignment vertical="center"/>
    </xf>
    <xf numFmtId="0" fontId="11" fillId="0" borderId="53" xfId="220" applyFont="1" applyFill="1" applyBorder="1" applyAlignment="1">
      <alignment vertical="top" wrapText="1"/>
    </xf>
    <xf numFmtId="0" fontId="11" fillId="2" borderId="4" xfId="220" applyFont="1" applyFill="1" applyBorder="1" applyAlignment="1">
      <alignment vertical="center" wrapText="1"/>
    </xf>
    <xf numFmtId="0" fontId="11" fillId="2" borderId="2" xfId="220" applyFont="1" applyFill="1" applyBorder="1" applyAlignment="1">
      <alignment horizontal="left" vertical="center" wrapText="1"/>
    </xf>
    <xf numFmtId="0" fontId="11" fillId="0" borderId="2" xfId="31" applyFont="1" applyFill="1" applyBorder="1" applyAlignment="1">
      <alignment horizontal="center" vertical="center" wrapText="1"/>
    </xf>
    <xf numFmtId="0" fontId="11" fillId="2" borderId="14" xfId="220" applyFont="1" applyFill="1" applyBorder="1" applyAlignment="1">
      <alignment vertical="center" wrapText="1"/>
    </xf>
    <xf numFmtId="168" fontId="11" fillId="5" borderId="2" xfId="0" applyNumberFormat="1" applyFont="1" applyFill="1" applyBorder="1" applyAlignment="1">
      <alignment horizontal="right" vertical="center"/>
    </xf>
    <xf numFmtId="0" fontId="17" fillId="5" borderId="2" xfId="0" applyFont="1" applyFill="1" applyBorder="1" applyAlignment="1">
      <alignment horizontal="center" vertical="center"/>
    </xf>
    <xf numFmtId="171" fontId="11" fillId="5" borderId="2" xfId="0" applyNumberFormat="1" applyFont="1" applyFill="1" applyBorder="1" applyAlignment="1">
      <alignment horizontal="center" vertical="center"/>
    </xf>
    <xf numFmtId="1" fontId="11" fillId="5" borderId="2" xfId="0" applyNumberFormat="1" applyFont="1" applyFill="1" applyBorder="1" applyAlignment="1">
      <alignment horizontal="center" vertical="center"/>
    </xf>
    <xf numFmtId="166" fontId="11" fillId="5" borderId="2" xfId="0" applyNumberFormat="1" applyFont="1" applyFill="1" applyBorder="1" applyAlignment="1">
      <alignment horizontal="center" vertical="center"/>
    </xf>
    <xf numFmtId="171" fontId="11" fillId="5" borderId="2" xfId="0" applyNumberFormat="1" applyFont="1" applyFill="1" applyBorder="1" applyAlignment="1">
      <alignment horizontal="left" vertical="center" wrapText="1"/>
    </xf>
    <xf numFmtId="167" fontId="17" fillId="0" borderId="21" xfId="0" applyNumberFormat="1" applyFont="1" applyBorder="1" applyAlignment="1">
      <alignment horizontal="right" vertical="center"/>
    </xf>
    <xf numFmtId="0" fontId="11" fillId="5" borderId="2" xfId="0" applyFont="1" applyFill="1" applyBorder="1" applyAlignment="1">
      <alignment horizontal="right" vertical="center"/>
    </xf>
    <xf numFmtId="0" fontId="17" fillId="5" borderId="2" xfId="0" applyFont="1" applyFill="1" applyBorder="1" applyAlignment="1">
      <alignment horizontal="right" vertical="center"/>
    </xf>
    <xf numFmtId="0" fontId="3" fillId="5" borderId="4" xfId="0" applyFont="1" applyFill="1" applyBorder="1" applyAlignment="1">
      <alignment vertical="center" wrapText="1"/>
    </xf>
    <xf numFmtId="0" fontId="7" fillId="5" borderId="2" xfId="0" applyFont="1" applyFill="1" applyBorder="1" applyAlignment="1">
      <alignment horizontal="right" vertical="center"/>
    </xf>
    <xf numFmtId="0" fontId="4" fillId="5" borderId="6" xfId="6" applyFont="1" applyFill="1" applyBorder="1" applyAlignment="1">
      <alignment horizontal="left" vertical="center" wrapText="1"/>
    </xf>
    <xf numFmtId="0" fontId="4" fillId="5" borderId="0" xfId="0" applyFont="1" applyFill="1" applyBorder="1" applyAlignment="1">
      <alignment horizontal="left" vertical="center" wrapText="1"/>
    </xf>
    <xf numFmtId="167" fontId="3" fillId="0" borderId="21" xfId="0" applyNumberFormat="1" applyFont="1" applyBorder="1" applyAlignment="1">
      <alignment horizontal="right" vertical="center"/>
    </xf>
    <xf numFmtId="0" fontId="3" fillId="5" borderId="2" xfId="0" applyFont="1" applyFill="1" applyBorder="1" applyAlignment="1">
      <alignment horizontal="right" vertical="center"/>
    </xf>
    <xf numFmtId="0" fontId="3" fillId="5" borderId="2" xfId="0" applyFont="1" applyFill="1" applyBorder="1" applyAlignment="1">
      <alignment vertical="center" wrapText="1"/>
    </xf>
    <xf numFmtId="0" fontId="3" fillId="5" borderId="25" xfId="0" applyFont="1" applyFill="1" applyBorder="1" applyAlignment="1">
      <alignment vertical="center" wrapText="1"/>
    </xf>
    <xf numFmtId="49" fontId="3" fillId="5" borderId="21" xfId="0" applyNumberFormat="1" applyFont="1" applyFill="1" applyBorder="1" applyAlignment="1">
      <alignment vertical="center"/>
    </xf>
    <xf numFmtId="49" fontId="3" fillId="5" borderId="2" xfId="0" applyNumberFormat="1" applyFont="1" applyFill="1" applyBorder="1" applyAlignment="1">
      <alignment vertical="center"/>
    </xf>
    <xf numFmtId="0" fontId="3" fillId="5" borderId="2" xfId="0" applyFont="1" applyFill="1" applyBorder="1" applyAlignment="1">
      <alignment vertical="center"/>
    </xf>
    <xf numFmtId="0" fontId="3" fillId="5" borderId="25" xfId="0" applyFont="1" applyFill="1" applyBorder="1" applyAlignment="1">
      <alignment vertical="center"/>
    </xf>
    <xf numFmtId="49" fontId="4" fillId="5" borderId="21" xfId="0" applyNumberFormat="1" applyFont="1" applyFill="1" applyBorder="1" applyAlignment="1">
      <alignment vertical="center"/>
    </xf>
    <xf numFmtId="49" fontId="4" fillId="5" borderId="2" xfId="0" applyNumberFormat="1" applyFont="1" applyFill="1" applyBorder="1" applyAlignment="1">
      <alignment vertical="center"/>
    </xf>
    <xf numFmtId="0" fontId="11" fillId="0" borderId="0" xfId="0" applyFont="1" applyAlignment="1">
      <alignment vertical="center" wrapText="1"/>
    </xf>
    <xf numFmtId="166" fontId="9" fillId="4" borderId="2" xfId="0" applyNumberFormat="1" applyFont="1" applyFill="1" applyBorder="1" applyAlignment="1">
      <alignment horizontal="center" vertical="center" wrapText="1"/>
    </xf>
    <xf numFmtId="0" fontId="4" fillId="4" borderId="2" xfId="0" applyFont="1" applyFill="1" applyBorder="1"/>
    <xf numFmtId="0" fontId="4" fillId="4" borderId="2" xfId="0" applyFont="1" applyFill="1" applyBorder="1" applyAlignment="1">
      <alignment horizontal="center"/>
    </xf>
    <xf numFmtId="0" fontId="11" fillId="0" borderId="2" xfId="0" applyFont="1" applyBorder="1" applyAlignment="1">
      <alignment horizontal="left" vertical="center" wrapText="1"/>
    </xf>
    <xf numFmtId="0" fontId="11" fillId="5" borderId="25" xfId="0" applyFont="1" applyFill="1" applyBorder="1"/>
    <xf numFmtId="49" fontId="17" fillId="5" borderId="21" xfId="0" applyNumberFormat="1" applyFont="1" applyFill="1" applyBorder="1" applyAlignment="1">
      <alignment vertical="center"/>
    </xf>
    <xf numFmtId="49" fontId="11" fillId="5" borderId="2" xfId="0" applyNumberFormat="1" applyFont="1" applyFill="1" applyBorder="1" applyAlignment="1">
      <alignment vertical="center"/>
    </xf>
    <xf numFmtId="3" fontId="11" fillId="5" borderId="25" xfId="0" applyNumberFormat="1" applyFont="1" applyFill="1" applyBorder="1" applyAlignment="1">
      <alignment vertical="center" wrapText="1"/>
    </xf>
    <xf numFmtId="0" fontId="9" fillId="2" borderId="40" xfId="0" applyFont="1" applyFill="1" applyBorder="1" applyAlignment="1">
      <alignment vertical="center" wrapText="1"/>
    </xf>
    <xf numFmtId="0" fontId="9" fillId="2" borderId="55" xfId="0" applyFont="1" applyFill="1" applyBorder="1" applyAlignment="1">
      <alignment horizontal="left" vertical="center" wrapText="1"/>
    </xf>
    <xf numFmtId="169" fontId="9" fillId="2" borderId="35" xfId="0" applyNumberFormat="1" applyFont="1" applyFill="1" applyBorder="1" applyAlignment="1">
      <alignment horizontal="center" vertical="center" wrapText="1"/>
    </xf>
    <xf numFmtId="9" fontId="4" fillId="2" borderId="40" xfId="0" applyNumberFormat="1" applyFont="1" applyFill="1" applyBorder="1" applyAlignment="1">
      <alignment horizontal="center" vertical="center" wrapText="1"/>
    </xf>
    <xf numFmtId="9" fontId="4" fillId="2" borderId="37" xfId="0" applyNumberFormat="1" applyFont="1" applyFill="1" applyBorder="1" applyAlignment="1">
      <alignment horizontal="center" vertical="center" wrapText="1"/>
    </xf>
    <xf numFmtId="0" fontId="7" fillId="2" borderId="53" xfId="6" applyFont="1" applyFill="1" applyBorder="1" applyAlignment="1">
      <alignment vertical="center" wrapText="1"/>
    </xf>
    <xf numFmtId="0" fontId="9" fillId="2" borderId="9" xfId="0" applyFont="1" applyFill="1" applyBorder="1" applyAlignment="1">
      <alignment vertical="center" wrapText="1"/>
    </xf>
    <xf numFmtId="0" fontId="9" fillId="2" borderId="6" xfId="0" applyFont="1" applyFill="1" applyBorder="1" applyAlignment="1">
      <alignment horizontal="center" vertical="center" wrapText="1"/>
    </xf>
    <xf numFmtId="9" fontId="4" fillId="2" borderId="25" xfId="0" applyNumberFormat="1" applyFont="1" applyFill="1" applyBorder="1" applyAlignment="1">
      <alignment horizontal="center" vertical="center" wrapText="1"/>
    </xf>
    <xf numFmtId="10" fontId="4" fillId="2" borderId="2" xfId="0" applyNumberFormat="1" applyFont="1" applyFill="1" applyBorder="1" applyAlignment="1">
      <alignment horizontal="center" vertical="center" wrapText="1"/>
    </xf>
    <xf numFmtId="10" fontId="4" fillId="2" borderId="25" xfId="0" applyNumberFormat="1" applyFont="1" applyFill="1" applyBorder="1" applyAlignment="1">
      <alignment horizontal="center" vertical="center" wrapText="1"/>
    </xf>
    <xf numFmtId="171" fontId="4" fillId="2" borderId="2" xfId="0" applyNumberFormat="1" applyFont="1" applyFill="1" applyBorder="1" applyAlignment="1">
      <alignment horizontal="center" vertical="center" wrapText="1"/>
    </xf>
    <xf numFmtId="0" fontId="7" fillId="2" borderId="16" xfId="0" applyFont="1" applyFill="1" applyBorder="1" applyAlignment="1">
      <alignment horizontal="center"/>
    </xf>
    <xf numFmtId="171" fontId="7" fillId="2" borderId="2" xfId="0" applyNumberFormat="1" applyFont="1" applyFill="1" applyBorder="1" applyAlignment="1">
      <alignment horizontal="center" vertical="center" wrapText="1"/>
    </xf>
    <xf numFmtId="0" fontId="4" fillId="2" borderId="57" xfId="0" applyFont="1" applyFill="1" applyBorder="1" applyAlignment="1">
      <alignment vertical="center" wrapText="1"/>
    </xf>
    <xf numFmtId="171" fontId="4" fillId="2" borderId="53" xfId="0" applyNumberFormat="1" applyFont="1" applyFill="1" applyBorder="1" applyAlignment="1">
      <alignment horizontal="center" vertical="center" wrapText="1"/>
    </xf>
    <xf numFmtId="0" fontId="7" fillId="0" borderId="2" xfId="13" applyFont="1" applyFill="1" applyBorder="1" applyAlignment="1">
      <alignment vertical="center" wrapText="1"/>
    </xf>
    <xf numFmtId="0" fontId="9" fillId="0" borderId="17" xfId="0" applyFont="1" applyBorder="1" applyAlignment="1">
      <alignment horizontal="center" vertical="center" wrapText="1"/>
    </xf>
    <xf numFmtId="0" fontId="9" fillId="0" borderId="16" xfId="0" applyFont="1" applyBorder="1" applyAlignment="1">
      <alignment horizontal="center" vertical="center" wrapText="1"/>
    </xf>
    <xf numFmtId="0" fontId="9" fillId="2" borderId="16" xfId="0" applyFont="1" applyFill="1" applyBorder="1" applyAlignment="1">
      <alignment horizontal="center" vertical="center" wrapText="1"/>
    </xf>
    <xf numFmtId="0" fontId="3" fillId="2" borderId="25" xfId="0" applyFont="1" applyFill="1" applyBorder="1" applyAlignment="1">
      <alignment horizontal="center" vertical="center" wrapText="1"/>
    </xf>
    <xf numFmtId="49" fontId="7" fillId="2" borderId="25" xfId="0" applyNumberFormat="1" applyFont="1" applyFill="1" applyBorder="1" applyAlignment="1">
      <alignment horizontal="center" vertical="center" wrapText="1"/>
    </xf>
    <xf numFmtId="0" fontId="9" fillId="2" borderId="25" xfId="0" applyFont="1" applyFill="1" applyBorder="1" applyAlignment="1">
      <alignment horizontal="center"/>
    </xf>
    <xf numFmtId="49" fontId="9" fillId="2" borderId="53" xfId="0" applyNumberFormat="1" applyFont="1" applyFill="1" applyBorder="1" applyAlignment="1">
      <alignment vertical="center"/>
    </xf>
    <xf numFmtId="49" fontId="9" fillId="2" borderId="53" xfId="0" applyNumberFormat="1" applyFont="1" applyFill="1" applyBorder="1" applyAlignment="1">
      <alignment horizontal="right" vertical="center"/>
    </xf>
    <xf numFmtId="49" fontId="7" fillId="2" borderId="53" xfId="0" applyNumberFormat="1" applyFont="1" applyFill="1" applyBorder="1" applyAlignment="1">
      <alignment horizontal="right" vertical="center"/>
    </xf>
    <xf numFmtId="0" fontId="11" fillId="5" borderId="4" xfId="0" applyFont="1" applyFill="1" applyBorder="1" applyAlignment="1">
      <alignment horizontal="center" vertical="center" wrapText="1"/>
    </xf>
    <xf numFmtId="0" fontId="11" fillId="0" borderId="53" xfId="6" applyFont="1" applyFill="1" applyBorder="1" applyAlignment="1">
      <alignment vertical="center" wrapText="1"/>
    </xf>
    <xf numFmtId="0" fontId="11" fillId="5" borderId="2" xfId="12" applyFont="1" applyFill="1" applyBorder="1" applyAlignment="1">
      <alignment vertical="center" wrapText="1"/>
    </xf>
    <xf numFmtId="0" fontId="11" fillId="5" borderId="53" xfId="0" applyFont="1" applyFill="1" applyBorder="1" applyAlignment="1">
      <alignment horizontal="left" vertical="center" wrapText="1"/>
    </xf>
    <xf numFmtId="0" fontId="52" fillId="6" borderId="25" xfId="0" applyFont="1" applyFill="1" applyBorder="1" applyAlignment="1">
      <alignment horizontal="center" wrapText="1"/>
    </xf>
    <xf numFmtId="0" fontId="7" fillId="2" borderId="2" xfId="0" applyFont="1" applyFill="1" applyBorder="1" applyAlignment="1">
      <alignment horizontal="center" wrapText="1"/>
    </xf>
    <xf numFmtId="0" fontId="7" fillId="2" borderId="25" xfId="0" applyFont="1" applyFill="1" applyBorder="1" applyAlignment="1">
      <alignment horizontal="center" wrapText="1"/>
    </xf>
    <xf numFmtId="0" fontId="52" fillId="6" borderId="2" xfId="0" applyFont="1" applyFill="1" applyBorder="1" applyAlignment="1">
      <alignment wrapText="1"/>
    </xf>
    <xf numFmtId="0" fontId="7" fillId="5" borderId="4" xfId="0" applyFont="1" applyFill="1" applyBorder="1" applyAlignment="1">
      <alignment horizontal="right" vertical="center"/>
    </xf>
    <xf numFmtId="0" fontId="7" fillId="5" borderId="3" xfId="0" applyFont="1" applyFill="1" applyBorder="1" applyAlignment="1">
      <alignment horizontal="right" vertical="center"/>
    </xf>
    <xf numFmtId="0" fontId="11" fillId="5" borderId="53" xfId="0" applyFont="1" applyFill="1" applyBorder="1" applyAlignment="1">
      <alignment horizontal="center" vertical="center" wrapText="1"/>
    </xf>
    <xf numFmtId="0" fontId="7" fillId="0" borderId="4" xfId="0" applyFont="1" applyBorder="1" applyAlignment="1">
      <alignment horizontal="center" vertical="center"/>
    </xf>
    <xf numFmtId="1" fontId="11" fillId="5" borderId="53" xfId="0" applyNumberFormat="1" applyFont="1" applyFill="1" applyBorder="1" applyAlignment="1">
      <alignment horizontal="center" vertical="center" wrapText="1"/>
    </xf>
    <xf numFmtId="3" fontId="11" fillId="5" borderId="2" xfId="0" applyNumberFormat="1" applyFont="1" applyFill="1" applyBorder="1" applyAlignment="1">
      <alignment horizontal="center" vertical="center" wrapText="1"/>
    </xf>
    <xf numFmtId="0" fontId="4" fillId="2" borderId="2" xfId="2" applyNumberFormat="1" applyFont="1" applyFill="1" applyBorder="1" applyAlignment="1">
      <alignment horizontal="center" vertical="center" wrapText="1"/>
    </xf>
    <xf numFmtId="164" fontId="3" fillId="4" borderId="4" xfId="0" applyNumberFormat="1" applyFont="1" applyFill="1" applyBorder="1" applyAlignment="1">
      <alignment horizontal="center" vertical="center" wrapText="1"/>
    </xf>
    <xf numFmtId="0" fontId="10" fillId="0" borderId="2" xfId="0" applyFont="1" applyBorder="1" applyAlignment="1">
      <alignment wrapText="1"/>
    </xf>
    <xf numFmtId="49" fontId="3" fillId="2" borderId="1" xfId="0" applyNumberFormat="1" applyFont="1" applyFill="1" applyBorder="1" applyAlignment="1">
      <alignment horizontal="center" vertical="center"/>
    </xf>
    <xf numFmtId="0" fontId="3" fillId="0" borderId="1" xfId="12" applyFont="1" applyBorder="1" applyAlignment="1">
      <alignment vertical="center" wrapText="1"/>
    </xf>
    <xf numFmtId="167" fontId="3" fillId="0" borderId="13" xfId="13" applyNumberFormat="1" applyFont="1" applyBorder="1" applyAlignment="1">
      <alignment horizontal="right" vertical="center"/>
    </xf>
    <xf numFmtId="167" fontId="3" fillId="0" borderId="1" xfId="13" applyNumberFormat="1" applyFont="1" applyBorder="1" applyAlignment="1">
      <alignment horizontal="right" vertical="center"/>
    </xf>
    <xf numFmtId="0" fontId="6" fillId="0" borderId="2" xfId="0" applyFont="1" applyFill="1" applyBorder="1" applyAlignment="1">
      <alignment horizontal="left" vertical="top" wrapText="1"/>
    </xf>
    <xf numFmtId="49" fontId="4" fillId="0" borderId="2" xfId="16" applyNumberFormat="1" applyFont="1" applyBorder="1" applyAlignment="1">
      <alignment horizontal="center" vertical="center"/>
    </xf>
    <xf numFmtId="49" fontId="4" fillId="5" borderId="2" xfId="16" applyNumberFormat="1" applyFont="1" applyFill="1" applyBorder="1" applyAlignment="1">
      <alignment horizontal="center" vertical="center"/>
    </xf>
    <xf numFmtId="49" fontId="3" fillId="0" borderId="2" xfId="16" applyNumberFormat="1" applyFont="1" applyBorder="1" applyAlignment="1">
      <alignment horizontal="center" vertical="center"/>
    </xf>
    <xf numFmtId="49" fontId="4" fillId="2" borderId="2" xfId="0" applyNumberFormat="1" applyFont="1" applyFill="1" applyBorder="1"/>
    <xf numFmtId="49" fontId="3" fillId="2" borderId="2" xfId="0" applyNumberFormat="1" applyFont="1" applyFill="1" applyBorder="1"/>
    <xf numFmtId="0" fontId="4" fillId="2" borderId="2" xfId="0" applyFont="1" applyFill="1" applyBorder="1" applyAlignment="1">
      <alignment horizontal="left" vertical="center"/>
    </xf>
    <xf numFmtId="3"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66" fontId="4" fillId="2" borderId="2" xfId="0" applyNumberFormat="1" applyFont="1" applyFill="1" applyBorder="1" applyAlignment="1">
      <alignment horizontal="right" vertical="center" wrapText="1"/>
    </xf>
    <xf numFmtId="169" fontId="4" fillId="2" borderId="2" xfId="0" applyNumberFormat="1" applyFont="1" applyFill="1" applyBorder="1" applyAlignment="1">
      <alignment horizontal="right" vertical="center" wrapText="1"/>
    </xf>
    <xf numFmtId="169" fontId="4" fillId="2" borderId="4" xfId="0" applyNumberFormat="1" applyFont="1" applyFill="1" applyBorder="1" applyAlignment="1">
      <alignment horizontal="right" vertical="center"/>
    </xf>
    <xf numFmtId="3" fontId="4" fillId="2" borderId="4" xfId="0" applyNumberFormat="1" applyFont="1" applyFill="1" applyBorder="1" applyAlignment="1">
      <alignment horizontal="right" vertical="center"/>
    </xf>
    <xf numFmtId="169" fontId="4" fillId="2" borderId="2" xfId="0" applyNumberFormat="1" applyFont="1" applyFill="1" applyBorder="1" applyAlignment="1">
      <alignment horizontal="right" vertical="center"/>
    </xf>
    <xf numFmtId="1" fontId="4" fillId="2" borderId="2" xfId="0" applyNumberFormat="1" applyFont="1" applyFill="1" applyBorder="1" applyAlignment="1">
      <alignment horizontal="right" vertical="center"/>
    </xf>
    <xf numFmtId="49" fontId="4" fillId="2" borderId="2" xfId="20" applyNumberFormat="1" applyFont="1" applyFill="1" applyBorder="1" applyAlignment="1">
      <alignment horizontal="center" vertical="center"/>
    </xf>
    <xf numFmtId="164" fontId="4" fillId="2" borderId="8" xfId="0" applyNumberFormat="1" applyFont="1" applyFill="1" applyBorder="1" applyAlignment="1">
      <alignment horizontal="center" vertical="center" wrapText="1"/>
    </xf>
    <xf numFmtId="1" fontId="4" fillId="2" borderId="4" xfId="0" applyNumberFormat="1" applyFont="1" applyFill="1" applyBorder="1" applyAlignment="1">
      <alignment horizontal="center" vertical="center"/>
    </xf>
    <xf numFmtId="164" fontId="4" fillId="2" borderId="4" xfId="0" applyNumberFormat="1" applyFont="1" applyFill="1" applyBorder="1" applyAlignment="1">
      <alignment horizontal="center" vertical="center" wrapText="1"/>
    </xf>
    <xf numFmtId="164" fontId="4" fillId="2" borderId="10" xfId="0" applyNumberFormat="1" applyFont="1" applyFill="1" applyBorder="1" applyAlignment="1">
      <alignment horizontal="center" vertical="center" wrapText="1"/>
    </xf>
    <xf numFmtId="49" fontId="4" fillId="2" borderId="1" xfId="0" applyNumberFormat="1" applyFont="1" applyFill="1" applyBorder="1" applyAlignment="1">
      <alignment horizontal="right" vertical="center"/>
    </xf>
    <xf numFmtId="49" fontId="4" fillId="2" borderId="2" xfId="0" applyNumberFormat="1" applyFont="1" applyFill="1" applyBorder="1" applyAlignment="1">
      <alignment horizontal="right" vertical="center"/>
    </xf>
    <xf numFmtId="0" fontId="6" fillId="2" borderId="2" xfId="0" applyFont="1" applyFill="1" applyBorder="1" applyAlignment="1">
      <alignment horizontal="left" vertical="center" wrapText="1"/>
    </xf>
    <xf numFmtId="0" fontId="4" fillId="2" borderId="53" xfId="0" applyNumberFormat="1" applyFont="1" applyFill="1" applyBorder="1" applyAlignment="1">
      <alignment horizontal="left" vertical="center" wrapText="1"/>
    </xf>
    <xf numFmtId="0" fontId="4" fillId="2" borderId="2" xfId="0" applyFont="1" applyFill="1" applyBorder="1" applyAlignment="1">
      <alignment horizontal="left" wrapText="1"/>
    </xf>
    <xf numFmtId="49" fontId="3" fillId="2" borderId="2" xfId="0" applyNumberFormat="1" applyFont="1" applyFill="1" applyBorder="1" applyAlignment="1">
      <alignment horizontal="center" vertical="center"/>
    </xf>
    <xf numFmtId="49" fontId="3" fillId="2" borderId="2" xfId="20" applyNumberFormat="1" applyFont="1" applyFill="1" applyBorder="1" applyAlignment="1">
      <alignment horizontal="center" vertical="center"/>
    </xf>
    <xf numFmtId="167" fontId="3" fillId="0" borderId="20" xfId="0" applyNumberFormat="1" applyFont="1" applyBorder="1" applyAlignment="1">
      <alignment horizontal="right" vertical="center"/>
    </xf>
    <xf numFmtId="0" fontId="4" fillId="0" borderId="53" xfId="0" applyFont="1" applyBorder="1" applyAlignment="1">
      <alignment vertical="center" wrapText="1"/>
    </xf>
    <xf numFmtId="49" fontId="3" fillId="0" borderId="2" xfId="0" applyNumberFormat="1" applyFont="1" applyFill="1" applyBorder="1" applyAlignment="1">
      <alignment vertical="center"/>
    </xf>
    <xf numFmtId="173" fontId="3" fillId="0" borderId="2" xfId="1" applyNumberFormat="1" applyFont="1" applyFill="1" applyBorder="1" applyAlignment="1">
      <alignment vertical="center"/>
    </xf>
    <xf numFmtId="173" fontId="4" fillId="0" borderId="2" xfId="1" applyNumberFormat="1" applyFont="1" applyFill="1" applyBorder="1" applyAlignment="1">
      <alignment vertical="center"/>
    </xf>
    <xf numFmtId="173" fontId="4" fillId="0" borderId="2" xfId="1" applyNumberFormat="1" applyFont="1" applyFill="1" applyBorder="1" applyAlignment="1">
      <alignment vertical="center" wrapText="1"/>
    </xf>
    <xf numFmtId="173" fontId="4" fillId="0" borderId="53" xfId="1" applyNumberFormat="1" applyFont="1" applyFill="1" applyBorder="1" applyAlignment="1">
      <alignment vertical="center"/>
    </xf>
    <xf numFmtId="173" fontId="4" fillId="0" borderId="53" xfId="1" applyNumberFormat="1" applyFont="1" applyFill="1" applyBorder="1" applyAlignment="1">
      <alignment vertical="center" wrapText="1"/>
    </xf>
    <xf numFmtId="173" fontId="3" fillId="0" borderId="2" xfId="1" applyNumberFormat="1" applyFont="1" applyFill="1" applyBorder="1" applyAlignment="1">
      <alignment vertical="center" wrapText="1"/>
    </xf>
    <xf numFmtId="167" fontId="3" fillId="0" borderId="2" xfId="0" applyNumberFormat="1" applyFont="1" applyBorder="1" applyAlignment="1">
      <alignment horizontal="right" vertical="center"/>
    </xf>
    <xf numFmtId="0" fontId="7" fillId="4" borderId="6" xfId="0" applyFont="1" applyFill="1" applyBorder="1" applyAlignment="1">
      <alignment horizontal="center"/>
    </xf>
    <xf numFmtId="0" fontId="4" fillId="2" borderId="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2" borderId="6"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6" borderId="6" xfId="0" applyFont="1" applyFill="1" applyBorder="1" applyAlignment="1">
      <alignment horizontal="left" wrapText="1"/>
    </xf>
    <xf numFmtId="0" fontId="52" fillId="6" borderId="6" xfId="0" applyFont="1" applyFill="1" applyBorder="1" applyAlignment="1">
      <alignment horizontal="left" vertical="center" wrapText="1"/>
    </xf>
    <xf numFmtId="49" fontId="7" fillId="2" borderId="21" xfId="0" applyNumberFormat="1" applyFont="1" applyFill="1" applyBorder="1" applyAlignment="1">
      <alignment horizontal="center" vertical="center"/>
    </xf>
    <xf numFmtId="0" fontId="7" fillId="4" borderId="2" xfId="0" applyFont="1" applyFill="1" applyBorder="1" applyAlignment="1">
      <alignment horizontal="center"/>
    </xf>
    <xf numFmtId="0" fontId="9" fillId="2" borderId="6" xfId="0" applyFont="1" applyFill="1" applyBorder="1" applyAlignment="1">
      <alignment horizontal="left" vertical="center" wrapText="1"/>
    </xf>
    <xf numFmtId="0" fontId="7" fillId="0" borderId="6" xfId="0" applyFont="1" applyBorder="1" applyAlignment="1">
      <alignment horizontal="left" vertical="center" wrapText="1"/>
    </xf>
    <xf numFmtId="0" fontId="3" fillId="2" borderId="6" xfId="17" applyFont="1" applyFill="1" applyBorder="1" applyAlignment="1">
      <alignment horizontal="left" vertical="center" wrapText="1"/>
    </xf>
    <xf numFmtId="49" fontId="7" fillId="0" borderId="3" xfId="6" applyNumberFormat="1" applyFont="1" applyFill="1" applyBorder="1" applyAlignment="1">
      <alignment horizontal="center" vertical="center"/>
    </xf>
    <xf numFmtId="49" fontId="7" fillId="0" borderId="4" xfId="6" applyNumberFormat="1" applyFont="1" applyFill="1" applyBorder="1" applyAlignment="1">
      <alignment vertical="center"/>
    </xf>
    <xf numFmtId="0" fontId="9" fillId="0" borderId="6" xfId="0" applyFont="1" applyFill="1" applyBorder="1" applyAlignment="1">
      <alignment horizontal="left" vertical="center" wrapText="1"/>
    </xf>
    <xf numFmtId="0" fontId="7" fillId="0" borderId="6" xfId="0" applyFont="1" applyFill="1" applyBorder="1" applyAlignment="1">
      <alignment horizontal="left" vertical="center" wrapText="1"/>
    </xf>
    <xf numFmtId="166" fontId="7" fillId="0" borderId="53" xfId="0" applyNumberFormat="1" applyFont="1" applyFill="1" applyBorder="1" applyAlignment="1">
      <alignment horizontal="center" vertical="center" wrapText="1"/>
    </xf>
    <xf numFmtId="0" fontId="9" fillId="0" borderId="56" xfId="0" applyFont="1" applyBorder="1" applyAlignment="1">
      <alignment horizontal="left" vertical="center" wrapText="1"/>
    </xf>
    <xf numFmtId="0" fontId="9" fillId="0" borderId="6" xfId="0" applyFont="1" applyBorder="1" applyAlignment="1">
      <alignment horizontal="left" vertical="center" wrapText="1"/>
    </xf>
    <xf numFmtId="167" fontId="9" fillId="0" borderId="21" xfId="0" applyNumberFormat="1" applyFont="1" applyBorder="1" applyAlignment="1">
      <alignment horizontal="center" vertical="center"/>
    </xf>
    <xf numFmtId="49" fontId="9" fillId="2" borderId="21" xfId="0" applyNumberFormat="1" applyFont="1" applyFill="1" applyBorder="1" applyAlignment="1">
      <alignment horizontal="center" vertical="center"/>
    </xf>
    <xf numFmtId="0" fontId="4" fillId="4" borderId="6" xfId="0" applyFont="1" applyFill="1" applyBorder="1" applyAlignment="1">
      <alignment horizontal="left"/>
    </xf>
    <xf numFmtId="0" fontId="7" fillId="2" borderId="23" xfId="0" applyFont="1" applyFill="1" applyBorder="1" applyAlignment="1">
      <alignment horizontal="center" vertical="center" wrapText="1"/>
    </xf>
    <xf numFmtId="49" fontId="3" fillId="0" borderId="2" xfId="0" applyNumberFormat="1" applyFont="1" applyBorder="1" applyAlignment="1">
      <alignment horizontal="center" vertical="center" wrapText="1"/>
    </xf>
    <xf numFmtId="49" fontId="4" fillId="2" borderId="53" xfId="0" applyNumberFormat="1" applyFont="1" applyFill="1" applyBorder="1" applyAlignment="1">
      <alignment horizontal="center" vertical="center" wrapText="1"/>
    </xf>
    <xf numFmtId="164" fontId="3" fillId="4" borderId="10" xfId="0" applyNumberFormat="1" applyFont="1" applyFill="1" applyBorder="1" applyAlignment="1">
      <alignment vertical="center" wrapText="1"/>
    </xf>
    <xf numFmtId="49" fontId="7" fillId="2" borderId="53" xfId="0" applyNumberFormat="1" applyFont="1" applyFill="1" applyBorder="1" applyAlignment="1">
      <alignment horizontal="left" vertical="center" wrapText="1"/>
    </xf>
    <xf numFmtId="49" fontId="7" fillId="2" borderId="53" xfId="0" applyNumberFormat="1" applyFont="1" applyFill="1" applyBorder="1" applyAlignment="1">
      <alignment horizontal="center" vertical="center" wrapText="1"/>
    </xf>
    <xf numFmtId="0" fontId="22" fillId="2" borderId="53" xfId="0" applyFont="1" applyFill="1" applyBorder="1" applyAlignment="1">
      <alignment vertical="center" wrapText="1"/>
    </xf>
    <xf numFmtId="0" fontId="4" fillId="4" borderId="23" xfId="0" applyFont="1" applyFill="1" applyBorder="1" applyAlignment="1"/>
    <xf numFmtId="0" fontId="4" fillId="3" borderId="24" xfId="0" applyFont="1" applyFill="1" applyBorder="1" applyAlignment="1"/>
    <xf numFmtId="0" fontId="3" fillId="0" borderId="6" xfId="0" applyFont="1" applyFill="1" applyBorder="1" applyAlignment="1">
      <alignment vertical="top" wrapText="1"/>
    </xf>
    <xf numFmtId="0" fontId="3" fillId="0" borderId="2" xfId="0" applyFont="1" applyFill="1" applyBorder="1" applyAlignment="1">
      <alignment vertical="top" wrapText="1"/>
    </xf>
    <xf numFmtId="169" fontId="4" fillId="0" borderId="53" xfId="0" applyNumberFormat="1" applyFont="1" applyFill="1" applyBorder="1" applyAlignment="1">
      <alignment horizontal="center" vertical="center"/>
    </xf>
    <xf numFmtId="0" fontId="3" fillId="4" borderId="2" xfId="0" applyFont="1" applyFill="1" applyBorder="1" applyAlignment="1">
      <alignment horizontal="left"/>
    </xf>
    <xf numFmtId="0" fontId="4" fillId="4" borderId="25" xfId="0" applyFont="1" applyFill="1" applyBorder="1" applyAlignment="1">
      <alignment horizontal="center" vertical="center"/>
    </xf>
    <xf numFmtId="167" fontId="3" fillId="0" borderId="3" xfId="0" applyNumberFormat="1" applyFont="1" applyBorder="1" applyAlignment="1">
      <alignment horizontal="center" vertical="center"/>
    </xf>
    <xf numFmtId="49" fontId="3" fillId="2" borderId="17" xfId="0" applyNumberFormat="1" applyFont="1" applyFill="1" applyBorder="1" applyAlignment="1">
      <alignment horizontal="center" vertical="center"/>
    </xf>
    <xf numFmtId="49" fontId="17" fillId="5" borderId="53" xfId="0" applyNumberFormat="1" applyFont="1" applyFill="1" applyBorder="1" applyAlignment="1">
      <alignment horizontal="center" vertical="center"/>
    </xf>
    <xf numFmtId="49" fontId="11" fillId="5" borderId="53" xfId="0" applyNumberFormat="1" applyFont="1" applyFill="1" applyBorder="1" applyAlignment="1">
      <alignment horizontal="center" vertical="center"/>
    </xf>
    <xf numFmtId="164" fontId="4" fillId="2" borderId="2" xfId="0" applyNumberFormat="1" applyFont="1" applyFill="1" applyBorder="1" applyAlignment="1"/>
    <xf numFmtId="49" fontId="17" fillId="5" borderId="2" xfId="0" applyNumberFormat="1" applyFont="1" applyFill="1" applyBorder="1" applyAlignment="1">
      <alignment vertical="center"/>
    </xf>
    <xf numFmtId="49" fontId="11" fillId="5" borderId="2" xfId="0" applyNumberFormat="1" applyFont="1" applyFill="1" applyBorder="1" applyAlignment="1">
      <alignment horizontal="center" vertical="center"/>
    </xf>
    <xf numFmtId="0" fontId="3" fillId="4" borderId="2" xfId="0" applyFont="1" applyFill="1" applyBorder="1" applyAlignment="1">
      <alignment horizontal="left" vertical="center"/>
    </xf>
    <xf numFmtId="164" fontId="4" fillId="3" borderId="2" xfId="0" applyNumberFormat="1" applyFont="1" applyFill="1" applyBorder="1" applyAlignment="1">
      <alignment horizontal="left" vertical="center" wrapText="1"/>
    </xf>
    <xf numFmtId="166" fontId="4" fillId="3" borderId="2" xfId="0" applyNumberFormat="1" applyFont="1" applyFill="1" applyBorder="1" applyAlignment="1">
      <alignment horizontal="left" vertical="center" wrapText="1"/>
    </xf>
    <xf numFmtId="167" fontId="3" fillId="2" borderId="2" xfId="13" applyNumberFormat="1" applyFont="1" applyFill="1" applyBorder="1" applyAlignment="1">
      <alignment horizontal="center" vertical="center"/>
    </xf>
    <xf numFmtId="0" fontId="17" fillId="2" borderId="2" xfId="6" applyFont="1" applyFill="1" applyBorder="1" applyAlignment="1">
      <alignment vertical="center" wrapText="1"/>
    </xf>
    <xf numFmtId="169" fontId="4" fillId="2" borderId="0" xfId="22" applyNumberFormat="1" applyFont="1" applyFill="1" applyBorder="1" applyAlignment="1">
      <alignment horizontal="center" vertical="center"/>
    </xf>
    <xf numFmtId="173" fontId="4" fillId="2" borderId="2" xfId="18" applyNumberFormat="1" applyFont="1" applyFill="1" applyBorder="1" applyAlignment="1">
      <alignment horizontal="center" vertical="center"/>
    </xf>
    <xf numFmtId="0" fontId="4" fillId="4" borderId="53" xfId="0" applyFont="1" applyFill="1" applyBorder="1" applyAlignment="1">
      <alignment horizontal="left"/>
    </xf>
    <xf numFmtId="0" fontId="4" fillId="3" borderId="2" xfId="0" applyFont="1" applyFill="1" applyBorder="1" applyAlignment="1">
      <alignment horizontal="center" vertical="center"/>
    </xf>
    <xf numFmtId="167" fontId="9" fillId="0" borderId="4" xfId="0" applyNumberFormat="1" applyFont="1" applyBorder="1" applyAlignment="1">
      <alignment horizontal="right" vertical="center"/>
    </xf>
    <xf numFmtId="167" fontId="7" fillId="0" borderId="53" xfId="0" applyNumberFormat="1" applyFont="1" applyBorder="1" applyAlignment="1">
      <alignment horizontal="right" vertical="center"/>
    </xf>
    <xf numFmtId="168" fontId="7" fillId="0" borderId="6" xfId="0" applyNumberFormat="1" applyFont="1" applyBorder="1" applyAlignment="1">
      <alignment horizontal="center" vertical="center"/>
    </xf>
    <xf numFmtId="164" fontId="3" fillId="4" borderId="2" xfId="0" applyNumberFormat="1" applyFont="1" applyFill="1" applyBorder="1" applyAlignment="1">
      <alignment horizontal="left" vertical="center" wrapText="1"/>
    </xf>
    <xf numFmtId="4" fontId="9" fillId="2" borderId="2" xfId="0" applyNumberFormat="1" applyFont="1" applyFill="1" applyBorder="1" applyAlignment="1">
      <alignment vertical="center" wrapText="1"/>
    </xf>
    <xf numFmtId="164" fontId="4" fillId="3" borderId="0" xfId="0" applyNumberFormat="1" applyFont="1" applyFill="1"/>
    <xf numFmtId="167" fontId="9" fillId="0" borderId="2" xfId="0" applyNumberFormat="1" applyFont="1" applyFill="1" applyBorder="1" applyAlignment="1">
      <alignment horizontal="right" vertical="center"/>
    </xf>
    <xf numFmtId="167" fontId="7" fillId="0" borderId="53" xfId="0" applyNumberFormat="1" applyFont="1" applyFill="1" applyBorder="1" applyAlignment="1">
      <alignment horizontal="right" vertical="center"/>
    </xf>
    <xf numFmtId="168" fontId="7" fillId="0" borderId="53" xfId="0" applyNumberFormat="1" applyFont="1" applyFill="1" applyBorder="1" applyAlignment="1">
      <alignment horizontal="right" vertical="center"/>
    </xf>
    <xf numFmtId="166" fontId="4" fillId="2" borderId="25" xfId="14" applyNumberFormat="1" applyFont="1" applyFill="1" applyBorder="1" applyAlignment="1">
      <alignment horizontal="center"/>
    </xf>
    <xf numFmtId="0" fontId="3" fillId="2" borderId="37" xfId="14" applyFont="1" applyFill="1" applyBorder="1" applyAlignment="1">
      <alignment horizontal="left"/>
    </xf>
    <xf numFmtId="168" fontId="9" fillId="0" borderId="2" xfId="0" applyNumberFormat="1" applyFont="1" applyFill="1" applyBorder="1" applyAlignment="1">
      <alignment horizontal="right" vertical="center"/>
    </xf>
    <xf numFmtId="167" fontId="9" fillId="0" borderId="53" xfId="0" applyNumberFormat="1" applyFont="1" applyFill="1" applyBorder="1" applyAlignment="1">
      <alignment horizontal="right" vertical="center"/>
    </xf>
    <xf numFmtId="49" fontId="9" fillId="0" borderId="53" xfId="0" applyNumberFormat="1" applyFont="1" applyFill="1" applyBorder="1" applyAlignment="1">
      <alignment vertical="center"/>
    </xf>
    <xf numFmtId="0" fontId="7" fillId="0" borderId="53" xfId="0" applyFont="1" applyFill="1" applyBorder="1" applyAlignment="1">
      <alignment horizontal="center" vertical="center" wrapText="1"/>
    </xf>
    <xf numFmtId="166" fontId="4" fillId="2" borderId="23" xfId="14" applyNumberFormat="1" applyFont="1" applyFill="1" applyBorder="1" applyAlignment="1">
      <alignment horizontal="center" vertical="center" wrapText="1"/>
    </xf>
    <xf numFmtId="166" fontId="4" fillId="4" borderId="2" xfId="14" applyNumberFormat="1" applyFont="1" applyFill="1" applyBorder="1" applyAlignment="1">
      <alignment horizontal="center" vertical="center" wrapText="1"/>
    </xf>
    <xf numFmtId="166" fontId="4" fillId="3" borderId="2" xfId="14" applyNumberFormat="1" applyFont="1" applyFill="1" applyBorder="1" applyAlignment="1">
      <alignment horizontal="center" vertical="center" wrapText="1"/>
    </xf>
    <xf numFmtId="3" fontId="7" fillId="2" borderId="53" xfId="0" applyNumberFormat="1" applyFont="1" applyFill="1" applyBorder="1" applyAlignment="1">
      <alignment horizontal="center" vertical="center" wrapText="1"/>
    </xf>
    <xf numFmtId="13" fontId="7" fillId="2" borderId="2" xfId="0" applyNumberFormat="1" applyFont="1" applyFill="1" applyBorder="1" applyAlignment="1">
      <alignment horizontal="center" vertical="center" wrapText="1"/>
    </xf>
    <xf numFmtId="49" fontId="7" fillId="2" borderId="2" xfId="0" applyNumberFormat="1" applyFont="1" applyFill="1" applyBorder="1" applyAlignment="1">
      <alignment vertical="top" wrapText="1"/>
    </xf>
    <xf numFmtId="49" fontId="9" fillId="2" borderId="2" xfId="0" applyNumberFormat="1" applyFont="1" applyFill="1" applyBorder="1" applyAlignment="1">
      <alignment horizontal="center" vertical="center" wrapText="1"/>
    </xf>
    <xf numFmtId="168" fontId="7" fillId="0" borderId="53" xfId="6" applyNumberFormat="1" applyFont="1" applyFill="1" applyBorder="1" applyAlignment="1">
      <alignment horizontal="center" vertical="center"/>
    </xf>
    <xf numFmtId="168" fontId="7" fillId="0" borderId="6" xfId="6" applyNumberFormat="1" applyFont="1" applyFill="1" applyBorder="1" applyAlignment="1">
      <alignment horizontal="center" vertical="center"/>
    </xf>
    <xf numFmtId="168" fontId="7" fillId="0" borderId="4" xfId="6" applyNumberFormat="1" applyFont="1" applyFill="1" applyBorder="1" applyAlignment="1">
      <alignment horizontal="center" vertical="center"/>
    </xf>
    <xf numFmtId="49" fontId="4" fillId="0" borderId="6" xfId="0" applyNumberFormat="1" applyFont="1" applyFill="1" applyBorder="1" applyAlignment="1">
      <alignment horizontal="left" vertical="center" wrapText="1"/>
    </xf>
    <xf numFmtId="49" fontId="3" fillId="0" borderId="6" xfId="0" applyNumberFormat="1" applyFont="1" applyFill="1" applyBorder="1" applyAlignment="1">
      <alignment horizontal="left" vertical="center" wrapText="1"/>
    </xf>
    <xf numFmtId="167" fontId="3" fillId="3" borderId="2"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0" fontId="4" fillId="3" borderId="2" xfId="0" applyFont="1" applyFill="1" applyBorder="1"/>
    <xf numFmtId="164" fontId="4" fillId="3" borderId="2" xfId="0" applyNumberFormat="1" applyFont="1" applyFill="1" applyBorder="1" applyAlignment="1">
      <alignment horizontal="center" vertical="center"/>
    </xf>
    <xf numFmtId="164" fontId="4" fillId="3" borderId="2" xfId="0" applyNumberFormat="1" applyFont="1" applyFill="1" applyBorder="1" applyAlignment="1">
      <alignment vertical="center"/>
    </xf>
    <xf numFmtId="0" fontId="3" fillId="0" borderId="0" xfId="0" applyFont="1" applyBorder="1" applyAlignment="1">
      <alignment vertical="center" wrapText="1"/>
    </xf>
    <xf numFmtId="0" fontId="9" fillId="2" borderId="2" xfId="0" applyFont="1" applyFill="1" applyBorder="1" applyAlignment="1">
      <alignment horizontal="center" vertical="center"/>
    </xf>
    <xf numFmtId="9" fontId="9" fillId="2" borderId="2" xfId="9" applyFont="1" applyFill="1" applyBorder="1" applyAlignment="1">
      <alignment horizontal="center" vertical="center"/>
    </xf>
    <xf numFmtId="0" fontId="6" fillId="2" borderId="2" xfId="6" applyFont="1" applyFill="1" applyBorder="1" applyAlignment="1">
      <alignment horizontal="left" vertical="top" wrapText="1"/>
    </xf>
    <xf numFmtId="167" fontId="7" fillId="2" borderId="2" xfId="0" applyNumberFormat="1" applyFont="1" applyFill="1" applyBorder="1" applyAlignment="1">
      <alignment horizontal="right" vertical="center"/>
    </xf>
    <xf numFmtId="0" fontId="47" fillId="2" borderId="2" xfId="0" applyFont="1" applyFill="1" applyBorder="1" applyAlignment="1">
      <alignment vertical="center" wrapText="1"/>
    </xf>
    <xf numFmtId="0" fontId="14" fillId="2" borderId="2" xfId="0" applyFont="1" applyFill="1" applyBorder="1" applyAlignment="1">
      <alignment vertical="center" wrapText="1"/>
    </xf>
    <xf numFmtId="0" fontId="14" fillId="2" borderId="2" xfId="0" applyFont="1" applyFill="1" applyBorder="1" applyAlignment="1">
      <alignment horizontal="center" vertical="center" wrapText="1"/>
    </xf>
    <xf numFmtId="0" fontId="18" fillId="2" borderId="2" xfId="0" applyFont="1" applyFill="1" applyBorder="1" applyAlignment="1">
      <alignment vertical="center" wrapText="1"/>
    </xf>
    <xf numFmtId="0" fontId="3" fillId="2" borderId="2" xfId="12" applyFont="1" applyFill="1" applyBorder="1" applyAlignment="1">
      <alignment vertical="center" wrapText="1"/>
    </xf>
    <xf numFmtId="16" fontId="4" fillId="2" borderId="2" xfId="0" applyNumberFormat="1" applyFont="1" applyFill="1" applyBorder="1" applyAlignment="1">
      <alignment horizontal="left" vertical="center" wrapText="1"/>
    </xf>
    <xf numFmtId="0" fontId="4" fillId="2" borderId="2" xfId="0" applyNumberFormat="1" applyFont="1" applyFill="1" applyBorder="1" applyAlignment="1">
      <alignment vertical="center" wrapText="1"/>
    </xf>
    <xf numFmtId="0" fontId="5" fillId="0" borderId="2" xfId="0" applyFont="1" applyBorder="1" applyAlignment="1">
      <alignment horizontal="left" vertical="center" wrapText="1"/>
    </xf>
    <xf numFmtId="49" fontId="4" fillId="2" borderId="2" xfId="0" applyNumberFormat="1" applyFont="1" applyFill="1" applyBorder="1" applyAlignment="1">
      <alignment horizontal="left" vertical="center" wrapText="1"/>
    </xf>
    <xf numFmtId="0" fontId="11" fillId="5" borderId="2" xfId="13" applyFont="1" applyFill="1" applyBorder="1" applyAlignment="1">
      <alignment horizontal="left" vertical="center" wrapText="1"/>
    </xf>
    <xf numFmtId="0" fontId="17" fillId="2" borderId="4" xfId="0" applyFont="1" applyFill="1" applyBorder="1" applyAlignment="1">
      <alignment vertical="center" wrapText="1"/>
    </xf>
    <xf numFmtId="0" fontId="17" fillId="2" borderId="4" xfId="0" applyFont="1" applyFill="1" applyBorder="1" applyAlignment="1">
      <alignment horizontal="left" vertical="center" wrapText="1"/>
    </xf>
    <xf numFmtId="0" fontId="7" fillId="3" borderId="2" xfId="0" applyFont="1" applyFill="1" applyBorder="1" applyAlignment="1">
      <alignment horizontal="center" vertical="center" wrapText="1"/>
    </xf>
    <xf numFmtId="49" fontId="52" fillId="6" borderId="2" xfId="0" applyNumberFormat="1" applyFont="1" applyFill="1" applyBorder="1" applyAlignment="1">
      <alignment horizontal="center" wrapText="1"/>
    </xf>
    <xf numFmtId="0" fontId="52" fillId="6" borderId="53" xfId="0" applyFont="1" applyFill="1" applyBorder="1" applyAlignment="1">
      <alignment horizontal="left" wrapText="1"/>
    </xf>
    <xf numFmtId="0" fontId="54" fillId="6" borderId="53" xfId="0" applyFont="1" applyFill="1" applyBorder="1" applyAlignment="1">
      <alignment horizontal="left" wrapText="1"/>
    </xf>
    <xf numFmtId="0" fontId="55" fillId="6" borderId="4" xfId="0" applyFont="1" applyFill="1" applyBorder="1" applyAlignment="1">
      <alignment horizontal="left" wrapText="1"/>
    </xf>
    <xf numFmtId="0" fontId="52" fillId="6" borderId="4" xfId="0" applyFont="1" applyFill="1" applyBorder="1" applyAlignment="1">
      <alignment horizontal="left" wrapText="1"/>
    </xf>
    <xf numFmtId="49" fontId="52" fillId="6" borderId="2" xfId="0" applyNumberFormat="1" applyFont="1" applyFill="1" applyBorder="1" applyAlignment="1">
      <alignment horizontal="center" vertical="top" wrapText="1"/>
    </xf>
    <xf numFmtId="49" fontId="3" fillId="2" borderId="21" xfId="0" applyNumberFormat="1" applyFont="1" applyFill="1" applyBorder="1" applyAlignment="1">
      <alignment horizontal="center" vertical="center" wrapText="1"/>
    </xf>
    <xf numFmtId="49" fontId="4" fillId="2" borderId="21" xfId="0" applyNumberFormat="1" applyFont="1" applyFill="1" applyBorder="1" applyAlignment="1">
      <alignment horizontal="center" vertical="center" wrapText="1"/>
    </xf>
    <xf numFmtId="167" fontId="17" fillId="0" borderId="21" xfId="24" applyNumberFormat="1" applyFont="1" applyBorder="1" applyAlignment="1">
      <alignment horizontal="right" vertical="center"/>
    </xf>
    <xf numFmtId="171" fontId="17" fillId="0" borderId="21" xfId="24" applyNumberFormat="1" applyFont="1" applyFill="1" applyBorder="1" applyAlignment="1">
      <alignment horizontal="center" vertical="center" wrapText="1"/>
    </xf>
    <xf numFmtId="49" fontId="11" fillId="0" borderId="2" xfId="24" applyNumberFormat="1" applyFont="1" applyFill="1" applyBorder="1" applyAlignment="1">
      <alignment horizontal="center" vertical="center" wrapText="1"/>
    </xf>
    <xf numFmtId="0" fontId="21" fillId="0" borderId="2" xfId="24" applyFont="1" applyFill="1" applyBorder="1" applyAlignment="1">
      <alignment horizontal="center" wrapText="1"/>
    </xf>
    <xf numFmtId="49" fontId="7" fillId="2" borderId="2" xfId="24" applyNumberFormat="1" applyFont="1" applyFill="1" applyBorder="1" applyAlignment="1">
      <alignment horizontal="center" vertical="center"/>
    </xf>
    <xf numFmtId="49" fontId="11" fillId="0" borderId="2" xfId="24" applyNumberFormat="1" applyFont="1" applyFill="1" applyBorder="1" applyAlignment="1">
      <alignment horizontal="center"/>
    </xf>
    <xf numFmtId="49" fontId="11" fillId="2" borderId="2" xfId="24" applyNumberFormat="1" applyFont="1" applyFill="1" applyBorder="1" applyAlignment="1">
      <alignment horizontal="center" vertical="center"/>
    </xf>
    <xf numFmtId="49" fontId="11" fillId="0" borderId="2" xfId="24" applyNumberFormat="1" applyFont="1" applyFill="1" applyBorder="1" applyAlignment="1">
      <alignment horizontal="center" vertical="center"/>
    </xf>
    <xf numFmtId="0" fontId="9" fillId="2" borderId="2" xfId="0" applyNumberFormat="1" applyFont="1" applyFill="1" applyBorder="1" applyAlignment="1">
      <alignment horizontal="left" vertical="center"/>
    </xf>
    <xf numFmtId="0" fontId="7" fillId="2" borderId="0" xfId="0" applyFont="1" applyFill="1" applyAlignment="1">
      <alignment horizontal="left" wrapText="1"/>
    </xf>
    <xf numFmtId="0" fontId="4" fillId="2" borderId="2" xfId="29" applyFont="1" applyFill="1" applyBorder="1" applyAlignment="1">
      <alignment horizontal="center" vertical="center"/>
    </xf>
    <xf numFmtId="1" fontId="9" fillId="2" borderId="2" xfId="0" applyNumberFormat="1" applyFont="1" applyFill="1" applyBorder="1" applyAlignment="1">
      <alignment horizontal="left" vertical="center"/>
    </xf>
    <xf numFmtId="0" fontId="11" fillId="2" borderId="2" xfId="17" applyFont="1" applyFill="1" applyBorder="1" applyAlignment="1">
      <alignment horizontal="center" vertical="center" wrapText="1"/>
    </xf>
    <xf numFmtId="167" fontId="7" fillId="2" borderId="21" xfId="0" applyNumberFormat="1" applyFont="1" applyFill="1" applyBorder="1" applyAlignment="1">
      <alignment horizontal="center" vertical="center"/>
    </xf>
    <xf numFmtId="167" fontId="9" fillId="2" borderId="21" xfId="0" applyNumberFormat="1" applyFont="1" applyFill="1" applyBorder="1" applyAlignment="1">
      <alignment horizontal="center" vertical="center"/>
    </xf>
    <xf numFmtId="49" fontId="7" fillId="0" borderId="21" xfId="0" applyNumberFormat="1" applyFont="1" applyBorder="1" applyAlignment="1">
      <alignment horizontal="center" vertical="center" wrapText="1"/>
    </xf>
    <xf numFmtId="49" fontId="9" fillId="0" borderId="21" xfId="0" applyNumberFormat="1" applyFont="1" applyBorder="1" applyAlignment="1">
      <alignment horizontal="center" vertical="center" wrapText="1"/>
    </xf>
    <xf numFmtId="49" fontId="3" fillId="0" borderId="21" xfId="0" applyNumberFormat="1" applyFont="1" applyBorder="1" applyAlignment="1">
      <alignment horizontal="center" vertical="center" wrapText="1"/>
    </xf>
    <xf numFmtId="49" fontId="4" fillId="0" borderId="20" xfId="0" applyNumberFormat="1" applyFont="1" applyBorder="1" applyAlignment="1">
      <alignment vertical="center" wrapText="1"/>
    </xf>
    <xf numFmtId="49" fontId="4" fillId="0" borderId="27" xfId="0" applyNumberFormat="1" applyFont="1" applyBorder="1" applyAlignment="1">
      <alignment vertical="center" wrapText="1"/>
    </xf>
    <xf numFmtId="0" fontId="9" fillId="2" borderId="4" xfId="0" applyFont="1" applyFill="1" applyBorder="1" applyAlignment="1">
      <alignment horizontal="center" vertical="center"/>
    </xf>
    <xf numFmtId="0" fontId="7" fillId="2" borderId="25" xfId="0" applyFont="1" applyFill="1" applyBorder="1" applyAlignment="1">
      <alignment horizontal="center" vertical="center"/>
    </xf>
    <xf numFmtId="0" fontId="52" fillId="0" borderId="2" xfId="0" applyFont="1" applyBorder="1" applyAlignment="1">
      <alignment horizontal="center" vertical="center"/>
    </xf>
    <xf numFmtId="169" fontId="17" fillId="0" borderId="2" xfId="0" applyNumberFormat="1" applyFont="1" applyFill="1" applyBorder="1" applyAlignment="1">
      <alignment horizontal="center" vertical="center" wrapText="1"/>
    </xf>
    <xf numFmtId="0" fontId="17" fillId="0" borderId="25" xfId="0" applyFont="1" applyFill="1" applyBorder="1" applyAlignment="1">
      <alignment horizontal="center" vertical="center" wrapText="1"/>
    </xf>
    <xf numFmtId="0" fontId="11" fillId="5" borderId="25" xfId="0" applyFont="1" applyFill="1" applyBorder="1" applyAlignment="1">
      <alignment horizontal="center" vertical="center" wrapText="1"/>
    </xf>
    <xf numFmtId="1" fontId="17" fillId="0" borderId="2" xfId="0" applyNumberFormat="1" applyFont="1" applyFill="1" applyBorder="1" applyAlignment="1">
      <alignment horizontal="center" vertical="center"/>
    </xf>
    <xf numFmtId="1" fontId="17" fillId="0" borderId="25" xfId="0" applyNumberFormat="1" applyFont="1" applyFill="1" applyBorder="1" applyAlignment="1">
      <alignment horizontal="center" vertical="center"/>
    </xf>
    <xf numFmtId="169" fontId="11" fillId="5" borderId="2" xfId="0" applyNumberFormat="1" applyFont="1" applyFill="1" applyBorder="1" applyAlignment="1">
      <alignment horizontal="center" vertical="center"/>
    </xf>
    <xf numFmtId="169" fontId="11" fillId="5" borderId="25" xfId="0" applyNumberFormat="1" applyFont="1" applyFill="1" applyBorder="1" applyAlignment="1">
      <alignment horizontal="center" vertical="center"/>
    </xf>
    <xf numFmtId="171" fontId="17" fillId="0" borderId="2" xfId="0" applyNumberFormat="1" applyFont="1" applyFill="1" applyBorder="1" applyAlignment="1">
      <alignment horizontal="center" vertical="center"/>
    </xf>
    <xf numFmtId="171" fontId="17" fillId="0" borderId="25" xfId="0" applyNumberFormat="1" applyFont="1" applyFill="1" applyBorder="1" applyAlignment="1">
      <alignment horizontal="center" vertical="center"/>
    </xf>
    <xf numFmtId="166" fontId="7" fillId="0" borderId="25" xfId="0" applyNumberFormat="1" applyFont="1" applyBorder="1" applyAlignment="1">
      <alignment horizontal="center" vertical="center"/>
    </xf>
    <xf numFmtId="0" fontId="7" fillId="0" borderId="25" xfId="0" applyFont="1" applyBorder="1" applyAlignment="1">
      <alignment horizontal="center" vertical="center"/>
    </xf>
    <xf numFmtId="2" fontId="7" fillId="0" borderId="2" xfId="0" applyNumberFormat="1" applyFont="1" applyBorder="1" applyAlignment="1">
      <alignment horizontal="center" vertical="center"/>
    </xf>
    <xf numFmtId="166" fontId="7" fillId="0" borderId="25" xfId="0" applyNumberFormat="1" applyFont="1" applyFill="1" applyBorder="1" applyAlignment="1">
      <alignment horizontal="center" vertical="center" wrapText="1"/>
    </xf>
    <xf numFmtId="169" fontId="7" fillId="0" borderId="25" xfId="0" applyNumberFormat="1" applyFont="1" applyFill="1" applyBorder="1" applyAlignment="1">
      <alignment horizontal="center" vertical="center" wrapText="1"/>
    </xf>
    <xf numFmtId="168" fontId="9" fillId="0" borderId="2" xfId="0" applyNumberFormat="1" applyFont="1" applyBorder="1" applyAlignment="1">
      <alignment horizontal="center" vertical="center"/>
    </xf>
    <xf numFmtId="169" fontId="9" fillId="0" borderId="2" xfId="0" applyNumberFormat="1" applyFont="1" applyFill="1" applyBorder="1" applyAlignment="1">
      <alignment horizontal="center" vertical="center" wrapText="1"/>
    </xf>
    <xf numFmtId="169" fontId="9" fillId="0" borderId="25" xfId="0" applyNumberFormat="1" applyFont="1" applyFill="1" applyBorder="1" applyAlignment="1">
      <alignment horizontal="center" vertical="center" wrapText="1"/>
    </xf>
    <xf numFmtId="169" fontId="17" fillId="5" borderId="25" xfId="0" applyNumberFormat="1" applyFont="1" applyFill="1" applyBorder="1" applyAlignment="1">
      <alignment horizontal="center" vertical="center" wrapText="1"/>
    </xf>
    <xf numFmtId="169" fontId="11" fillId="5" borderId="25" xfId="0" applyNumberFormat="1" applyFont="1" applyFill="1" applyBorder="1" applyAlignment="1">
      <alignment horizontal="center" vertical="center" wrapText="1"/>
    </xf>
    <xf numFmtId="2" fontId="17" fillId="5" borderId="2" xfId="0" applyNumberFormat="1" applyFont="1" applyFill="1" applyBorder="1" applyAlignment="1">
      <alignment horizontal="center" vertical="center" wrapText="1"/>
    </xf>
    <xf numFmtId="0" fontId="17" fillId="5" borderId="25" xfId="0" applyFont="1" applyFill="1" applyBorder="1" applyAlignment="1">
      <alignment horizontal="center" vertical="center" wrapText="1"/>
    </xf>
    <xf numFmtId="166" fontId="11" fillId="5" borderId="25" xfId="0" applyNumberFormat="1" applyFont="1" applyFill="1" applyBorder="1" applyAlignment="1">
      <alignment horizontal="center" vertical="center"/>
    </xf>
    <xf numFmtId="16" fontId="11" fillId="5" borderId="2" xfId="0" applyNumberFormat="1" applyFont="1" applyFill="1" applyBorder="1" applyAlignment="1">
      <alignment horizontal="center" vertical="center" wrapText="1"/>
    </xf>
    <xf numFmtId="16" fontId="11" fillId="5" borderId="25" xfId="0" applyNumberFormat="1" applyFont="1" applyFill="1" applyBorder="1" applyAlignment="1">
      <alignment horizontal="center" vertical="center" wrapText="1"/>
    </xf>
    <xf numFmtId="49" fontId="3" fillId="2" borderId="21" xfId="0" applyNumberFormat="1" applyFont="1" applyFill="1" applyBorder="1" applyAlignment="1">
      <alignment horizontal="left" vertical="center" wrapText="1"/>
    </xf>
    <xf numFmtId="168" fontId="3" fillId="2" borderId="2" xfId="0" applyNumberFormat="1" applyFont="1" applyFill="1" applyBorder="1" applyAlignment="1">
      <alignment horizontal="left" vertical="center" wrapText="1"/>
    </xf>
    <xf numFmtId="168" fontId="3" fillId="2" borderId="53" xfId="0" applyNumberFormat="1" applyFont="1" applyFill="1" applyBorder="1" applyAlignment="1">
      <alignment horizontal="left" vertical="center" wrapText="1"/>
    </xf>
    <xf numFmtId="168" fontId="3" fillId="2" borderId="25" xfId="0" applyNumberFormat="1" applyFont="1" applyFill="1" applyBorder="1" applyAlignment="1">
      <alignment horizontal="left" vertical="center" wrapText="1"/>
    </xf>
    <xf numFmtId="0" fontId="4" fillId="5" borderId="25" xfId="0" applyFont="1" applyFill="1" applyBorder="1" applyAlignment="1">
      <alignment horizontal="center" vertical="center" wrapText="1"/>
    </xf>
    <xf numFmtId="166" fontId="4" fillId="5" borderId="25" xfId="0" applyNumberFormat="1" applyFont="1" applyFill="1" applyBorder="1" applyAlignment="1">
      <alignment horizontal="center" vertical="center" wrapText="1"/>
    </xf>
    <xf numFmtId="0" fontId="4" fillId="5" borderId="2" xfId="0" applyFont="1" applyFill="1" applyBorder="1" applyAlignment="1">
      <alignment horizontal="center" vertical="center"/>
    </xf>
    <xf numFmtId="0" fontId="4" fillId="5" borderId="25"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25" xfId="0" applyFont="1" applyFill="1" applyBorder="1" applyAlignment="1">
      <alignment horizontal="center" vertical="center"/>
    </xf>
    <xf numFmtId="49" fontId="3" fillId="5" borderId="2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7" fillId="0" borderId="21" xfId="0" applyNumberFormat="1" applyFont="1" applyBorder="1" applyAlignment="1">
      <alignment horizontal="center" vertical="center"/>
    </xf>
    <xf numFmtId="169" fontId="7" fillId="2" borderId="25" xfId="0" applyNumberFormat="1" applyFont="1" applyFill="1" applyBorder="1" applyAlignment="1">
      <alignment horizontal="center" vertical="center" wrapText="1"/>
    </xf>
    <xf numFmtId="167" fontId="11" fillId="0" borderId="13" xfId="0" applyNumberFormat="1" applyFont="1" applyBorder="1" applyAlignment="1">
      <alignment horizontal="center" vertical="center"/>
    </xf>
    <xf numFmtId="0" fontId="11" fillId="5" borderId="4" xfId="0" applyFont="1" applyFill="1" applyBorder="1" applyAlignment="1">
      <alignment horizontal="center" vertical="center"/>
    </xf>
    <xf numFmtId="167" fontId="11" fillId="0" borderId="53" xfId="0" applyNumberFormat="1" applyFont="1" applyBorder="1" applyAlignment="1">
      <alignment horizontal="center" vertical="center"/>
    </xf>
    <xf numFmtId="168" fontId="11" fillId="0" borderId="53" xfId="0" applyNumberFormat="1" applyFont="1" applyBorder="1" applyAlignment="1">
      <alignment horizontal="center" vertical="center"/>
    </xf>
    <xf numFmtId="168" fontId="11" fillId="0" borderId="6" xfId="0" applyNumberFormat="1" applyFont="1" applyBorder="1" applyAlignment="1">
      <alignment horizontal="center" vertical="center"/>
    </xf>
    <xf numFmtId="49" fontId="54" fillId="6" borderId="21" xfId="0" applyNumberFormat="1" applyFont="1" applyFill="1" applyBorder="1" applyAlignment="1">
      <alignment horizontal="center" wrapText="1"/>
    </xf>
    <xf numFmtId="49" fontId="54" fillId="6" borderId="2" xfId="0" applyNumberFormat="1" applyFont="1" applyFill="1" applyBorder="1" applyAlignment="1">
      <alignment horizontal="center" vertical="top" wrapText="1"/>
    </xf>
    <xf numFmtId="49" fontId="54" fillId="6" borderId="2" xfId="0" applyNumberFormat="1" applyFont="1" applyFill="1" applyBorder="1" applyAlignment="1">
      <alignment horizontal="center" wrapText="1"/>
    </xf>
    <xf numFmtId="0" fontId="52" fillId="6" borderId="2" xfId="0" applyFont="1" applyFill="1" applyBorder="1" applyAlignment="1">
      <alignment horizontal="center" vertical="top" wrapText="1"/>
    </xf>
    <xf numFmtId="0" fontId="52" fillId="6" borderId="25" xfId="0" applyFont="1" applyFill="1" applyBorder="1" applyAlignment="1">
      <alignment horizontal="center" vertical="top" wrapText="1"/>
    </xf>
    <xf numFmtId="49" fontId="52" fillId="6" borderId="21" xfId="0" applyNumberFormat="1" applyFont="1" applyFill="1" applyBorder="1" applyAlignment="1">
      <alignment horizontal="center" wrapText="1"/>
    </xf>
    <xf numFmtId="49" fontId="54" fillId="6" borderId="21" xfId="0" applyNumberFormat="1" applyFont="1" applyFill="1" applyBorder="1" applyAlignment="1">
      <alignment horizontal="center" vertical="top" wrapText="1"/>
    </xf>
    <xf numFmtId="0" fontId="7" fillId="2" borderId="53" xfId="0" applyFont="1" applyFill="1" applyBorder="1" applyAlignment="1">
      <alignment horizontal="center" wrapText="1"/>
    </xf>
    <xf numFmtId="49" fontId="52" fillId="6" borderId="21" xfId="0" applyNumberFormat="1" applyFont="1" applyFill="1" applyBorder="1" applyAlignment="1">
      <alignment horizontal="center" vertical="top" wrapText="1"/>
    </xf>
    <xf numFmtId="0" fontId="7" fillId="2" borderId="25" xfId="0" applyFont="1" applyFill="1" applyBorder="1" applyAlignment="1">
      <alignment horizontal="center"/>
    </xf>
    <xf numFmtId="0" fontId="7" fillId="2" borderId="25" xfId="0" applyNumberFormat="1" applyFont="1" applyFill="1" applyBorder="1" applyAlignment="1">
      <alignment horizontal="center" vertical="center" wrapText="1"/>
    </xf>
    <xf numFmtId="3" fontId="7" fillId="2" borderId="2" xfId="0" applyNumberFormat="1" applyFont="1" applyFill="1" applyBorder="1" applyAlignment="1">
      <alignment horizontal="center"/>
    </xf>
    <xf numFmtId="166" fontId="7" fillId="2" borderId="25" xfId="0" applyNumberFormat="1" applyFont="1" applyFill="1" applyBorder="1" applyAlignment="1">
      <alignment horizontal="center"/>
    </xf>
    <xf numFmtId="0" fontId="7" fillId="0" borderId="25" xfId="0" applyFont="1" applyBorder="1" applyAlignment="1">
      <alignment horizontal="center"/>
    </xf>
    <xf numFmtId="49" fontId="11" fillId="0" borderId="6" xfId="0" applyNumberFormat="1" applyFont="1" applyBorder="1" applyAlignment="1">
      <alignment horizontal="right" vertical="center"/>
    </xf>
    <xf numFmtId="0" fontId="11" fillId="5" borderId="53" xfId="0" applyFont="1" applyFill="1" applyBorder="1" applyAlignment="1">
      <alignment horizontal="center" vertical="center"/>
    </xf>
    <xf numFmtId="173" fontId="7" fillId="0" borderId="2" xfId="1" applyNumberFormat="1" applyFont="1" applyBorder="1" applyAlignment="1">
      <alignment vertical="center" wrapText="1"/>
    </xf>
    <xf numFmtId="173" fontId="7" fillId="0" borderId="2" xfId="1" applyNumberFormat="1" applyFont="1" applyFill="1" applyBorder="1" applyAlignment="1">
      <alignment vertical="center" wrapText="1"/>
    </xf>
    <xf numFmtId="173" fontId="4" fillId="0" borderId="11" xfId="1" applyNumberFormat="1" applyFont="1" applyFill="1" applyBorder="1" applyAlignment="1">
      <alignment vertical="top" wrapText="1"/>
    </xf>
    <xf numFmtId="173" fontId="4" fillId="0" borderId="12" xfId="1" applyNumberFormat="1" applyFont="1" applyFill="1" applyBorder="1" applyAlignment="1">
      <alignment vertical="top" wrapText="1"/>
    </xf>
    <xf numFmtId="173" fontId="4" fillId="0" borderId="18" xfId="1" applyNumberFormat="1" applyFont="1" applyFill="1" applyBorder="1" applyAlignment="1">
      <alignment vertical="top" wrapText="1"/>
    </xf>
    <xf numFmtId="173" fontId="4" fillId="0" borderId="10" xfId="1" applyNumberFormat="1" applyFont="1" applyFill="1" applyBorder="1" applyAlignment="1">
      <alignment vertical="top" wrapText="1"/>
    </xf>
    <xf numFmtId="173" fontId="4" fillId="0" borderId="0" xfId="1" applyNumberFormat="1" applyFont="1" applyFill="1" applyBorder="1" applyAlignment="1">
      <alignment vertical="top" wrapText="1"/>
    </xf>
    <xf numFmtId="173" fontId="4" fillId="0" borderId="17" xfId="1" applyNumberFormat="1" applyFont="1" applyFill="1" applyBorder="1" applyAlignment="1">
      <alignment vertical="top" wrapText="1"/>
    </xf>
    <xf numFmtId="173" fontId="4" fillId="0" borderId="8" xfId="1" applyNumberFormat="1" applyFont="1" applyFill="1" applyBorder="1" applyAlignment="1">
      <alignment vertical="center" wrapText="1"/>
    </xf>
    <xf numFmtId="173" fontId="4" fillId="0" borderId="9" xfId="1" applyNumberFormat="1" applyFont="1" applyFill="1" applyBorder="1" applyAlignment="1">
      <alignment vertical="center" wrapText="1"/>
    </xf>
    <xf numFmtId="173" fontId="7" fillId="2" borderId="2" xfId="1" applyNumberFormat="1" applyFont="1" applyFill="1" applyBorder="1" applyAlignment="1">
      <alignment vertical="center" wrapText="1"/>
    </xf>
    <xf numFmtId="173" fontId="4" fillId="2" borderId="53" xfId="1" applyNumberFormat="1" applyFont="1" applyFill="1" applyBorder="1" applyAlignment="1">
      <alignment vertical="center" wrapText="1"/>
    </xf>
    <xf numFmtId="173" fontId="4" fillId="2" borderId="4" xfId="1" applyNumberFormat="1" applyFont="1" applyFill="1" applyBorder="1" applyAlignment="1">
      <alignment vertical="center" wrapText="1"/>
    </xf>
    <xf numFmtId="173" fontId="4" fillId="2" borderId="3" xfId="1" applyNumberFormat="1" applyFont="1" applyFill="1" applyBorder="1" applyAlignment="1">
      <alignment vertical="center" wrapText="1"/>
    </xf>
    <xf numFmtId="173" fontId="7" fillId="2" borderId="53" xfId="1" applyNumberFormat="1" applyFont="1" applyFill="1" applyBorder="1" applyAlignment="1">
      <alignment vertical="center" wrapText="1"/>
    </xf>
    <xf numFmtId="173" fontId="7" fillId="2" borderId="4" xfId="1" applyNumberFormat="1" applyFont="1" applyFill="1" applyBorder="1" applyAlignment="1">
      <alignment vertical="center" wrapText="1"/>
    </xf>
    <xf numFmtId="173" fontId="3" fillId="2" borderId="53" xfId="1" applyNumberFormat="1" applyFont="1" applyFill="1" applyBorder="1" applyAlignment="1">
      <alignment vertical="center" wrapText="1"/>
    </xf>
    <xf numFmtId="173" fontId="3" fillId="2" borderId="4" xfId="1" applyNumberFormat="1" applyFont="1" applyFill="1" applyBorder="1" applyAlignment="1">
      <alignment vertical="center" wrapText="1"/>
    </xf>
    <xf numFmtId="173" fontId="4" fillId="2" borderId="53" xfId="1" applyNumberFormat="1" applyFont="1" applyFill="1" applyBorder="1" applyAlignment="1">
      <alignment vertical="center"/>
    </xf>
    <xf numFmtId="173" fontId="4" fillId="2" borderId="3" xfId="1" applyNumberFormat="1" applyFont="1" applyFill="1" applyBorder="1" applyAlignment="1">
      <alignment vertical="center"/>
    </xf>
    <xf numFmtId="173" fontId="4" fillId="2" borderId="4" xfId="1" applyNumberFormat="1" applyFont="1" applyFill="1" applyBorder="1" applyAlignment="1">
      <alignment vertical="center"/>
    </xf>
    <xf numFmtId="173" fontId="17" fillId="5" borderId="4" xfId="1" applyNumberFormat="1" applyFont="1" applyFill="1" applyBorder="1" applyAlignment="1">
      <alignment vertical="center" wrapText="1"/>
    </xf>
    <xf numFmtId="173" fontId="11" fillId="5" borderId="2" xfId="1" applyNumberFormat="1" applyFont="1" applyFill="1" applyBorder="1" applyAlignment="1">
      <alignment vertical="center" wrapText="1"/>
    </xf>
    <xf numFmtId="173" fontId="11" fillId="5" borderId="53" xfId="1" applyNumberFormat="1" applyFont="1" applyFill="1" applyBorder="1" applyAlignment="1">
      <alignment vertical="center" wrapText="1"/>
    </xf>
    <xf numFmtId="173" fontId="9" fillId="2" borderId="2" xfId="1" applyNumberFormat="1" applyFont="1" applyFill="1" applyBorder="1" applyAlignment="1">
      <alignment vertical="center" wrapText="1"/>
    </xf>
    <xf numFmtId="173" fontId="9" fillId="2" borderId="2" xfId="1" applyNumberFormat="1" applyFont="1" applyFill="1" applyBorder="1" applyAlignment="1">
      <alignment vertical="center"/>
    </xf>
    <xf numFmtId="173" fontId="7" fillId="2" borderId="2" xfId="1" applyNumberFormat="1" applyFont="1" applyFill="1" applyBorder="1" applyAlignment="1">
      <alignment vertical="center"/>
    </xf>
    <xf numFmtId="173" fontId="9" fillId="2" borderId="2" xfId="1" applyNumberFormat="1" applyFont="1" applyFill="1" applyBorder="1" applyAlignment="1">
      <alignment vertical="top" wrapText="1"/>
    </xf>
    <xf numFmtId="173" fontId="7" fillId="0" borderId="2" xfId="1" applyNumberFormat="1" applyFont="1" applyFill="1" applyBorder="1" applyAlignment="1">
      <alignment vertical="center"/>
    </xf>
    <xf numFmtId="173" fontId="17" fillId="5" borderId="2" xfId="1" applyNumberFormat="1" applyFont="1" applyFill="1" applyBorder="1" applyAlignment="1">
      <alignment vertical="center" wrapText="1"/>
    </xf>
    <xf numFmtId="173" fontId="4" fillId="2" borderId="2" xfId="1" applyNumberFormat="1" applyFont="1" applyFill="1" applyBorder="1" applyAlignment="1">
      <alignment vertical="center"/>
    </xf>
    <xf numFmtId="173" fontId="4" fillId="2" borderId="2" xfId="1" applyNumberFormat="1" applyFont="1" applyFill="1" applyBorder="1" applyAlignment="1">
      <alignment vertical="center" wrapText="1"/>
    </xf>
    <xf numFmtId="173" fontId="3" fillId="2" borderId="2" xfId="1" applyNumberFormat="1" applyFont="1" applyFill="1" applyBorder="1" applyAlignment="1">
      <alignment vertical="center"/>
    </xf>
    <xf numFmtId="173" fontId="4" fillId="2" borderId="2" xfId="1" applyNumberFormat="1" applyFont="1" applyFill="1" applyBorder="1" applyAlignment="1">
      <alignment vertical="center" wrapText="1"/>
    </xf>
    <xf numFmtId="173" fontId="3" fillId="2" borderId="2" xfId="1" applyNumberFormat="1" applyFont="1" applyFill="1" applyBorder="1" applyAlignment="1">
      <alignment vertical="center" wrapText="1"/>
    </xf>
    <xf numFmtId="173" fontId="9" fillId="4" borderId="2" xfId="1" applyNumberFormat="1" applyFont="1" applyFill="1" applyBorder="1" applyAlignment="1">
      <alignment vertical="center"/>
    </xf>
    <xf numFmtId="173" fontId="9" fillId="2" borderId="4" xfId="1" applyNumberFormat="1" applyFont="1" applyFill="1" applyBorder="1" applyAlignment="1">
      <alignment vertical="center" wrapText="1"/>
    </xf>
    <xf numFmtId="173" fontId="7" fillId="0" borderId="2" xfId="1" applyNumberFormat="1" applyFont="1" applyBorder="1" applyAlignment="1">
      <alignment vertical="center"/>
    </xf>
    <xf numFmtId="173" fontId="3" fillId="0" borderId="0" xfId="1" applyNumberFormat="1" applyFont="1" applyAlignment="1">
      <alignment vertical="center"/>
    </xf>
    <xf numFmtId="173" fontId="4" fillId="0" borderId="0" xfId="1" applyNumberFormat="1" applyFont="1" applyAlignment="1"/>
    <xf numFmtId="173" fontId="3" fillId="3" borderId="4" xfId="1" applyNumberFormat="1" applyFont="1" applyFill="1" applyBorder="1" applyAlignment="1">
      <alignment vertical="center"/>
    </xf>
    <xf numFmtId="173" fontId="3" fillId="4" borderId="10" xfId="1" applyNumberFormat="1" applyFont="1" applyFill="1" applyBorder="1" applyAlignment="1"/>
    <xf numFmtId="173" fontId="3" fillId="4" borderId="1" xfId="1" applyNumberFormat="1" applyFont="1" applyFill="1" applyBorder="1" applyAlignment="1">
      <alignment vertical="center"/>
    </xf>
    <xf numFmtId="173" fontId="3" fillId="4" borderId="2" xfId="1" applyNumberFormat="1" applyFont="1" applyFill="1" applyBorder="1" applyAlignment="1">
      <alignment vertical="center" wrapText="1"/>
    </xf>
    <xf numFmtId="173" fontId="7" fillId="2" borderId="3" xfId="1" applyNumberFormat="1" applyFont="1" applyFill="1" applyBorder="1" applyAlignment="1">
      <alignment vertical="center" wrapText="1"/>
    </xf>
    <xf numFmtId="173" fontId="7" fillId="2" borderId="2" xfId="1" applyNumberFormat="1" applyFont="1" applyFill="1" applyBorder="1" applyAlignment="1"/>
    <xf numFmtId="173" fontId="3" fillId="4" borderId="53" xfId="1" applyNumberFormat="1" applyFont="1" applyFill="1" applyBorder="1" applyAlignment="1">
      <alignment vertical="center"/>
    </xf>
    <xf numFmtId="173" fontId="9" fillId="0" borderId="2" xfId="1" applyNumberFormat="1" applyFont="1" applyBorder="1" applyAlignment="1">
      <alignment vertical="center" wrapText="1"/>
    </xf>
    <xf numFmtId="173" fontId="7" fillId="0" borderId="2" xfId="1" applyNumberFormat="1" applyFont="1" applyFill="1" applyBorder="1" applyAlignment="1"/>
    <xf numFmtId="173" fontId="7" fillId="0" borderId="2" xfId="1" applyNumberFormat="1" applyFont="1" applyFill="1" applyBorder="1" applyAlignment="1">
      <alignment wrapText="1"/>
    </xf>
    <xf numFmtId="173" fontId="4" fillId="0" borderId="2" xfId="1" applyNumberFormat="1" applyFont="1" applyFill="1" applyBorder="1" applyAlignment="1">
      <alignment wrapText="1"/>
    </xf>
    <xf numFmtId="173" fontId="9" fillId="0" borderId="2" xfId="1" applyNumberFormat="1" applyFont="1" applyFill="1" applyBorder="1" applyAlignment="1">
      <alignment vertical="center" wrapText="1"/>
    </xf>
    <xf numFmtId="173" fontId="9" fillId="0" borderId="2" xfId="1" applyNumberFormat="1" applyFont="1" applyBorder="1" applyAlignment="1">
      <alignment vertical="center"/>
    </xf>
    <xf numFmtId="173" fontId="4" fillId="4" borderId="2" xfId="1" applyNumberFormat="1" applyFont="1" applyFill="1" applyBorder="1" applyAlignment="1">
      <alignment vertical="center" wrapText="1"/>
    </xf>
    <xf numFmtId="173" fontId="4" fillId="0" borderId="2" xfId="1" applyNumberFormat="1" applyFont="1" applyBorder="1" applyAlignment="1">
      <alignment vertical="center" wrapText="1"/>
    </xf>
    <xf numFmtId="173" fontId="4" fillId="0" borderId="2" xfId="1" applyNumberFormat="1" applyFont="1" applyFill="1" applyBorder="1" applyAlignment="1"/>
    <xf numFmtId="173" fontId="4" fillId="0" borderId="2" xfId="1" applyNumberFormat="1" applyFont="1" applyBorder="1" applyAlignment="1">
      <alignment wrapText="1"/>
    </xf>
    <xf numFmtId="173" fontId="4" fillId="0" borderId="2" xfId="1" applyNumberFormat="1" applyFont="1" applyBorder="1" applyAlignment="1"/>
    <xf numFmtId="173" fontId="3" fillId="4" borderId="4" xfId="1" applyNumberFormat="1" applyFont="1" applyFill="1" applyBorder="1" applyAlignment="1">
      <alignment vertical="center" wrapText="1"/>
    </xf>
    <xf numFmtId="173" fontId="4" fillId="0" borderId="1" xfId="1" applyNumberFormat="1" applyFont="1" applyFill="1" applyBorder="1" applyAlignment="1">
      <alignment vertical="center"/>
    </xf>
    <xf numFmtId="173" fontId="7" fillId="2" borderId="1" xfId="1" applyNumberFormat="1" applyFont="1" applyFill="1" applyBorder="1" applyAlignment="1">
      <alignment vertical="center" wrapText="1"/>
    </xf>
    <xf numFmtId="173" fontId="7" fillId="0" borderId="2" xfId="1" applyNumberFormat="1" applyFont="1" applyBorder="1" applyAlignment="1"/>
    <xf numFmtId="173" fontId="7" fillId="0" borderId="2" xfId="1" applyNumberFormat="1" applyFont="1" applyBorder="1" applyAlignment="1">
      <alignment wrapText="1"/>
    </xf>
    <xf numFmtId="173" fontId="9" fillId="0" borderId="1" xfId="1" applyNumberFormat="1" applyFont="1" applyBorder="1" applyAlignment="1">
      <alignment vertical="center" wrapText="1"/>
    </xf>
    <xf numFmtId="173" fontId="9" fillId="0" borderId="1" xfId="1" applyNumberFormat="1" applyFont="1" applyBorder="1" applyAlignment="1">
      <alignment wrapText="1"/>
    </xf>
    <xf numFmtId="173" fontId="9" fillId="0" borderId="1" xfId="1" applyNumberFormat="1" applyFont="1" applyFill="1" applyBorder="1" applyAlignment="1"/>
    <xf numFmtId="173" fontId="7" fillId="0" borderId="1" xfId="1" applyNumberFormat="1" applyFont="1" applyBorder="1" applyAlignment="1">
      <alignment vertical="center" wrapText="1"/>
    </xf>
    <xf numFmtId="173" fontId="7" fillId="0" borderId="1" xfId="1" applyNumberFormat="1" applyFont="1" applyBorder="1" applyAlignment="1">
      <alignment wrapText="1"/>
    </xf>
    <xf numFmtId="173" fontId="7" fillId="0" borderId="1" xfId="1" applyNumberFormat="1" applyFont="1" applyFill="1" applyBorder="1" applyAlignment="1"/>
    <xf numFmtId="173" fontId="7" fillId="0" borderId="1" xfId="1" applyNumberFormat="1" applyFont="1" applyFill="1" applyBorder="1" applyAlignment="1">
      <alignment vertical="center"/>
    </xf>
    <xf numFmtId="173" fontId="4" fillId="0" borderId="53" xfId="1" applyNumberFormat="1" applyFont="1" applyBorder="1" applyAlignment="1"/>
    <xf numFmtId="173" fontId="9" fillId="0" borderId="1" xfId="1" applyNumberFormat="1" applyFont="1" applyBorder="1" applyAlignment="1"/>
    <xf numFmtId="173" fontId="9" fillId="0" borderId="2" xfId="1" applyNumberFormat="1" applyFont="1" applyBorder="1" applyAlignment="1"/>
    <xf numFmtId="173" fontId="3" fillId="4" borderId="2" xfId="1" applyNumberFormat="1" applyFont="1" applyFill="1" applyBorder="1" applyAlignment="1">
      <alignment vertical="center"/>
    </xf>
    <xf numFmtId="173" fontId="3" fillId="4" borderId="4" xfId="1" applyNumberFormat="1" applyFont="1" applyFill="1" applyBorder="1" applyAlignment="1">
      <alignment vertical="center"/>
    </xf>
    <xf numFmtId="173" fontId="7" fillId="2" borderId="32" xfId="1" applyNumberFormat="1" applyFont="1" applyFill="1" applyBorder="1" applyAlignment="1">
      <alignment vertical="center" wrapText="1"/>
    </xf>
    <xf numFmtId="173" fontId="4" fillId="2" borderId="1" xfId="1" applyNumberFormat="1" applyFont="1" applyFill="1" applyBorder="1" applyAlignment="1">
      <alignment vertical="center" wrapText="1"/>
    </xf>
    <xf numFmtId="173" fontId="3" fillId="2" borderId="1" xfId="1" applyNumberFormat="1" applyFont="1" applyFill="1" applyBorder="1" applyAlignment="1">
      <alignment vertical="center" wrapText="1"/>
    </xf>
    <xf numFmtId="173" fontId="3" fillId="5" borderId="4" xfId="1" applyNumberFormat="1" applyFont="1" applyFill="1" applyBorder="1" applyAlignment="1">
      <alignment vertical="center" wrapText="1"/>
    </xf>
    <xf numFmtId="173" fontId="4" fillId="5" borderId="2" xfId="1" applyNumberFormat="1" applyFont="1" applyFill="1" applyBorder="1" applyAlignment="1">
      <alignment vertical="center" wrapText="1"/>
    </xf>
    <xf numFmtId="173" fontId="3" fillId="5" borderId="2" xfId="1" applyNumberFormat="1" applyFont="1" applyFill="1" applyBorder="1" applyAlignment="1">
      <alignment vertical="center" wrapText="1"/>
    </xf>
    <xf numFmtId="173" fontId="17" fillId="5" borderId="1" xfId="1" applyNumberFormat="1" applyFont="1" applyFill="1" applyBorder="1" applyAlignment="1">
      <alignment vertical="center" wrapText="1"/>
    </xf>
    <xf numFmtId="173" fontId="11" fillId="5" borderId="1" xfId="1" applyNumberFormat="1" applyFont="1" applyFill="1" applyBorder="1" applyAlignment="1">
      <alignment vertical="center" wrapText="1"/>
    </xf>
    <xf numFmtId="173" fontId="17" fillId="4" borderId="7" xfId="1" applyNumberFormat="1" applyFont="1" applyFill="1" applyBorder="1" applyAlignment="1"/>
    <xf numFmtId="173" fontId="9" fillId="2" borderId="14" xfId="1" applyNumberFormat="1" applyFont="1" applyFill="1" applyBorder="1" applyAlignment="1">
      <alignment vertical="center" wrapText="1"/>
    </xf>
    <xf numFmtId="173" fontId="9" fillId="0" borderId="4" xfId="1" applyNumberFormat="1" applyFont="1" applyBorder="1" applyAlignment="1">
      <alignment vertical="center"/>
    </xf>
    <xf numFmtId="173" fontId="7" fillId="2" borderId="6" xfId="1" applyNumberFormat="1" applyFont="1" applyFill="1" applyBorder="1" applyAlignment="1">
      <alignment vertical="center" wrapText="1"/>
    </xf>
    <xf numFmtId="173" fontId="9" fillId="2" borderId="56" xfId="1" applyNumberFormat="1" applyFont="1" applyFill="1" applyBorder="1" applyAlignment="1">
      <alignment vertical="center" wrapText="1"/>
    </xf>
    <xf numFmtId="173" fontId="7" fillId="2" borderId="56" xfId="1" applyNumberFormat="1" applyFont="1" applyFill="1" applyBorder="1" applyAlignment="1">
      <alignment vertical="center" wrapText="1"/>
    </xf>
    <xf numFmtId="173" fontId="7" fillId="4" borderId="59" xfId="1" applyNumberFormat="1" applyFont="1" applyFill="1" applyBorder="1" applyAlignment="1">
      <alignment vertical="center"/>
    </xf>
    <xf numFmtId="173" fontId="7" fillId="4" borderId="2" xfId="1" applyNumberFormat="1" applyFont="1" applyFill="1" applyBorder="1" applyAlignment="1">
      <alignment vertical="center"/>
    </xf>
    <xf numFmtId="173" fontId="7" fillId="4" borderId="22" xfId="1" applyNumberFormat="1" applyFont="1" applyFill="1" applyBorder="1" applyAlignment="1"/>
    <xf numFmtId="173" fontId="4" fillId="0" borderId="4" xfId="1" applyNumberFormat="1" applyFont="1" applyFill="1" applyBorder="1" applyAlignment="1">
      <alignment vertical="center" wrapText="1"/>
    </xf>
    <xf numFmtId="173" fontId="4" fillId="0" borderId="1" xfId="1" applyNumberFormat="1" applyFont="1" applyFill="1" applyBorder="1" applyAlignment="1">
      <alignment vertical="center" wrapText="1"/>
    </xf>
    <xf numFmtId="173" fontId="4" fillId="0" borderId="3" xfId="1" applyNumberFormat="1" applyFont="1" applyFill="1" applyBorder="1" applyAlignment="1">
      <alignment vertical="center" wrapText="1"/>
    </xf>
    <xf numFmtId="173" fontId="4" fillId="0" borderId="53" xfId="1" applyNumberFormat="1" applyFont="1" applyFill="1" applyBorder="1" applyAlignment="1">
      <alignment vertical="top" wrapText="1"/>
    </xf>
    <xf numFmtId="173" fontId="4" fillId="0" borderId="1" xfId="1" applyNumberFormat="1" applyFont="1" applyFill="1" applyBorder="1" applyAlignment="1">
      <alignment vertical="top" wrapText="1"/>
    </xf>
    <xf numFmtId="173" fontId="4" fillId="0" borderId="3" xfId="1" applyNumberFormat="1" applyFont="1" applyFill="1" applyBorder="1" applyAlignment="1">
      <alignment vertical="top" wrapText="1"/>
    </xf>
    <xf numFmtId="173" fontId="4" fillId="0" borderId="4" xfId="1" applyNumberFormat="1" applyFont="1" applyFill="1" applyBorder="1" applyAlignment="1">
      <alignment vertical="top" wrapText="1"/>
    </xf>
    <xf numFmtId="173" fontId="4" fillId="0" borderId="12" xfId="1" applyNumberFormat="1" applyFont="1" applyFill="1" applyBorder="1" applyAlignment="1">
      <alignment vertical="center" wrapText="1"/>
    </xf>
    <xf numFmtId="173" fontId="3" fillId="4" borderId="2" xfId="1" applyNumberFormat="1" applyFont="1" applyFill="1" applyBorder="1" applyAlignment="1"/>
    <xf numFmtId="173" fontId="9" fillId="2" borderId="1" xfId="1" applyNumberFormat="1" applyFont="1" applyFill="1" applyBorder="1" applyAlignment="1">
      <alignment vertical="center" wrapText="1"/>
    </xf>
    <xf numFmtId="173" fontId="11" fillId="2" borderId="2" xfId="1" applyNumberFormat="1" applyFont="1" applyFill="1" applyBorder="1" applyAlignment="1">
      <alignment vertical="center" wrapText="1"/>
    </xf>
    <xf numFmtId="173" fontId="11" fillId="2" borderId="1" xfId="1" applyNumberFormat="1" applyFont="1" applyFill="1" applyBorder="1" applyAlignment="1">
      <alignment vertical="center" wrapText="1"/>
    </xf>
    <xf numFmtId="173" fontId="3" fillId="0" borderId="2" xfId="1" applyNumberFormat="1" applyFont="1" applyBorder="1" applyAlignment="1">
      <alignment vertical="center"/>
    </xf>
    <xf numFmtId="173" fontId="4" fillId="0" borderId="2" xfId="1" applyNumberFormat="1" applyFont="1" applyBorder="1" applyAlignment="1">
      <alignment vertical="center"/>
    </xf>
    <xf numFmtId="173" fontId="17" fillId="2" borderId="2" xfId="1" applyNumberFormat="1" applyFont="1" applyFill="1" applyBorder="1" applyAlignment="1">
      <alignment vertical="center" wrapText="1"/>
    </xf>
    <xf numFmtId="173" fontId="4" fillId="0" borderId="6" xfId="1" applyNumberFormat="1" applyFont="1" applyFill="1" applyBorder="1" applyAlignment="1">
      <alignment vertical="center" wrapText="1"/>
    </xf>
    <xf numFmtId="173" fontId="4" fillId="0" borderId="2" xfId="1" applyNumberFormat="1" applyFont="1" applyFill="1" applyBorder="1" applyAlignment="1">
      <alignment vertical="center" wrapText="1"/>
    </xf>
    <xf numFmtId="173" fontId="4" fillId="0" borderId="4" xfId="1" applyNumberFormat="1" applyFont="1" applyFill="1" applyBorder="1" applyAlignment="1">
      <alignment vertical="center"/>
    </xf>
    <xf numFmtId="173" fontId="4" fillId="3" borderId="2" xfId="1" applyNumberFormat="1" applyFont="1" applyFill="1" applyBorder="1" applyAlignment="1">
      <alignment vertical="center"/>
    </xf>
    <xf numFmtId="173" fontId="4" fillId="5" borderId="1" xfId="1" applyNumberFormat="1" applyFont="1" applyFill="1" applyBorder="1" applyAlignment="1">
      <alignment wrapText="1"/>
    </xf>
    <xf numFmtId="173" fontId="4" fillId="5" borderId="4" xfId="1" applyNumberFormat="1" applyFont="1" applyFill="1" applyBorder="1" applyAlignment="1">
      <alignment vertical="center" wrapText="1"/>
    </xf>
    <xf numFmtId="173" fontId="4" fillId="5" borderId="4" xfId="1" applyNumberFormat="1" applyFont="1" applyFill="1" applyBorder="1" applyAlignment="1">
      <alignment wrapText="1"/>
    </xf>
    <xf numFmtId="173" fontId="17" fillId="4" borderId="2" xfId="1" applyNumberFormat="1" applyFont="1" applyFill="1" applyBorder="1" applyAlignment="1"/>
    <xf numFmtId="173" fontId="4" fillId="2" borderId="2" xfId="1" applyNumberFormat="1" applyFont="1" applyFill="1" applyBorder="1" applyAlignment="1">
      <alignment wrapText="1"/>
    </xf>
    <xf numFmtId="173" fontId="4" fillId="2" borderId="2" xfId="1" applyNumberFormat="1" applyFont="1" applyFill="1" applyBorder="1" applyAlignment="1"/>
    <xf numFmtId="173" fontId="4" fillId="2" borderId="1" xfId="1" applyNumberFormat="1" applyFont="1" applyFill="1" applyBorder="1" applyAlignment="1"/>
    <xf numFmtId="173" fontId="4" fillId="2" borderId="4" xfId="1" applyNumberFormat="1" applyFont="1" applyFill="1" applyBorder="1" applyAlignment="1"/>
    <xf numFmtId="173" fontId="4" fillId="2" borderId="1" xfId="1" applyNumberFormat="1" applyFont="1" applyFill="1" applyBorder="1" applyAlignment="1">
      <alignment vertical="center"/>
    </xf>
    <xf numFmtId="173" fontId="4" fillId="2" borderId="0" xfId="1" applyNumberFormat="1" applyFont="1" applyFill="1" applyBorder="1" applyAlignment="1">
      <alignment vertical="center"/>
    </xf>
    <xf numFmtId="173" fontId="4" fillId="2" borderId="1" xfId="1" applyNumberFormat="1" applyFont="1" applyFill="1" applyBorder="1" applyAlignment="1">
      <alignment wrapText="1"/>
    </xf>
    <xf numFmtId="173" fontId="3" fillId="0" borderId="53" xfId="1" applyNumberFormat="1" applyFont="1" applyBorder="1" applyAlignment="1">
      <alignment vertical="center" wrapText="1"/>
    </xf>
    <xf numFmtId="173" fontId="9" fillId="2" borderId="53" xfId="1" applyNumberFormat="1" applyFont="1" applyFill="1" applyBorder="1" applyAlignment="1">
      <alignment vertical="center" wrapText="1"/>
    </xf>
    <xf numFmtId="173" fontId="20" fillId="2" borderId="2" xfId="1" applyNumberFormat="1" applyFont="1" applyFill="1" applyBorder="1" applyAlignment="1">
      <alignment vertical="center" wrapText="1"/>
    </xf>
    <xf numFmtId="173" fontId="20" fillId="2" borderId="53" xfId="1" applyNumberFormat="1" applyFont="1" applyFill="1" applyBorder="1" applyAlignment="1">
      <alignment vertical="center" wrapText="1"/>
    </xf>
    <xf numFmtId="173" fontId="3" fillId="0" borderId="4" xfId="1" applyNumberFormat="1" applyFont="1" applyFill="1" applyBorder="1" applyAlignment="1">
      <alignment vertical="center" wrapText="1"/>
    </xf>
    <xf numFmtId="173" fontId="4" fillId="3" borderId="8" xfId="1" applyNumberFormat="1" applyFont="1" applyFill="1" applyBorder="1" applyAlignment="1">
      <alignment vertical="center" wrapText="1"/>
    </xf>
    <xf numFmtId="173" fontId="3" fillId="4" borderId="32" xfId="1" applyNumberFormat="1" applyFont="1" applyFill="1" applyBorder="1" applyAlignment="1"/>
    <xf numFmtId="173" fontId="9" fillId="4" borderId="2" xfId="1" applyNumberFormat="1" applyFont="1" applyFill="1" applyBorder="1" applyAlignment="1"/>
    <xf numFmtId="173" fontId="17" fillId="5" borderId="53" xfId="1" applyNumberFormat="1" applyFont="1" applyFill="1" applyBorder="1" applyAlignment="1">
      <alignment vertical="center" wrapText="1"/>
    </xf>
    <xf numFmtId="173" fontId="9" fillId="4" borderId="53" xfId="1" applyNumberFormat="1" applyFont="1" applyFill="1" applyBorder="1" applyAlignment="1">
      <alignment vertical="center" wrapText="1"/>
    </xf>
    <xf numFmtId="173" fontId="5" fillId="2" borderId="4" xfId="1" applyNumberFormat="1" applyFont="1" applyFill="1" applyBorder="1" applyAlignment="1">
      <alignment vertical="center" wrapText="1"/>
    </xf>
    <xf numFmtId="173" fontId="7" fillId="2" borderId="53" xfId="1" applyNumberFormat="1" applyFont="1" applyFill="1" applyBorder="1" applyAlignment="1">
      <alignment wrapText="1"/>
    </xf>
    <xf numFmtId="173" fontId="7" fillId="2" borderId="4" xfId="1" applyNumberFormat="1" applyFont="1" applyFill="1" applyBorder="1" applyAlignment="1">
      <alignment wrapText="1"/>
    </xf>
    <xf numFmtId="173" fontId="17" fillId="4" borderId="2" xfId="1" applyNumberFormat="1" applyFont="1" applyFill="1" applyBorder="1" applyAlignment="1">
      <alignment vertical="center" wrapText="1"/>
    </xf>
    <xf numFmtId="173" fontId="54" fillId="6" borderId="2" xfId="1" applyNumberFormat="1" applyFont="1" applyFill="1" applyBorder="1" applyAlignment="1">
      <alignment vertical="center" wrapText="1"/>
    </xf>
    <xf numFmtId="173" fontId="52" fillId="6" borderId="2" xfId="1" applyNumberFormat="1" applyFont="1" applyFill="1" applyBorder="1" applyAlignment="1">
      <alignment vertical="top" wrapText="1"/>
    </xf>
    <xf numFmtId="173" fontId="52" fillId="6" borderId="2" xfId="1" applyNumberFormat="1" applyFont="1" applyFill="1" applyBorder="1" applyAlignment="1">
      <alignment wrapText="1"/>
    </xf>
    <xf numFmtId="173" fontId="52" fillId="6" borderId="2" xfId="1" applyNumberFormat="1" applyFont="1" applyFill="1" applyBorder="1" applyAlignment="1">
      <alignment vertical="center" wrapText="1"/>
    </xf>
    <xf numFmtId="173" fontId="7" fillId="2" borderId="2" xfId="1" applyNumberFormat="1" applyFont="1" applyFill="1" applyBorder="1" applyAlignment="1">
      <alignment vertical="center" wrapText="1"/>
    </xf>
    <xf numFmtId="173" fontId="11" fillId="0" borderId="2" xfId="1" applyNumberFormat="1" applyFont="1" applyFill="1" applyBorder="1" applyAlignment="1">
      <alignment vertical="center" wrapText="1"/>
    </xf>
    <xf numFmtId="173" fontId="17" fillId="0" borderId="2" xfId="1" applyNumberFormat="1" applyFont="1" applyFill="1" applyBorder="1" applyAlignment="1">
      <alignment vertical="center" wrapText="1"/>
    </xf>
    <xf numFmtId="173" fontId="17" fillId="0" borderId="2" xfId="1" applyNumberFormat="1" applyFont="1" applyFill="1" applyBorder="1" applyAlignment="1">
      <alignment vertical="center"/>
    </xf>
    <xf numFmtId="173" fontId="17" fillId="2" borderId="2" xfId="1" applyNumberFormat="1" applyFont="1" applyFill="1" applyBorder="1" applyAlignment="1">
      <alignment vertical="center"/>
    </xf>
    <xf numFmtId="173" fontId="7" fillId="0" borderId="53" xfId="1" applyNumberFormat="1" applyFont="1" applyFill="1" applyBorder="1" applyAlignment="1">
      <alignment vertical="center" wrapText="1"/>
    </xf>
    <xf numFmtId="173" fontId="7" fillId="0" borderId="3" xfId="1" applyNumberFormat="1" applyFont="1" applyFill="1" applyBorder="1" applyAlignment="1">
      <alignment vertical="center" wrapText="1"/>
    </xf>
    <xf numFmtId="173" fontId="3" fillId="0" borderId="2" xfId="1" applyNumberFormat="1" applyFont="1" applyBorder="1" applyAlignment="1">
      <alignment vertical="center" wrapText="1"/>
    </xf>
    <xf numFmtId="173" fontId="52" fillId="0" borderId="2" xfId="1" applyNumberFormat="1" applyFont="1" applyFill="1" applyBorder="1" applyAlignment="1">
      <alignment vertical="center" wrapText="1"/>
    </xf>
    <xf numFmtId="173" fontId="11" fillId="0" borderId="53" xfId="1" applyNumberFormat="1" applyFont="1" applyFill="1" applyBorder="1" applyAlignment="1">
      <alignment vertical="center" wrapText="1"/>
    </xf>
    <xf numFmtId="173" fontId="11" fillId="5" borderId="2" xfId="1" applyNumberFormat="1" applyFont="1" applyFill="1" applyBorder="1" applyAlignment="1">
      <alignment vertical="center"/>
    </xf>
    <xf numFmtId="173" fontId="9" fillId="4" borderId="2" xfId="1" applyNumberFormat="1" applyFont="1" applyFill="1" applyBorder="1" applyAlignment="1">
      <alignment vertical="center" wrapText="1"/>
    </xf>
    <xf numFmtId="173" fontId="7" fillId="0" borderId="0" xfId="1" applyNumberFormat="1" applyFont="1" applyAlignment="1">
      <alignment vertical="center"/>
    </xf>
    <xf numFmtId="173" fontId="54" fillId="6" borderId="2" xfId="1" applyNumberFormat="1" applyFont="1" applyFill="1" applyBorder="1" applyAlignment="1">
      <alignment wrapText="1"/>
    </xf>
    <xf numFmtId="173" fontId="54" fillId="6" borderId="53" xfId="1" applyNumberFormat="1" applyFont="1" applyFill="1" applyBorder="1" applyAlignment="1">
      <alignment wrapText="1"/>
    </xf>
    <xf numFmtId="173" fontId="4" fillId="0" borderId="0" xfId="1" applyNumberFormat="1" applyFont="1" applyAlignment="1">
      <alignment vertical="center"/>
    </xf>
    <xf numFmtId="0" fontId="3" fillId="0" borderId="2" xfId="1" applyNumberFormat="1" applyFont="1" applyFill="1" applyBorder="1" applyAlignment="1">
      <alignment horizontal="center" vertical="center"/>
    </xf>
    <xf numFmtId="173" fontId="7" fillId="5" borderId="2" xfId="1" applyNumberFormat="1" applyFont="1" applyFill="1" applyBorder="1" applyAlignment="1">
      <alignment vertical="center" wrapText="1"/>
    </xf>
    <xf numFmtId="0" fontId="11" fillId="5" borderId="53" xfId="0" applyFont="1" applyFill="1" applyBorder="1" applyAlignment="1">
      <alignment vertical="center" wrapText="1"/>
    </xf>
    <xf numFmtId="0" fontId="11" fillId="5" borderId="4" xfId="0" applyFont="1" applyFill="1" applyBorder="1" applyAlignment="1">
      <alignment vertical="center" wrapText="1"/>
    </xf>
    <xf numFmtId="0" fontId="11" fillId="5" borderId="53" xfId="0" applyFont="1" applyFill="1" applyBorder="1" applyAlignment="1">
      <alignment horizontal="center" vertical="center" wrapText="1"/>
    </xf>
    <xf numFmtId="0" fontId="11" fillId="5" borderId="4" xfId="0" applyFont="1" applyFill="1" applyBorder="1" applyAlignment="1">
      <alignment horizontal="center" vertical="center" wrapText="1"/>
    </xf>
    <xf numFmtId="168" fontId="3" fillId="4" borderId="21" xfId="0" applyNumberFormat="1" applyFont="1" applyFill="1" applyBorder="1" applyAlignment="1"/>
    <xf numFmtId="168" fontId="3" fillId="4" borderId="2" xfId="0" applyNumberFormat="1" applyFont="1" applyFill="1" applyBorder="1" applyAlignment="1"/>
    <xf numFmtId="49" fontId="4" fillId="0" borderId="53" xfId="0" applyNumberFormat="1" applyFont="1" applyFill="1" applyBorder="1" applyAlignment="1">
      <alignment horizontal="center" vertical="top"/>
    </xf>
    <xf numFmtId="49" fontId="4" fillId="0" borderId="4" xfId="0" applyNumberFormat="1" applyFont="1" applyFill="1" applyBorder="1" applyAlignment="1">
      <alignment horizontal="center" vertical="top"/>
    </xf>
    <xf numFmtId="49" fontId="4" fillId="0" borderId="53" xfId="0" applyNumberFormat="1" applyFont="1" applyFill="1" applyBorder="1" applyAlignment="1">
      <alignment horizontal="left" vertical="center" wrapText="1"/>
    </xf>
    <xf numFmtId="49" fontId="14" fillId="0" borderId="3" xfId="0" applyNumberFormat="1" applyFont="1" applyBorder="1" applyAlignment="1">
      <alignment horizontal="left" vertical="center" wrapText="1"/>
    </xf>
    <xf numFmtId="49" fontId="14" fillId="0" borderId="4" xfId="0" applyNumberFormat="1" applyFont="1" applyBorder="1" applyAlignment="1">
      <alignment horizontal="left" vertical="center" wrapText="1"/>
    </xf>
    <xf numFmtId="49" fontId="3" fillId="0" borderId="53" xfId="0" applyNumberFormat="1" applyFont="1" applyFill="1" applyBorder="1" applyAlignment="1">
      <alignment horizontal="left" vertical="center" wrapText="1"/>
    </xf>
    <xf numFmtId="49" fontId="15" fillId="0" borderId="4" xfId="0" applyNumberFormat="1" applyFont="1" applyBorder="1" applyAlignment="1">
      <alignment horizontal="left" vertical="center" wrapText="1"/>
    </xf>
    <xf numFmtId="49" fontId="3" fillId="0" borderId="53" xfId="0" applyNumberFormat="1" applyFont="1" applyFill="1" applyBorder="1" applyAlignment="1">
      <alignment horizontal="center" vertical="top"/>
    </xf>
    <xf numFmtId="49" fontId="3" fillId="0" borderId="4" xfId="0" applyNumberFormat="1" applyFont="1" applyFill="1" applyBorder="1" applyAlignment="1">
      <alignment horizontal="center" vertical="top"/>
    </xf>
    <xf numFmtId="0" fontId="4" fillId="0" borderId="53" xfId="0" applyFont="1" applyFill="1" applyBorder="1" applyAlignment="1">
      <alignment vertical="top" wrapText="1"/>
    </xf>
    <xf numFmtId="0" fontId="14" fillId="0" borderId="3" xfId="0" applyFont="1" applyBorder="1" applyAlignment="1">
      <alignment vertical="top" wrapText="1"/>
    </xf>
    <xf numFmtId="0" fontId="14" fillId="0" borderId="4" xfId="0" applyFont="1" applyBorder="1" applyAlignment="1">
      <alignment vertical="top" wrapText="1"/>
    </xf>
    <xf numFmtId="49" fontId="4" fillId="0" borderId="53" xfId="0" applyNumberFormat="1" applyFont="1" applyFill="1" applyBorder="1" applyAlignment="1">
      <alignment horizontal="center" vertical="top" wrapText="1"/>
    </xf>
    <xf numFmtId="49" fontId="4" fillId="0" borderId="3" xfId="0" applyNumberFormat="1" applyFont="1" applyFill="1" applyBorder="1" applyAlignment="1">
      <alignment horizontal="center" vertical="top" wrapText="1"/>
    </xf>
    <xf numFmtId="49" fontId="4" fillId="0" borderId="4" xfId="0" applyNumberFormat="1" applyFont="1" applyFill="1" applyBorder="1" applyAlignment="1">
      <alignment horizontal="center" vertical="top" wrapText="1"/>
    </xf>
    <xf numFmtId="49" fontId="4" fillId="0" borderId="2" xfId="0" applyNumberFormat="1" applyFont="1" applyFill="1" applyBorder="1" applyAlignment="1">
      <alignment horizontal="center" vertical="top"/>
    </xf>
    <xf numFmtId="0" fontId="4" fillId="0" borderId="53" xfId="0" applyFont="1" applyFill="1" applyBorder="1" applyAlignment="1">
      <alignment vertical="top"/>
    </xf>
    <xf numFmtId="0" fontId="14" fillId="0" borderId="4" xfId="0" applyFont="1" applyBorder="1" applyAlignment="1">
      <alignment vertical="top"/>
    </xf>
    <xf numFmtId="0" fontId="9" fillId="4" borderId="43" xfId="0" applyFont="1" applyFill="1" applyBorder="1" applyAlignment="1">
      <alignment horizontal="left" vertical="center"/>
    </xf>
    <xf numFmtId="0" fontId="9" fillId="4" borderId="8" xfId="0" applyFont="1" applyFill="1" applyBorder="1" applyAlignment="1">
      <alignment horizontal="left" vertical="center"/>
    </xf>
    <xf numFmtId="0" fontId="9" fillId="4" borderId="9" xfId="0" applyFont="1" applyFill="1" applyBorder="1" applyAlignment="1">
      <alignment horizontal="left" vertical="center"/>
    </xf>
    <xf numFmtId="168" fontId="3" fillId="3" borderId="21" xfId="0" applyNumberFormat="1" applyFont="1" applyFill="1" applyBorder="1" applyAlignment="1">
      <alignment horizontal="left" vertical="center" wrapText="1"/>
    </xf>
    <xf numFmtId="168" fontId="3" fillId="3" borderId="2" xfId="0" applyNumberFormat="1" applyFont="1" applyFill="1" applyBorder="1" applyAlignment="1">
      <alignment horizontal="left" vertical="center" wrapText="1"/>
    </xf>
    <xf numFmtId="168" fontId="3" fillId="3" borderId="25" xfId="0" applyNumberFormat="1" applyFont="1" applyFill="1" applyBorder="1" applyAlignment="1">
      <alignment horizontal="left" vertical="center" wrapText="1"/>
    </xf>
    <xf numFmtId="49" fontId="17" fillId="5" borderId="53" xfId="0" applyNumberFormat="1" applyFont="1" applyFill="1" applyBorder="1" applyAlignment="1">
      <alignment vertical="center"/>
    </xf>
    <xf numFmtId="49" fontId="17" fillId="5" borderId="4" xfId="0" applyNumberFormat="1" applyFont="1" applyFill="1" applyBorder="1" applyAlignment="1">
      <alignment vertical="center"/>
    </xf>
    <xf numFmtId="178" fontId="7" fillId="5" borderId="53" xfId="0" applyNumberFormat="1" applyFont="1" applyFill="1" applyBorder="1" applyAlignment="1">
      <alignment vertical="center"/>
    </xf>
    <xf numFmtId="178" fontId="7" fillId="5" borderId="4" xfId="0" applyNumberFormat="1" applyFont="1" applyFill="1" applyBorder="1" applyAlignment="1">
      <alignment vertical="center"/>
    </xf>
    <xf numFmtId="49" fontId="7" fillId="5" borderId="53" xfId="0" applyNumberFormat="1" applyFont="1" applyFill="1" applyBorder="1" applyAlignment="1">
      <alignment vertical="center"/>
    </xf>
    <xf numFmtId="49" fontId="7" fillId="5" borderId="4" xfId="0" applyNumberFormat="1" applyFont="1" applyFill="1" applyBorder="1" applyAlignment="1">
      <alignment vertical="center"/>
    </xf>
    <xf numFmtId="0" fontId="17" fillId="5" borderId="53" xfId="0" applyFont="1" applyFill="1" applyBorder="1" applyAlignment="1">
      <alignment horizontal="left" vertical="center" wrapText="1"/>
    </xf>
    <xf numFmtId="0" fontId="17" fillId="5" borderId="4" xfId="0" applyFont="1" applyFill="1" applyBorder="1" applyAlignment="1">
      <alignment horizontal="left" vertical="center" wrapText="1"/>
    </xf>
    <xf numFmtId="173" fontId="17" fillId="5" borderId="53" xfId="1" applyNumberFormat="1" applyFont="1" applyFill="1" applyBorder="1" applyAlignment="1">
      <alignment vertical="center" wrapText="1"/>
    </xf>
    <xf numFmtId="173" fontId="7" fillId="0" borderId="4" xfId="1" applyNumberFormat="1" applyFont="1" applyBorder="1" applyAlignment="1">
      <alignment vertical="center" wrapText="1"/>
    </xf>
    <xf numFmtId="167" fontId="9" fillId="0" borderId="21" xfId="0" applyNumberFormat="1" applyFont="1" applyFill="1" applyBorder="1" applyAlignment="1">
      <alignment horizontal="center" vertical="center"/>
    </xf>
    <xf numFmtId="168" fontId="7" fillId="0" borderId="2" xfId="0" applyNumberFormat="1" applyFont="1" applyFill="1" applyBorder="1" applyAlignment="1">
      <alignment horizontal="center" vertical="center"/>
    </xf>
    <xf numFmtId="0" fontId="9" fillId="0" borderId="2" xfId="0" applyFont="1" applyFill="1" applyBorder="1" applyAlignment="1">
      <alignment horizontal="center" vertical="center"/>
    </xf>
    <xf numFmtId="0" fontId="7" fillId="0" borderId="53" xfId="0" applyFont="1" applyFill="1" applyBorder="1" applyAlignment="1">
      <alignment horizontal="left" vertical="center" wrapText="1"/>
    </xf>
    <xf numFmtId="0" fontId="7" fillId="0" borderId="4" xfId="0" applyFont="1" applyFill="1" applyBorder="1" applyAlignment="1">
      <alignment horizontal="left" vertical="center" wrapText="1"/>
    </xf>
    <xf numFmtId="173" fontId="7" fillId="0" borderId="2" xfId="1" applyNumberFormat="1" applyFont="1" applyFill="1" applyBorder="1" applyAlignment="1">
      <alignment vertical="center" wrapText="1"/>
    </xf>
    <xf numFmtId="168" fontId="3" fillId="3" borderId="43" xfId="0" applyNumberFormat="1" applyFont="1" applyFill="1" applyBorder="1" applyAlignment="1">
      <alignment vertical="center" wrapText="1"/>
    </xf>
    <xf numFmtId="168" fontId="3" fillId="3" borderId="8" xfId="0" applyNumberFormat="1" applyFont="1" applyFill="1" applyBorder="1" applyAlignment="1">
      <alignment vertical="center" wrapText="1"/>
    </xf>
    <xf numFmtId="168" fontId="3" fillId="3" borderId="54" xfId="0" applyNumberFormat="1" applyFont="1" applyFill="1" applyBorder="1" applyAlignment="1">
      <alignment vertical="center" wrapText="1"/>
    </xf>
    <xf numFmtId="168" fontId="3" fillId="3" borderId="53" xfId="0" applyNumberFormat="1" applyFont="1" applyFill="1" applyBorder="1" applyAlignment="1">
      <alignment horizontal="left" vertical="center" wrapText="1"/>
    </xf>
    <xf numFmtId="49" fontId="9" fillId="2" borderId="21"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0" fontId="4" fillId="2" borderId="53" xfId="0" applyFont="1" applyFill="1" applyBorder="1" applyAlignment="1">
      <alignment horizontal="left" vertical="center" wrapText="1"/>
    </xf>
    <xf numFmtId="0" fontId="4" fillId="2" borderId="4" xfId="0" applyFont="1" applyFill="1" applyBorder="1" applyAlignment="1">
      <alignment horizontal="left" vertical="center" wrapText="1"/>
    </xf>
    <xf numFmtId="49" fontId="17" fillId="5" borderId="21" xfId="0" applyNumberFormat="1" applyFont="1" applyFill="1" applyBorder="1" applyAlignment="1">
      <alignment vertical="center"/>
    </xf>
    <xf numFmtId="49" fontId="7" fillId="5" borderId="2" xfId="0" applyNumberFormat="1" applyFont="1" applyFill="1" applyBorder="1" applyAlignment="1">
      <alignment vertical="center"/>
    </xf>
    <xf numFmtId="0" fontId="4" fillId="5" borderId="2" xfId="0" applyFont="1" applyFill="1" applyBorder="1" applyAlignment="1">
      <alignment vertical="center" wrapText="1"/>
    </xf>
    <xf numFmtId="173" fontId="7" fillId="0" borderId="2" xfId="1" applyNumberFormat="1" applyFont="1" applyBorder="1" applyAlignment="1">
      <alignment vertical="center" wrapText="1"/>
    </xf>
    <xf numFmtId="0" fontId="4" fillId="5" borderId="2" xfId="0" applyFont="1" applyFill="1" applyBorder="1" applyAlignment="1">
      <alignment horizontal="left" vertical="center" wrapText="1"/>
    </xf>
    <xf numFmtId="0" fontId="11" fillId="5" borderId="2" xfId="0" applyFont="1" applyFill="1" applyBorder="1" applyAlignment="1">
      <alignment horizontal="center" vertical="center" wrapText="1"/>
    </xf>
    <xf numFmtId="1" fontId="11" fillId="5" borderId="2" xfId="0" applyNumberFormat="1" applyFont="1" applyFill="1" applyBorder="1" applyAlignment="1">
      <alignment horizontal="center" vertical="center" wrapText="1"/>
    </xf>
    <xf numFmtId="0" fontId="7" fillId="0" borderId="2" xfId="0" applyFont="1" applyBorder="1" applyAlignment="1">
      <alignment horizontal="center" vertical="center" wrapText="1"/>
    </xf>
    <xf numFmtId="1" fontId="11" fillId="5" borderId="25" xfId="0" applyNumberFormat="1" applyFont="1" applyFill="1" applyBorder="1" applyAlignment="1">
      <alignment horizontal="center" vertical="center" wrapText="1"/>
    </xf>
    <xf numFmtId="1" fontId="11" fillId="5" borderId="2" xfId="0" applyNumberFormat="1" applyFont="1" applyFill="1" applyBorder="1" applyAlignment="1">
      <alignment horizontal="center" vertical="center"/>
    </xf>
    <xf numFmtId="0" fontId="7" fillId="0" borderId="2" xfId="0" applyFont="1" applyBorder="1" applyAlignment="1">
      <alignment horizontal="center" vertical="center"/>
    </xf>
    <xf numFmtId="0" fontId="7" fillId="0" borderId="25" xfId="0" applyFont="1" applyBorder="1" applyAlignment="1">
      <alignment horizontal="center" vertical="center" wrapText="1"/>
    </xf>
    <xf numFmtId="173" fontId="17" fillId="5" borderId="2" xfId="1" applyNumberFormat="1" applyFont="1" applyFill="1" applyBorder="1" applyAlignment="1">
      <alignment vertical="center" wrapText="1"/>
    </xf>
    <xf numFmtId="0" fontId="3" fillId="5" borderId="53" xfId="0" applyFont="1" applyFill="1" applyBorder="1" applyAlignment="1">
      <alignment horizontal="left" vertical="center" wrapText="1"/>
    </xf>
    <xf numFmtId="0" fontId="4" fillId="5" borderId="4" xfId="0" applyFont="1" applyFill="1" applyBorder="1" applyAlignment="1">
      <alignment horizontal="left" vertical="center" wrapText="1"/>
    </xf>
    <xf numFmtId="0" fontId="17" fillId="5" borderId="2" xfId="0" applyFont="1" applyFill="1" applyBorder="1" applyAlignment="1">
      <alignment horizontal="center" vertical="center"/>
    </xf>
    <xf numFmtId="0" fontId="17" fillId="5" borderId="25" xfId="0" applyFont="1" applyFill="1" applyBorder="1" applyAlignment="1">
      <alignment horizontal="center" vertical="center"/>
    </xf>
    <xf numFmtId="0" fontId="4" fillId="5" borderId="53" xfId="0" applyFont="1" applyFill="1" applyBorder="1" applyAlignment="1">
      <alignment horizontal="left" vertical="center" wrapText="1"/>
    </xf>
    <xf numFmtId="167" fontId="9" fillId="0" borderId="21" xfId="0" applyNumberFormat="1" applyFont="1" applyBorder="1" applyAlignment="1">
      <alignment horizontal="center" vertical="center"/>
    </xf>
    <xf numFmtId="168" fontId="7" fillId="0" borderId="2" xfId="0" applyNumberFormat="1" applyFont="1" applyBorder="1" applyAlignment="1">
      <alignment horizontal="center" vertical="center"/>
    </xf>
    <xf numFmtId="0" fontId="7" fillId="2" borderId="2" xfId="0" applyFont="1" applyFill="1" applyBorder="1" applyAlignment="1">
      <alignment horizontal="center" vertical="center"/>
    </xf>
    <xf numFmtId="0" fontId="7" fillId="2" borderId="53" xfId="6"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173" fontId="7" fillId="2" borderId="2" xfId="1" applyNumberFormat="1" applyFont="1" applyFill="1" applyBorder="1" applyAlignment="1">
      <alignment vertical="center" wrapText="1"/>
    </xf>
    <xf numFmtId="173" fontId="7" fillId="2" borderId="2" xfId="1" applyNumberFormat="1" applyFont="1" applyFill="1" applyBorder="1" applyAlignment="1">
      <alignment vertical="center"/>
    </xf>
    <xf numFmtId="0" fontId="7" fillId="2" borderId="3" xfId="6" applyFont="1" applyFill="1" applyBorder="1" applyAlignment="1">
      <alignment horizontal="left" vertical="center" wrapText="1"/>
    </xf>
    <xf numFmtId="0" fontId="7" fillId="2" borderId="4" xfId="6" applyFont="1" applyFill="1" applyBorder="1" applyAlignment="1">
      <alignment horizontal="left" vertical="center" wrapText="1"/>
    </xf>
    <xf numFmtId="0" fontId="7" fillId="0" borderId="21" xfId="0" applyFont="1" applyBorder="1" applyAlignment="1">
      <alignment vertical="center"/>
    </xf>
    <xf numFmtId="168" fontId="11" fillId="0" borderId="2" xfId="0" applyNumberFormat="1" applyFont="1" applyBorder="1" applyAlignment="1">
      <alignment vertical="center"/>
    </xf>
    <xf numFmtId="0" fontId="7" fillId="0" borderId="2" xfId="0" applyFont="1" applyBorder="1" applyAlignment="1">
      <alignment horizontal="center"/>
    </xf>
    <xf numFmtId="0" fontId="11" fillId="0" borderId="53" xfId="31" applyFont="1" applyFill="1" applyBorder="1" applyAlignment="1">
      <alignment horizontal="left" vertical="center" wrapText="1"/>
    </xf>
    <xf numFmtId="0" fontId="11" fillId="0" borderId="4" xfId="31" applyFont="1" applyFill="1" applyBorder="1" applyAlignment="1">
      <alignment horizontal="left" vertical="center" wrapText="1"/>
    </xf>
    <xf numFmtId="173" fontId="7" fillId="0" borderId="2" xfId="1" applyNumberFormat="1" applyFont="1" applyBorder="1" applyAlignment="1">
      <alignment vertical="center"/>
    </xf>
    <xf numFmtId="0" fontId="7" fillId="0" borderId="21" xfId="0" applyFont="1" applyBorder="1"/>
    <xf numFmtId="167" fontId="17" fillId="5" borderId="21" xfId="0" applyNumberFormat="1" applyFont="1" applyFill="1" applyBorder="1" applyAlignment="1">
      <alignment vertical="center"/>
    </xf>
    <xf numFmtId="0" fontId="7" fillId="0" borderId="2" xfId="0" applyFont="1" applyBorder="1"/>
    <xf numFmtId="0" fontId="11" fillId="0" borderId="2" xfId="31" applyFont="1" applyFill="1" applyBorder="1" applyAlignment="1">
      <alignment horizontal="left" vertical="center" wrapText="1"/>
    </xf>
    <xf numFmtId="173" fontId="7" fillId="2" borderId="53" xfId="1" applyNumberFormat="1" applyFont="1" applyFill="1" applyBorder="1" applyAlignment="1">
      <alignment vertical="center" wrapText="1"/>
    </xf>
    <xf numFmtId="173" fontId="7" fillId="2" borderId="3" xfId="1" applyNumberFormat="1" applyFont="1" applyFill="1" applyBorder="1" applyAlignment="1">
      <alignment vertical="center" wrapText="1"/>
    </xf>
    <xf numFmtId="173" fontId="7" fillId="2" borderId="4" xfId="1" applyNumberFormat="1" applyFont="1" applyFill="1" applyBorder="1" applyAlignment="1">
      <alignment vertical="center" wrapText="1"/>
    </xf>
    <xf numFmtId="49" fontId="9" fillId="2" borderId="20" xfId="0" applyNumberFormat="1" applyFont="1" applyFill="1" applyBorder="1" applyAlignment="1">
      <alignment horizontal="center" vertical="center"/>
    </xf>
    <xf numFmtId="49" fontId="9" fillId="2" borderId="27" xfId="0" applyNumberFormat="1" applyFont="1" applyFill="1" applyBorder="1" applyAlignment="1">
      <alignment horizontal="center" vertical="center"/>
    </xf>
    <xf numFmtId="49" fontId="7" fillId="2" borderId="53"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4" fillId="0" borderId="53" xfId="13" applyFont="1" applyBorder="1" applyAlignment="1">
      <alignment horizontal="left" vertical="top" wrapText="1"/>
    </xf>
    <xf numFmtId="0" fontId="4" fillId="0" borderId="4" xfId="13" applyFont="1" applyBorder="1" applyAlignment="1">
      <alignment horizontal="left" vertical="top" wrapText="1"/>
    </xf>
    <xf numFmtId="167" fontId="17" fillId="0" borderId="21" xfId="0" applyNumberFormat="1" applyFont="1" applyBorder="1" applyAlignment="1">
      <alignment horizontal="center" vertical="center"/>
    </xf>
    <xf numFmtId="168" fontId="11" fillId="0" borderId="2" xfId="0" applyNumberFormat="1" applyFont="1" applyBorder="1" applyAlignment="1">
      <alignment horizontal="center" vertical="center"/>
    </xf>
    <xf numFmtId="0" fontId="11" fillId="5" borderId="2" xfId="0" applyFont="1" applyFill="1" applyBorder="1" applyAlignment="1">
      <alignment horizontal="center" vertical="center"/>
    </xf>
    <xf numFmtId="0" fontId="11" fillId="5" borderId="2" xfId="31" applyFont="1" applyFill="1" applyBorder="1" applyAlignment="1">
      <alignment horizontal="left" vertical="top" wrapText="1"/>
    </xf>
    <xf numFmtId="173" fontId="11" fillId="5" borderId="2" xfId="1" applyNumberFormat="1" applyFont="1" applyFill="1" applyBorder="1" applyAlignment="1">
      <alignment vertical="center" wrapText="1"/>
    </xf>
    <xf numFmtId="167" fontId="9" fillId="0" borderId="20" xfId="0" applyNumberFormat="1" applyFont="1" applyBorder="1" applyAlignment="1">
      <alignment horizontal="center" vertical="center"/>
    </xf>
    <xf numFmtId="167" fontId="9" fillId="0" borderId="26" xfId="0" applyNumberFormat="1" applyFont="1" applyBorder="1" applyAlignment="1">
      <alignment horizontal="center" vertical="center"/>
    </xf>
    <xf numFmtId="167" fontId="9" fillId="0" borderId="27" xfId="0" applyNumberFormat="1" applyFont="1" applyBorder="1" applyAlignment="1">
      <alignment horizontal="center" vertical="center"/>
    </xf>
    <xf numFmtId="168" fontId="7" fillId="0" borderId="53" xfId="0" applyNumberFormat="1" applyFont="1" applyBorder="1" applyAlignment="1">
      <alignment horizontal="center" vertical="center"/>
    </xf>
    <xf numFmtId="168" fontId="7" fillId="0" borderId="3" xfId="0" applyNumberFormat="1" applyFont="1" applyBorder="1" applyAlignment="1">
      <alignment horizontal="center" vertical="center"/>
    </xf>
    <xf numFmtId="168" fontId="7" fillId="0" borderId="4" xfId="0" applyNumberFormat="1" applyFont="1" applyBorder="1" applyAlignment="1">
      <alignment horizontal="center" vertical="center"/>
    </xf>
    <xf numFmtId="0" fontId="7" fillId="2" borderId="53"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4" fillId="2" borderId="3" xfId="0" applyFont="1" applyFill="1" applyBorder="1" applyAlignment="1">
      <alignment horizontal="left" vertical="center" wrapText="1"/>
    </xf>
    <xf numFmtId="0" fontId="4" fillId="2" borderId="53" xfId="17" applyFont="1" applyFill="1" applyBorder="1" applyAlignment="1">
      <alignment horizontal="center" vertical="center" wrapText="1"/>
    </xf>
    <xf numFmtId="0" fontId="4" fillId="2" borderId="4" xfId="17" applyFont="1" applyFill="1" applyBorder="1" applyAlignment="1">
      <alignment horizontal="center" vertical="center" wrapText="1"/>
    </xf>
    <xf numFmtId="0" fontId="7" fillId="2" borderId="53"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173" fontId="7" fillId="0" borderId="53" xfId="1" applyNumberFormat="1" applyFont="1" applyBorder="1" applyAlignment="1">
      <alignment vertical="center" wrapText="1"/>
    </xf>
    <xf numFmtId="173" fontId="7" fillId="0" borderId="3" xfId="1" applyNumberFormat="1" applyFont="1" applyBorder="1" applyAlignment="1">
      <alignment vertical="center" wrapText="1"/>
    </xf>
    <xf numFmtId="173" fontId="4" fillId="2" borderId="2" xfId="1" applyNumberFormat="1" applyFont="1" applyFill="1" applyBorder="1" applyAlignment="1">
      <alignment vertical="center" wrapText="1"/>
    </xf>
    <xf numFmtId="3" fontId="7" fillId="2" borderId="6" xfId="0" applyNumberFormat="1" applyFont="1" applyFill="1" applyBorder="1" applyAlignment="1">
      <alignment horizontal="center" vertical="center" wrapText="1"/>
    </xf>
    <xf numFmtId="3" fontId="7" fillId="2" borderId="8" xfId="0" applyNumberFormat="1" applyFont="1" applyFill="1" applyBorder="1" applyAlignment="1">
      <alignment horizontal="center" vertical="center" wrapText="1"/>
    </xf>
    <xf numFmtId="3" fontId="7" fillId="2" borderId="9" xfId="0" applyNumberFormat="1" applyFont="1" applyFill="1" applyBorder="1" applyAlignment="1">
      <alignment horizontal="center" vertical="center" wrapText="1"/>
    </xf>
    <xf numFmtId="0" fontId="7" fillId="2" borderId="53" xfId="0" applyFont="1" applyFill="1" applyBorder="1" applyAlignment="1">
      <alignment vertical="center" wrapText="1"/>
    </xf>
    <xf numFmtId="0" fontId="7" fillId="2" borderId="4" xfId="0" applyFont="1" applyFill="1" applyBorder="1" applyAlignment="1">
      <alignment vertical="center" wrapText="1"/>
    </xf>
    <xf numFmtId="0" fontId="7" fillId="2" borderId="56" xfId="0" applyFont="1" applyFill="1" applyBorder="1" applyAlignment="1">
      <alignment vertical="center" wrapText="1"/>
    </xf>
    <xf numFmtId="0" fontId="7" fillId="2" borderId="16" xfId="0" applyFont="1" applyFill="1" applyBorder="1" applyAlignment="1">
      <alignment vertical="center" wrapText="1"/>
    </xf>
    <xf numFmtId="0" fontId="7" fillId="2" borderId="14" xfId="0" applyFont="1" applyFill="1" applyBorder="1" applyAlignment="1">
      <alignment vertical="center" wrapText="1"/>
    </xf>
    <xf numFmtId="0" fontId="7" fillId="2" borderId="53" xfId="0" applyFont="1" applyFill="1" applyBorder="1" applyAlignment="1">
      <alignment horizontal="center" vertical="center" wrapText="1"/>
    </xf>
    <xf numFmtId="0" fontId="7" fillId="2" borderId="4" xfId="0" applyFont="1" applyFill="1" applyBorder="1" applyAlignment="1">
      <alignment horizontal="center" vertical="center" wrapText="1"/>
    </xf>
    <xf numFmtId="166" fontId="9" fillId="4" borderId="2" xfId="0" applyNumberFormat="1" applyFont="1" applyFill="1" applyBorder="1" applyAlignment="1">
      <alignment vertical="center"/>
    </xf>
    <xf numFmtId="166" fontId="9" fillId="4" borderId="25" xfId="0" applyNumberFormat="1" applyFont="1" applyFill="1" applyBorder="1" applyAlignment="1">
      <alignment vertical="center"/>
    </xf>
    <xf numFmtId="173" fontId="4" fillId="0" borderId="2" xfId="1" applyNumberFormat="1" applyFont="1" applyBorder="1" applyAlignment="1">
      <alignment vertical="center" wrapText="1"/>
    </xf>
    <xf numFmtId="168" fontId="3" fillId="3" borderId="20" xfId="0" applyNumberFormat="1" applyFont="1" applyFill="1" applyBorder="1" applyAlignment="1">
      <alignment horizontal="left" vertical="center" wrapText="1"/>
    </xf>
    <xf numFmtId="49" fontId="9" fillId="2" borderId="53" xfId="0" applyNumberFormat="1" applyFont="1" applyFill="1" applyBorder="1" applyAlignment="1">
      <alignment horizontal="center" vertical="center"/>
    </xf>
    <xf numFmtId="49" fontId="9" fillId="2" borderId="4" xfId="0" applyNumberFormat="1" applyFont="1" applyFill="1" applyBorder="1" applyAlignment="1">
      <alignment horizontal="center" vertical="center"/>
    </xf>
    <xf numFmtId="49" fontId="7" fillId="2" borderId="53" xfId="0" applyNumberFormat="1" applyFont="1" applyFill="1" applyBorder="1" applyAlignment="1">
      <alignment vertical="center"/>
    </xf>
    <xf numFmtId="49" fontId="7" fillId="2" borderId="4" xfId="0" applyNumberFormat="1" applyFont="1" applyFill="1" applyBorder="1" applyAlignment="1">
      <alignment vertical="center"/>
    </xf>
    <xf numFmtId="0" fontId="9" fillId="2" borderId="53" xfId="0" applyFont="1" applyFill="1" applyBorder="1" applyAlignment="1">
      <alignment horizontal="left" vertical="center" wrapText="1"/>
    </xf>
    <xf numFmtId="0" fontId="9" fillId="2" borderId="4" xfId="0" applyFont="1" applyFill="1" applyBorder="1" applyAlignment="1">
      <alignment horizontal="left" vertical="center" wrapText="1"/>
    </xf>
    <xf numFmtId="173" fontId="9" fillId="2" borderId="2" xfId="1" applyNumberFormat="1" applyFont="1" applyFill="1" applyBorder="1" applyAlignment="1">
      <alignment vertical="center" wrapText="1"/>
    </xf>
    <xf numFmtId="0" fontId="7" fillId="0" borderId="56" xfId="0" applyFont="1" applyFill="1" applyBorder="1" applyAlignment="1">
      <alignment horizontal="left" vertical="center" wrapText="1"/>
    </xf>
    <xf numFmtId="0" fontId="7" fillId="0" borderId="14" xfId="0" applyFont="1" applyFill="1" applyBorder="1" applyAlignment="1">
      <alignment horizontal="left" vertical="center" wrapText="1"/>
    </xf>
    <xf numFmtId="173" fontId="7" fillId="0" borderId="53" xfId="1" applyNumberFormat="1" applyFont="1" applyFill="1" applyBorder="1" applyAlignment="1">
      <alignment vertical="center" wrapText="1"/>
    </xf>
    <xf numFmtId="173" fontId="7" fillId="0" borderId="3" xfId="1" applyNumberFormat="1" applyFont="1" applyFill="1" applyBorder="1" applyAlignment="1">
      <alignment vertical="center" wrapText="1"/>
    </xf>
    <xf numFmtId="173" fontId="7" fillId="0" borderId="4" xfId="1" applyNumberFormat="1" applyFont="1" applyFill="1" applyBorder="1" applyAlignment="1">
      <alignment vertical="center" wrapText="1"/>
    </xf>
    <xf numFmtId="0" fontId="7" fillId="0" borderId="2"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168" fontId="3" fillId="3" borderId="23" xfId="0" applyNumberFormat="1" applyFont="1" applyFill="1" applyBorder="1" applyAlignment="1">
      <alignment horizontal="left" vertical="center" wrapText="1"/>
    </xf>
    <xf numFmtId="0" fontId="7" fillId="0" borderId="2" xfId="0" applyFont="1" applyBorder="1" applyAlignment="1">
      <alignment vertical="center" wrapText="1"/>
    </xf>
    <xf numFmtId="168" fontId="3" fillId="3" borderId="42" xfId="0" applyNumberFormat="1" applyFont="1" applyFill="1" applyBorder="1" applyAlignment="1">
      <alignment horizontal="left" vertical="center" wrapText="1"/>
    </xf>
    <xf numFmtId="168" fontId="3" fillId="3" borderId="18" xfId="0" applyNumberFormat="1" applyFont="1" applyFill="1" applyBorder="1" applyAlignment="1">
      <alignment horizontal="left" vertical="center" wrapText="1"/>
    </xf>
    <xf numFmtId="168" fontId="3" fillId="3" borderId="41" xfId="0" applyNumberFormat="1" applyFont="1" applyFill="1" applyBorder="1" applyAlignment="1">
      <alignment horizontal="left" vertical="center" wrapText="1"/>
    </xf>
    <xf numFmtId="173" fontId="9" fillId="0" borderId="2" xfId="1" applyNumberFormat="1" applyFont="1" applyFill="1" applyBorder="1" applyAlignment="1">
      <alignment vertical="center" wrapText="1"/>
    </xf>
    <xf numFmtId="0" fontId="7" fillId="2" borderId="25" xfId="0" applyFont="1" applyFill="1" applyBorder="1" applyAlignment="1">
      <alignment vertical="center"/>
    </xf>
    <xf numFmtId="0" fontId="4" fillId="0" borderId="53" xfId="0" applyFont="1" applyFill="1" applyBorder="1" applyAlignment="1">
      <alignment horizontal="center" vertical="center"/>
    </xf>
    <xf numFmtId="0" fontId="4" fillId="0" borderId="4" xfId="0" applyFont="1" applyFill="1" applyBorder="1" applyAlignment="1">
      <alignment horizontal="center" vertical="center"/>
    </xf>
    <xf numFmtId="0" fontId="4" fillId="2" borderId="53" xfId="0" applyFont="1" applyFill="1" applyBorder="1" applyAlignment="1">
      <alignment vertical="center" wrapText="1"/>
    </xf>
    <xf numFmtId="0" fontId="4" fillId="2" borderId="4" xfId="0" applyFont="1" applyFill="1" applyBorder="1" applyAlignment="1">
      <alignment vertical="center" wrapText="1"/>
    </xf>
    <xf numFmtId="3" fontId="4" fillId="2" borderId="53" xfId="0" applyNumberFormat="1" applyFont="1" applyFill="1" applyBorder="1" applyAlignment="1">
      <alignment horizontal="center" vertical="center"/>
    </xf>
    <xf numFmtId="3" fontId="4" fillId="2" borderId="4" xfId="0" applyNumberFormat="1" applyFont="1" applyFill="1" applyBorder="1" applyAlignment="1">
      <alignment horizontal="center" vertical="center"/>
    </xf>
    <xf numFmtId="173" fontId="11" fillId="0" borderId="2" xfId="1" applyNumberFormat="1" applyFont="1" applyFill="1" applyBorder="1" applyAlignment="1">
      <alignment vertical="center" wrapText="1"/>
    </xf>
    <xf numFmtId="173" fontId="4" fillId="0" borderId="2" xfId="1" applyNumberFormat="1" applyFont="1" applyFill="1" applyBorder="1" applyAlignment="1">
      <alignment vertical="center" wrapText="1"/>
    </xf>
    <xf numFmtId="166" fontId="9" fillId="4" borderId="2" xfId="0" applyNumberFormat="1" applyFont="1" applyFill="1" applyBorder="1"/>
    <xf numFmtId="166" fontId="9" fillId="4" borderId="25" xfId="0" applyNumberFormat="1" applyFont="1" applyFill="1" applyBorder="1"/>
    <xf numFmtId="0" fontId="9" fillId="3" borderId="43" xfId="0" applyFont="1" applyFill="1" applyBorder="1" applyAlignment="1">
      <alignment horizontal="left" vertical="center"/>
    </xf>
    <xf numFmtId="0" fontId="9" fillId="3" borderId="8" xfId="0" applyFont="1" applyFill="1" applyBorder="1" applyAlignment="1">
      <alignment horizontal="left" vertical="center"/>
    </xf>
    <xf numFmtId="0" fontId="9" fillId="3" borderId="54" xfId="0" applyFont="1" applyFill="1" applyBorder="1" applyAlignment="1">
      <alignment horizontal="left" vertical="center"/>
    </xf>
    <xf numFmtId="173" fontId="4" fillId="2" borderId="53" xfId="1" applyNumberFormat="1" applyFont="1" applyFill="1" applyBorder="1" applyAlignment="1">
      <alignment vertical="center" wrapText="1"/>
    </xf>
    <xf numFmtId="173" fontId="4" fillId="2" borderId="3" xfId="1" applyNumberFormat="1" applyFont="1" applyFill="1" applyBorder="1" applyAlignment="1">
      <alignment vertical="center" wrapText="1"/>
    </xf>
    <xf numFmtId="173" fontId="4" fillId="2" borderId="4" xfId="1" applyNumberFormat="1" applyFont="1" applyFill="1" applyBorder="1" applyAlignment="1">
      <alignment vertical="center" wrapText="1"/>
    </xf>
    <xf numFmtId="0" fontId="7" fillId="2" borderId="2" xfId="0" applyFont="1" applyFill="1" applyBorder="1" applyAlignment="1">
      <alignment horizontal="center" vertical="center" wrapText="1"/>
    </xf>
    <xf numFmtId="0" fontId="3" fillId="3" borderId="21" xfId="0" applyFont="1" applyFill="1" applyBorder="1" applyAlignment="1">
      <alignment horizontal="left" vertical="center" wrapText="1"/>
    </xf>
    <xf numFmtId="0" fontId="3" fillId="3" borderId="2" xfId="0" applyFont="1" applyFill="1" applyBorder="1" applyAlignment="1">
      <alignment horizontal="left" vertical="center" wrapText="1"/>
    </xf>
    <xf numFmtId="173" fontId="3" fillId="2" borderId="53" xfId="1" applyNumberFormat="1" applyFont="1" applyFill="1" applyBorder="1" applyAlignment="1">
      <alignment vertical="center" wrapText="1"/>
    </xf>
    <xf numFmtId="173" fontId="3" fillId="2" borderId="3" xfId="1" applyNumberFormat="1" applyFont="1" applyFill="1" applyBorder="1" applyAlignment="1">
      <alignment vertical="center" wrapText="1"/>
    </xf>
    <xf numFmtId="173" fontId="3" fillId="2" borderId="4" xfId="1" applyNumberFormat="1" applyFont="1" applyFill="1" applyBorder="1" applyAlignment="1">
      <alignment vertical="center" wrapText="1"/>
    </xf>
    <xf numFmtId="0" fontId="4" fillId="2" borderId="53" xfId="13" applyFont="1" applyFill="1" applyBorder="1" applyAlignment="1">
      <alignment horizontal="center" vertical="center"/>
    </xf>
    <xf numFmtId="0" fontId="4" fillId="2" borderId="4" xfId="13" applyFont="1" applyFill="1" applyBorder="1" applyAlignment="1">
      <alignment horizontal="center" vertical="center"/>
    </xf>
    <xf numFmtId="0" fontId="11" fillId="2" borderId="53" xfId="0" applyFont="1" applyFill="1" applyBorder="1" applyAlignment="1">
      <alignment horizontal="left" vertical="center" wrapText="1"/>
    </xf>
    <xf numFmtId="0" fontId="11" fillId="2" borderId="4" xfId="0" applyFont="1" applyFill="1" applyBorder="1" applyAlignment="1">
      <alignment horizontal="left" vertical="center" wrapText="1"/>
    </xf>
    <xf numFmtId="164" fontId="3" fillId="3" borderId="2" xfId="0" applyNumberFormat="1" applyFont="1" applyFill="1" applyBorder="1" applyAlignment="1">
      <alignment horizontal="left" vertical="center" wrapText="1"/>
    </xf>
    <xf numFmtId="0" fontId="11" fillId="2" borderId="53"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9" fillId="2" borderId="2" xfId="0" applyFont="1" applyFill="1" applyBorder="1" applyAlignment="1">
      <alignment horizontal="left" vertical="center" wrapText="1"/>
    </xf>
    <xf numFmtId="164" fontId="3" fillId="3" borderId="34" xfId="0" applyNumberFormat="1" applyFont="1" applyFill="1" applyBorder="1" applyAlignment="1">
      <alignment horizontal="left" vertical="center" wrapText="1"/>
    </xf>
    <xf numFmtId="164" fontId="3" fillId="3" borderId="29" xfId="0" applyNumberFormat="1" applyFont="1" applyFill="1" applyBorder="1" applyAlignment="1">
      <alignment horizontal="left" vertical="center" wrapText="1"/>
    </xf>
    <xf numFmtId="0" fontId="7" fillId="2" borderId="53" xfId="13" applyFont="1" applyFill="1" applyBorder="1" applyAlignment="1">
      <alignment vertical="center" wrapText="1"/>
    </xf>
    <xf numFmtId="0" fontId="5" fillId="0" borderId="4" xfId="13" applyFont="1" applyBorder="1" applyAlignment="1">
      <alignment vertical="center" wrapText="1"/>
    </xf>
    <xf numFmtId="173" fontId="9" fillId="2" borderId="3" xfId="1" applyNumberFormat="1" applyFont="1" applyFill="1" applyBorder="1" applyAlignment="1">
      <alignment vertical="center" wrapText="1"/>
    </xf>
    <xf numFmtId="173" fontId="9" fillId="0" borderId="4" xfId="1" applyNumberFormat="1" applyFont="1" applyBorder="1" applyAlignment="1">
      <alignment vertical="center" wrapText="1"/>
    </xf>
    <xf numFmtId="3" fontId="4" fillId="2" borderId="2" xfId="0" applyNumberFormat="1" applyFont="1" applyFill="1" applyBorder="1" applyAlignment="1">
      <alignment horizontal="center" vertical="center" wrapText="1"/>
    </xf>
    <xf numFmtId="173" fontId="7" fillId="2" borderId="53" xfId="1" applyNumberFormat="1" applyFont="1" applyFill="1" applyBorder="1" applyAlignment="1">
      <alignment vertical="center"/>
    </xf>
    <xf numFmtId="173" fontId="7" fillId="2" borderId="3" xfId="1" applyNumberFormat="1" applyFont="1" applyFill="1" applyBorder="1" applyAlignment="1">
      <alignment vertical="center"/>
    </xf>
    <xf numFmtId="173" fontId="7" fillId="2" borderId="4" xfId="1" applyNumberFormat="1" applyFont="1" applyFill="1" applyBorder="1" applyAlignment="1">
      <alignment vertical="center"/>
    </xf>
    <xf numFmtId="166" fontId="3" fillId="4" borderId="33" xfId="0" applyNumberFormat="1" applyFont="1" applyFill="1" applyBorder="1" applyAlignment="1">
      <alignment horizontal="center"/>
    </xf>
    <xf numFmtId="166" fontId="3" fillId="4" borderId="28" xfId="0" applyNumberFormat="1" applyFont="1" applyFill="1" applyBorder="1" applyAlignment="1">
      <alignment horizontal="center"/>
    </xf>
    <xf numFmtId="0" fontId="3" fillId="3" borderId="6" xfId="0" applyFont="1" applyFill="1" applyBorder="1" applyAlignment="1">
      <alignment horizontal="left" vertical="center" wrapText="1"/>
    </xf>
    <xf numFmtId="0" fontId="3" fillId="3" borderId="8" xfId="0" applyFont="1" applyFill="1" applyBorder="1" applyAlignment="1">
      <alignment horizontal="left" vertical="center" wrapText="1"/>
    </xf>
    <xf numFmtId="166" fontId="9" fillId="4" borderId="2" xfId="0" applyNumberFormat="1" applyFont="1" applyFill="1" applyBorder="1" applyAlignment="1">
      <alignment horizontal="left"/>
    </xf>
    <xf numFmtId="166" fontId="3" fillId="4" borderId="2" xfId="0" applyNumberFormat="1" applyFont="1" applyFill="1" applyBorder="1" applyAlignment="1">
      <alignment horizontal="center"/>
    </xf>
    <xf numFmtId="0" fontId="4" fillId="2" borderId="53" xfId="13" applyFont="1" applyFill="1" applyBorder="1" applyAlignment="1">
      <alignment horizontal="center" vertical="center" wrapText="1"/>
    </xf>
    <xf numFmtId="0" fontId="4" fillId="2" borderId="4" xfId="13" applyFont="1" applyFill="1" applyBorder="1" applyAlignment="1">
      <alignment horizontal="center" vertical="center" wrapText="1"/>
    </xf>
    <xf numFmtId="173" fontId="20" fillId="2" borderId="53" xfId="1" applyNumberFormat="1" applyFont="1" applyFill="1" applyBorder="1" applyAlignment="1">
      <alignment vertical="center" wrapText="1"/>
    </xf>
    <xf numFmtId="173" fontId="20" fillId="2" borderId="3" xfId="1" applyNumberFormat="1" applyFont="1" applyFill="1" applyBorder="1" applyAlignment="1">
      <alignment vertical="center" wrapText="1"/>
    </xf>
    <xf numFmtId="173" fontId="20" fillId="2" borderId="4" xfId="1" applyNumberFormat="1" applyFont="1" applyFill="1" applyBorder="1" applyAlignment="1">
      <alignment vertical="center" wrapText="1"/>
    </xf>
    <xf numFmtId="173" fontId="4" fillId="2" borderId="53" xfId="1" applyNumberFormat="1" applyFont="1" applyFill="1" applyBorder="1" applyAlignment="1">
      <alignment vertical="center"/>
    </xf>
    <xf numFmtId="173" fontId="4" fillId="2" borderId="3" xfId="1" applyNumberFormat="1" applyFont="1" applyFill="1" applyBorder="1" applyAlignment="1">
      <alignment vertical="center"/>
    </xf>
    <xf numFmtId="173" fontId="4" fillId="2" borderId="4" xfId="1" applyNumberFormat="1" applyFont="1" applyFill="1" applyBorder="1" applyAlignment="1">
      <alignment vertical="center"/>
    </xf>
    <xf numFmtId="0" fontId="7" fillId="2" borderId="6"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164" fontId="3" fillId="3" borderId="6" xfId="0" applyNumberFormat="1" applyFont="1" applyFill="1" applyBorder="1" applyAlignment="1">
      <alignment horizontal="left" vertical="center" wrapText="1"/>
    </xf>
    <xf numFmtId="164" fontId="3" fillId="3" borderId="8" xfId="0" applyNumberFormat="1" applyFont="1" applyFill="1" applyBorder="1" applyAlignment="1">
      <alignment horizontal="left" vertical="center" wrapText="1"/>
    </xf>
    <xf numFmtId="173" fontId="3" fillId="0" borderId="53" xfId="1" applyNumberFormat="1" applyFont="1" applyFill="1" applyBorder="1" applyAlignment="1">
      <alignment vertical="center" wrapText="1"/>
    </xf>
    <xf numFmtId="173" fontId="3" fillId="0" borderId="3" xfId="1" applyNumberFormat="1" applyFont="1" applyFill="1" applyBorder="1" applyAlignment="1">
      <alignment vertical="center" wrapText="1"/>
    </xf>
    <xf numFmtId="173" fontId="3" fillId="0" borderId="4" xfId="1" applyNumberFormat="1" applyFont="1" applyFill="1" applyBorder="1" applyAlignment="1">
      <alignment vertical="center" wrapText="1"/>
    </xf>
    <xf numFmtId="173" fontId="4" fillId="0" borderId="53" xfId="1" applyNumberFormat="1" applyFont="1" applyFill="1" applyBorder="1" applyAlignment="1">
      <alignment vertical="center" wrapText="1"/>
    </xf>
    <xf numFmtId="173" fontId="4" fillId="0" borderId="3" xfId="1" applyNumberFormat="1" applyFont="1" applyFill="1" applyBorder="1" applyAlignment="1">
      <alignment vertical="center" wrapText="1"/>
    </xf>
    <xf numFmtId="173" fontId="4" fillId="0" borderId="4" xfId="1" applyNumberFormat="1" applyFont="1" applyFill="1" applyBorder="1" applyAlignment="1">
      <alignment vertical="center" wrapText="1"/>
    </xf>
    <xf numFmtId="0" fontId="4" fillId="2" borderId="23" xfId="0" applyFont="1" applyFill="1" applyBorder="1" applyAlignment="1">
      <alignment horizontal="center"/>
    </xf>
    <xf numFmtId="0" fontId="4" fillId="2" borderId="24" xfId="0" applyFont="1" applyFill="1" applyBorder="1" applyAlignment="1">
      <alignment horizontal="center"/>
    </xf>
    <xf numFmtId="0" fontId="4" fillId="0" borderId="53" xfId="0" applyFont="1" applyBorder="1" applyAlignment="1">
      <alignment horizontal="left" vertical="center" wrapText="1"/>
    </xf>
    <xf numFmtId="0" fontId="4" fillId="0" borderId="4" xfId="0" applyFont="1" applyBorder="1" applyAlignment="1">
      <alignment horizontal="left" vertical="center" wrapText="1"/>
    </xf>
    <xf numFmtId="0" fontId="4" fillId="0" borderId="53" xfId="0" applyFont="1" applyBorder="1" applyAlignment="1">
      <alignment horizontal="center" vertical="center" wrapText="1"/>
    </xf>
    <xf numFmtId="0" fontId="4" fillId="0" borderId="4" xfId="0" applyFont="1" applyBorder="1" applyAlignment="1">
      <alignment horizontal="center" vertical="center" wrapText="1"/>
    </xf>
    <xf numFmtId="164" fontId="3" fillId="3" borderId="14" xfId="0" applyNumberFormat="1" applyFont="1" applyFill="1" applyBorder="1" applyAlignment="1">
      <alignment horizontal="left" vertical="center" wrapText="1"/>
    </xf>
    <xf numFmtId="164" fontId="3" fillId="3" borderId="18" xfId="0" applyNumberFormat="1" applyFont="1" applyFill="1" applyBorder="1" applyAlignment="1">
      <alignment horizontal="left" vertical="center" wrapText="1"/>
    </xf>
    <xf numFmtId="0" fontId="9" fillId="2" borderId="3" xfId="0" applyFont="1" applyFill="1" applyBorder="1" applyAlignment="1">
      <alignment horizontal="left" vertical="center" wrapText="1"/>
    </xf>
    <xf numFmtId="0" fontId="4" fillId="2" borderId="5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49" fontId="4" fillId="0" borderId="20" xfId="0" applyNumberFormat="1" applyFont="1" applyBorder="1" applyAlignment="1">
      <alignment horizontal="center" vertical="center" wrapText="1"/>
    </xf>
    <xf numFmtId="49" fontId="4" fillId="0" borderId="27"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49" fontId="9" fillId="0" borderId="21" xfId="0" applyNumberFormat="1" applyFont="1" applyBorder="1" applyAlignment="1">
      <alignment horizontal="center" vertical="center" wrapText="1"/>
    </xf>
    <xf numFmtId="49" fontId="7" fillId="0" borderId="2" xfId="0" applyNumberFormat="1" applyFont="1" applyBorder="1" applyAlignment="1">
      <alignment horizontal="center" vertical="center" wrapText="1"/>
    </xf>
    <xf numFmtId="49" fontId="7" fillId="0" borderId="6" xfId="0" applyNumberFormat="1" applyFont="1" applyBorder="1" applyAlignment="1">
      <alignment horizontal="center" vertical="center" wrapText="1"/>
    </xf>
    <xf numFmtId="173" fontId="9" fillId="0" borderId="53" xfId="1" applyNumberFormat="1" applyFont="1" applyBorder="1" applyAlignment="1">
      <alignment vertical="center" wrapText="1"/>
    </xf>
    <xf numFmtId="173" fontId="3" fillId="0" borderId="53" xfId="1" applyNumberFormat="1" applyFont="1" applyBorder="1" applyAlignment="1">
      <alignment vertical="center" wrapText="1"/>
    </xf>
    <xf numFmtId="173" fontId="3" fillId="0" borderId="4" xfId="1" applyNumberFormat="1" applyFont="1" applyBorder="1" applyAlignment="1">
      <alignment vertical="center" wrapText="1"/>
    </xf>
    <xf numFmtId="49" fontId="9" fillId="0" borderId="53" xfId="6" applyNumberFormat="1" applyFont="1" applyFill="1" applyBorder="1" applyAlignment="1">
      <alignment horizontal="center" vertical="center"/>
    </xf>
    <xf numFmtId="49" fontId="9" fillId="0" borderId="4" xfId="6" applyNumberFormat="1" applyFont="1" applyFill="1" applyBorder="1" applyAlignment="1">
      <alignment horizontal="center" vertical="center"/>
    </xf>
    <xf numFmtId="49" fontId="7" fillId="0" borderId="53" xfId="6" applyNumberFormat="1" applyFont="1" applyFill="1" applyBorder="1" applyAlignment="1">
      <alignment horizontal="center" vertical="center"/>
    </xf>
    <xf numFmtId="49" fontId="7" fillId="0" borderId="4" xfId="6" applyNumberFormat="1" applyFont="1" applyFill="1" applyBorder="1" applyAlignment="1">
      <alignment horizontal="center" vertical="center"/>
    </xf>
    <xf numFmtId="49" fontId="9" fillId="0" borderId="53" xfId="6" applyNumberFormat="1" applyFont="1" applyFill="1" applyBorder="1" applyAlignment="1">
      <alignment vertical="center"/>
    </xf>
    <xf numFmtId="49" fontId="9" fillId="0" borderId="3" xfId="6" applyNumberFormat="1" applyFont="1" applyFill="1" applyBorder="1" applyAlignment="1">
      <alignment vertical="center"/>
    </xf>
    <xf numFmtId="49" fontId="9" fillId="0" borderId="4" xfId="6" applyNumberFormat="1" applyFont="1" applyFill="1" applyBorder="1" applyAlignment="1">
      <alignment vertical="center"/>
    </xf>
    <xf numFmtId="49" fontId="7" fillId="0" borderId="3" xfId="6" applyNumberFormat="1" applyFont="1" applyFill="1" applyBorder="1" applyAlignment="1">
      <alignment horizontal="center" vertical="center"/>
    </xf>
    <xf numFmtId="49" fontId="7" fillId="0" borderId="53" xfId="6" applyNumberFormat="1" applyFont="1" applyFill="1" applyBorder="1" applyAlignment="1">
      <alignment vertical="center"/>
    </xf>
    <xf numFmtId="49" fontId="7" fillId="0" borderId="3" xfId="6" applyNumberFormat="1" applyFont="1" applyFill="1" applyBorder="1" applyAlignment="1">
      <alignment vertical="center"/>
    </xf>
    <xf numFmtId="49" fontId="7" fillId="0" borderId="4" xfId="6" applyNumberFormat="1" applyFont="1" applyFill="1" applyBorder="1" applyAlignment="1">
      <alignment vertical="center"/>
    </xf>
    <xf numFmtId="0" fontId="7" fillId="0" borderId="53" xfId="6" applyFont="1" applyFill="1" applyBorder="1" applyAlignment="1">
      <alignment horizontal="left" vertical="center" wrapText="1"/>
    </xf>
    <xf numFmtId="0" fontId="7" fillId="0" borderId="3" xfId="6" applyFont="1" applyFill="1" applyBorder="1" applyAlignment="1">
      <alignment horizontal="left" vertical="center" wrapText="1"/>
    </xf>
    <xf numFmtId="0" fontId="7" fillId="0" borderId="4" xfId="6" applyFont="1" applyFill="1" applyBorder="1" applyAlignment="1">
      <alignment horizontal="left" vertical="center" wrapText="1"/>
    </xf>
    <xf numFmtId="49" fontId="9" fillId="0" borderId="2" xfId="6" applyNumberFormat="1" applyFont="1" applyFill="1" applyBorder="1" applyAlignment="1">
      <alignment horizontal="center" vertical="center"/>
    </xf>
    <xf numFmtId="49" fontId="7" fillId="0" borderId="2" xfId="6" applyNumberFormat="1" applyFont="1" applyFill="1" applyBorder="1" applyAlignment="1">
      <alignment horizontal="center" vertical="center"/>
    </xf>
    <xf numFmtId="49" fontId="7" fillId="0" borderId="6" xfId="6" applyNumberFormat="1" applyFont="1" applyFill="1" applyBorder="1" applyAlignment="1">
      <alignment horizontal="center" vertical="center"/>
    </xf>
    <xf numFmtId="49" fontId="9" fillId="0" borderId="3" xfId="6" applyNumberFormat="1" applyFont="1" applyFill="1" applyBorder="1" applyAlignment="1">
      <alignment horizontal="center" vertical="center"/>
    </xf>
    <xf numFmtId="167" fontId="7" fillId="0" borderId="20" xfId="0" applyNumberFormat="1" applyFont="1" applyBorder="1" applyAlignment="1">
      <alignment horizontal="center" vertical="center"/>
    </xf>
    <xf numFmtId="167" fontId="7" fillId="0" borderId="27" xfId="0" applyNumberFormat="1" applyFont="1" applyBorder="1" applyAlignment="1">
      <alignment horizontal="center" vertical="center"/>
    </xf>
    <xf numFmtId="0" fontId="7" fillId="2" borderId="2" xfId="0" applyFont="1" applyFill="1" applyBorder="1" applyAlignment="1">
      <alignment horizontal="right" vertical="center"/>
    </xf>
    <xf numFmtId="0" fontId="7" fillId="2" borderId="2" xfId="6" applyFont="1" applyFill="1" applyBorder="1" applyAlignment="1">
      <alignment horizontal="left" vertical="center" wrapText="1"/>
    </xf>
    <xf numFmtId="49" fontId="7" fillId="2" borderId="21" xfId="0" applyNumberFormat="1" applyFont="1" applyFill="1" applyBorder="1" applyAlignment="1">
      <alignment horizontal="center" vertical="center"/>
    </xf>
    <xf numFmtId="49" fontId="7" fillId="2" borderId="2" xfId="0" applyNumberFormat="1" applyFont="1" applyFill="1" applyBorder="1" applyAlignment="1">
      <alignment vertical="center"/>
    </xf>
    <xf numFmtId="167" fontId="9" fillId="0" borderId="53" xfId="6" applyNumberFormat="1" applyFont="1" applyFill="1" applyBorder="1" applyAlignment="1">
      <alignment horizontal="center" vertical="center"/>
    </xf>
    <xf numFmtId="167" fontId="9" fillId="0" borderId="3" xfId="6" applyNumberFormat="1" applyFont="1" applyFill="1" applyBorder="1" applyAlignment="1">
      <alignment horizontal="center" vertical="center"/>
    </xf>
    <xf numFmtId="167" fontId="9" fillId="0" borderId="4" xfId="6" applyNumberFormat="1" applyFont="1" applyFill="1" applyBorder="1" applyAlignment="1">
      <alignment horizontal="center" vertical="center"/>
    </xf>
    <xf numFmtId="168" fontId="7" fillId="0" borderId="53" xfId="6" applyNumberFormat="1" applyFont="1" applyFill="1" applyBorder="1" applyAlignment="1">
      <alignment horizontal="center" vertical="center"/>
    </xf>
    <xf numFmtId="168" fontId="7" fillId="0" borderId="3" xfId="6" applyNumberFormat="1" applyFont="1" applyFill="1" applyBorder="1" applyAlignment="1">
      <alignment horizontal="center" vertical="center"/>
    </xf>
    <xf numFmtId="168" fontId="7" fillId="0" borderId="4" xfId="6" applyNumberFormat="1" applyFont="1" applyFill="1" applyBorder="1" applyAlignment="1">
      <alignment horizontal="center" vertical="center"/>
    </xf>
    <xf numFmtId="0" fontId="7" fillId="0" borderId="53" xfId="6" applyFont="1" applyFill="1" applyBorder="1" applyAlignment="1">
      <alignment horizontal="center" vertical="center"/>
    </xf>
    <xf numFmtId="0" fontId="7" fillId="0" borderId="3" xfId="6" applyFont="1" applyFill="1" applyBorder="1" applyAlignment="1">
      <alignment horizontal="center" vertical="center"/>
    </xf>
    <xf numFmtId="0" fontId="7" fillId="0" borderId="4" xfId="6" applyFont="1" applyFill="1" applyBorder="1" applyAlignment="1">
      <alignment horizontal="center" vertical="center"/>
    </xf>
    <xf numFmtId="49" fontId="3" fillId="2" borderId="53" xfId="0" applyNumberFormat="1" applyFont="1" applyFill="1" applyBorder="1" applyAlignment="1">
      <alignment horizontal="center" vertical="top"/>
    </xf>
    <xf numFmtId="49" fontId="3" fillId="2" borderId="3" xfId="0" applyNumberFormat="1" applyFont="1" applyFill="1" applyBorder="1" applyAlignment="1">
      <alignment horizontal="center" vertical="top"/>
    </xf>
    <xf numFmtId="49" fontId="4" fillId="2" borderId="2" xfId="0" applyNumberFormat="1" applyFont="1" applyFill="1" applyBorder="1" applyAlignment="1">
      <alignment horizontal="center" vertical="top"/>
    </xf>
    <xf numFmtId="0" fontId="4" fillId="2" borderId="2" xfId="0" applyFont="1" applyFill="1" applyBorder="1" applyAlignment="1">
      <alignment horizontal="left" vertical="top" wrapText="1"/>
    </xf>
    <xf numFmtId="0" fontId="4" fillId="0" borderId="3" xfId="0" applyFont="1" applyFill="1" applyBorder="1" applyAlignment="1">
      <alignment horizontal="center" vertical="center"/>
    </xf>
    <xf numFmtId="49" fontId="4" fillId="0" borderId="53"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53"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left" vertical="center" wrapText="1"/>
    </xf>
    <xf numFmtId="49" fontId="3" fillId="0" borderId="53" xfId="0" applyNumberFormat="1" applyFont="1" applyFill="1" applyBorder="1" applyAlignment="1">
      <alignment horizontal="center" vertical="center"/>
    </xf>
    <xf numFmtId="49" fontId="3" fillId="0" borderId="4" xfId="0" applyNumberFormat="1" applyFont="1" applyFill="1" applyBorder="1" applyAlignment="1">
      <alignment horizontal="center" vertical="center"/>
    </xf>
    <xf numFmtId="49" fontId="4" fillId="0" borderId="6" xfId="0" applyNumberFormat="1" applyFont="1" applyFill="1" applyBorder="1" applyAlignment="1">
      <alignment horizontal="center" vertical="top"/>
    </xf>
    <xf numFmtId="173" fontId="3" fillId="0" borderId="2" xfId="1" applyNumberFormat="1" applyFont="1" applyFill="1" applyBorder="1" applyAlignment="1">
      <alignment vertical="center" wrapText="1"/>
    </xf>
    <xf numFmtId="0" fontId="4" fillId="0" borderId="4" xfId="0" applyFont="1" applyFill="1" applyBorder="1" applyAlignment="1">
      <alignment vertical="top" wrapText="1"/>
    </xf>
    <xf numFmtId="0" fontId="4" fillId="0" borderId="53" xfId="0" applyFont="1" applyFill="1" applyBorder="1" applyAlignment="1">
      <alignment horizontal="center" vertical="center" wrapText="1"/>
    </xf>
    <xf numFmtId="0" fontId="4" fillId="0" borderId="4" xfId="0" applyFont="1" applyFill="1" applyBorder="1" applyAlignment="1">
      <alignment horizontal="center" vertical="center" wrapText="1"/>
    </xf>
    <xf numFmtId="167" fontId="3" fillId="0" borderId="53" xfId="0" applyNumberFormat="1" applyFont="1" applyFill="1" applyBorder="1" applyAlignment="1">
      <alignment horizontal="center" vertical="center"/>
    </xf>
    <xf numFmtId="0" fontId="3" fillId="0" borderId="6" xfId="0" applyFont="1" applyFill="1" applyBorder="1" applyAlignment="1">
      <alignment horizontal="center" vertical="top"/>
    </xf>
    <xf numFmtId="0" fontId="4" fillId="0" borderId="6" xfId="0" applyFont="1" applyFill="1" applyBorder="1" applyAlignment="1">
      <alignment horizontal="center" vertical="top"/>
    </xf>
    <xf numFmtId="0" fontId="3" fillId="0" borderId="53" xfId="0" applyFont="1" applyFill="1" applyBorder="1" applyAlignment="1">
      <alignment vertical="top" wrapText="1"/>
    </xf>
    <xf numFmtId="0" fontId="3" fillId="0" borderId="4" xfId="0" applyFont="1" applyFill="1" applyBorder="1" applyAlignment="1">
      <alignment vertical="top" wrapText="1"/>
    </xf>
    <xf numFmtId="0" fontId="3" fillId="0" borderId="5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7" fillId="2" borderId="2" xfId="0" applyFont="1" applyFill="1" applyBorder="1" applyAlignment="1">
      <alignment vertical="center"/>
    </xf>
    <xf numFmtId="49" fontId="9" fillId="2" borderId="2" xfId="0" applyNumberFormat="1" applyFont="1" applyFill="1" applyBorder="1" applyAlignment="1">
      <alignment horizontal="center" vertical="center"/>
    </xf>
    <xf numFmtId="167" fontId="7" fillId="0" borderId="2" xfId="0" applyNumberFormat="1" applyFont="1" applyBorder="1" applyAlignment="1">
      <alignment horizontal="center" vertical="center"/>
    </xf>
    <xf numFmtId="0" fontId="9" fillId="3" borderId="21" xfId="0" applyFont="1" applyFill="1" applyBorder="1" applyAlignment="1">
      <alignment horizontal="left"/>
    </xf>
    <xf numFmtId="0" fontId="9" fillId="3" borderId="2" xfId="0" applyFont="1" applyFill="1" applyBorder="1" applyAlignment="1">
      <alignment horizontal="left"/>
    </xf>
    <xf numFmtId="0" fontId="9" fillId="3" borderId="25" xfId="0" applyFont="1" applyFill="1" applyBorder="1" applyAlignment="1">
      <alignment horizontal="left"/>
    </xf>
    <xf numFmtId="49" fontId="7" fillId="2" borderId="2" xfId="0" applyNumberFormat="1" applyFont="1" applyFill="1" applyBorder="1" applyAlignment="1">
      <alignment horizontal="center" vertical="center" wrapText="1"/>
    </xf>
    <xf numFmtId="49" fontId="9" fillId="2" borderId="2" xfId="0" applyNumberFormat="1" applyFont="1" applyFill="1" applyBorder="1" applyAlignment="1">
      <alignment horizontal="center" vertical="center" wrapText="1"/>
    </xf>
    <xf numFmtId="49" fontId="7" fillId="2" borderId="2" xfId="0" applyNumberFormat="1" applyFont="1" applyFill="1" applyBorder="1" applyAlignment="1">
      <alignment horizontal="left" vertical="top" wrapText="1"/>
    </xf>
    <xf numFmtId="173" fontId="3" fillId="2" borderId="2" xfId="1" applyNumberFormat="1" applyFont="1" applyFill="1" applyBorder="1" applyAlignment="1">
      <alignment vertical="center" wrapText="1"/>
    </xf>
    <xf numFmtId="0" fontId="4" fillId="2" borderId="2" xfId="0" applyFont="1" applyFill="1" applyBorder="1" applyAlignment="1">
      <alignment horizontal="center" wrapText="1"/>
    </xf>
    <xf numFmtId="0" fontId="9" fillId="2" borderId="2" xfId="0" applyNumberFormat="1" applyFont="1" applyFill="1" applyBorder="1" applyAlignment="1">
      <alignment horizontal="center" vertical="center"/>
    </xf>
    <xf numFmtId="168" fontId="7" fillId="2" borderId="2" xfId="0" applyNumberFormat="1" applyFont="1" applyFill="1" applyBorder="1" applyAlignment="1">
      <alignment horizontal="center" vertical="center"/>
    </xf>
    <xf numFmtId="0" fontId="4" fillId="2" borderId="2" xfId="24" applyFont="1" applyFill="1" applyBorder="1" applyAlignment="1">
      <alignment vertical="center" wrapText="1"/>
    </xf>
    <xf numFmtId="0" fontId="11" fillId="2" borderId="21" xfId="24" applyFont="1" applyFill="1" applyBorder="1" applyAlignment="1">
      <alignment horizontal="center"/>
    </xf>
    <xf numFmtId="49" fontId="11" fillId="2" borderId="53" xfId="24" applyNumberFormat="1" applyFont="1" applyFill="1" applyBorder="1" applyAlignment="1">
      <alignment horizontal="center" vertical="center"/>
    </xf>
    <xf numFmtId="49" fontId="11" fillId="2" borderId="4" xfId="24" applyNumberFormat="1" applyFont="1" applyFill="1" applyBorder="1" applyAlignment="1">
      <alignment horizontal="center" vertical="center"/>
    </xf>
    <xf numFmtId="0" fontId="11" fillId="2" borderId="2" xfId="24" applyFont="1" applyFill="1" applyBorder="1" applyAlignment="1">
      <alignment horizontal="center"/>
    </xf>
    <xf numFmtId="0" fontId="11" fillId="0" borderId="21" xfId="24" applyFont="1" applyFill="1" applyBorder="1" applyAlignment="1">
      <alignment horizontal="center"/>
    </xf>
    <xf numFmtId="49" fontId="11" fillId="0" borderId="53" xfId="24" applyNumberFormat="1" applyFont="1" applyFill="1" applyBorder="1" applyAlignment="1">
      <alignment horizontal="center" vertical="center"/>
    </xf>
    <xf numFmtId="49" fontId="11" fillId="0" borderId="3" xfId="24" applyNumberFormat="1" applyFont="1" applyFill="1" applyBorder="1" applyAlignment="1">
      <alignment horizontal="center" vertical="center"/>
    </xf>
    <xf numFmtId="49" fontId="11" fillId="0" borderId="4" xfId="24" applyNumberFormat="1" applyFont="1" applyFill="1" applyBorder="1" applyAlignment="1">
      <alignment horizontal="center" vertical="center"/>
    </xf>
    <xf numFmtId="0" fontId="11" fillId="0" borderId="2" xfId="24" applyFont="1" applyFill="1" applyBorder="1" applyAlignment="1">
      <alignment horizontal="center"/>
    </xf>
    <xf numFmtId="0" fontId="4" fillId="2" borderId="53" xfId="24" applyFont="1" applyFill="1" applyBorder="1" applyAlignment="1">
      <alignment vertical="center" wrapText="1"/>
    </xf>
    <xf numFmtId="0" fontId="4" fillId="2" borderId="3" xfId="24" applyFont="1" applyFill="1" applyBorder="1" applyAlignment="1">
      <alignment vertical="center" wrapText="1"/>
    </xf>
    <xf numFmtId="0" fontId="9" fillId="4" borderId="21" xfId="0" applyFont="1" applyFill="1" applyBorder="1" applyAlignment="1">
      <alignment vertical="center"/>
    </xf>
    <xf numFmtId="0" fontId="9" fillId="4" borderId="2" xfId="0" applyFont="1" applyFill="1" applyBorder="1" applyAlignment="1">
      <alignment vertical="center"/>
    </xf>
    <xf numFmtId="167" fontId="11" fillId="2" borderId="21" xfId="24" applyNumberFormat="1" applyFont="1" applyFill="1" applyBorder="1" applyAlignment="1">
      <alignment horizontal="center" vertical="center"/>
    </xf>
    <xf numFmtId="168" fontId="11" fillId="2" borderId="2" xfId="24" applyNumberFormat="1" applyFont="1" applyFill="1" applyBorder="1" applyAlignment="1">
      <alignment horizontal="center" vertical="center"/>
    </xf>
    <xf numFmtId="0" fontId="11" fillId="2" borderId="53" xfId="6" applyFont="1" applyFill="1" applyBorder="1" applyAlignment="1">
      <alignment horizontal="left" vertical="center" wrapText="1"/>
    </xf>
    <xf numFmtId="0" fontId="11" fillId="2" borderId="4" xfId="6" applyFont="1" applyFill="1" applyBorder="1" applyAlignment="1">
      <alignment horizontal="left" vertical="center" wrapText="1"/>
    </xf>
    <xf numFmtId="173" fontId="11" fillId="2" borderId="2" xfId="1" applyNumberFormat="1" applyFont="1" applyFill="1" applyBorder="1" applyAlignment="1">
      <alignment vertical="center" wrapText="1"/>
    </xf>
    <xf numFmtId="0" fontId="11" fillId="2" borderId="21" xfId="24" applyFont="1" applyFill="1" applyBorder="1" applyAlignment="1">
      <alignment horizontal="center" vertical="center" wrapText="1"/>
    </xf>
    <xf numFmtId="0" fontId="11" fillId="2" borderId="2" xfId="24" applyFont="1" applyFill="1" applyBorder="1" applyAlignment="1">
      <alignment horizontal="center" vertical="center"/>
    </xf>
    <xf numFmtId="0" fontId="11" fillId="2" borderId="3" xfId="6" applyFont="1" applyFill="1" applyBorder="1" applyAlignment="1">
      <alignment horizontal="left" vertical="center" wrapText="1"/>
    </xf>
    <xf numFmtId="168" fontId="4" fillId="2" borderId="20" xfId="0" applyNumberFormat="1" applyFont="1" applyFill="1" applyBorder="1" applyAlignment="1">
      <alignment horizontal="center" vertical="center" wrapText="1"/>
    </xf>
    <xf numFmtId="168" fontId="4" fillId="2" borderId="26" xfId="0" applyNumberFormat="1" applyFont="1" applyFill="1" applyBorder="1" applyAlignment="1">
      <alignment horizontal="center" vertical="center" wrapText="1"/>
    </xf>
    <xf numFmtId="168" fontId="4" fillId="2" borderId="27" xfId="0" applyNumberFormat="1" applyFont="1" applyFill="1" applyBorder="1" applyAlignment="1">
      <alignment horizontal="center" vertical="center" wrapText="1"/>
    </xf>
    <xf numFmtId="49" fontId="4" fillId="2" borderId="53"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0" fontId="4" fillId="2" borderId="2" xfId="0" applyFont="1" applyFill="1" applyBorder="1" applyAlignment="1">
      <alignment horizontal="left" vertical="center" wrapText="1"/>
    </xf>
    <xf numFmtId="49" fontId="4" fillId="2" borderId="21" xfId="0" applyNumberFormat="1"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0" fontId="9" fillId="2" borderId="57" xfId="0" applyNumberFormat="1" applyFont="1" applyFill="1" applyBorder="1" applyAlignment="1">
      <alignment horizontal="center" vertical="center"/>
    </xf>
    <xf numFmtId="0" fontId="14" fillId="0" borderId="10" xfId="0" applyFont="1" applyBorder="1" applyAlignment="1">
      <alignment horizontal="center" vertical="center"/>
    </xf>
    <xf numFmtId="0" fontId="14" fillId="0" borderId="4" xfId="0" applyFont="1" applyBorder="1" applyAlignment="1">
      <alignment horizontal="center" vertical="center"/>
    </xf>
    <xf numFmtId="0" fontId="7" fillId="0" borderId="53" xfId="0" applyFont="1" applyBorder="1" applyAlignment="1">
      <alignment vertical="center" wrapText="1"/>
    </xf>
    <xf numFmtId="0" fontId="7" fillId="0" borderId="4" xfId="0" applyFont="1" applyBorder="1" applyAlignment="1">
      <alignment vertical="center" wrapText="1"/>
    </xf>
    <xf numFmtId="0" fontId="3" fillId="4" borderId="21" xfId="14" applyFont="1" applyFill="1" applyBorder="1" applyAlignment="1">
      <alignment vertical="center"/>
    </xf>
    <xf numFmtId="0" fontId="3" fillId="4" borderId="2" xfId="14" applyFont="1" applyFill="1" applyBorder="1" applyAlignment="1">
      <alignment vertical="center"/>
    </xf>
    <xf numFmtId="49" fontId="9" fillId="2" borderId="57" xfId="0" applyNumberFormat="1" applyFont="1" applyFill="1" applyBorder="1" applyAlignment="1">
      <alignment horizontal="center" vertical="center"/>
    </xf>
    <xf numFmtId="0" fontId="9" fillId="0" borderId="10" xfId="0" applyFont="1" applyBorder="1" applyAlignment="1">
      <alignment horizontal="center" vertical="center"/>
    </xf>
    <xf numFmtId="49" fontId="52" fillId="6" borderId="53" xfId="0" applyNumberFormat="1" applyFont="1" applyFill="1" applyBorder="1" applyAlignment="1">
      <alignment horizontal="center" vertical="top" wrapText="1"/>
    </xf>
    <xf numFmtId="49" fontId="52" fillId="6" borderId="4" xfId="0" applyNumberFormat="1" applyFont="1" applyFill="1" applyBorder="1" applyAlignment="1">
      <alignment horizontal="center" vertical="top" wrapText="1"/>
    </xf>
    <xf numFmtId="0" fontId="52" fillId="6" borderId="56" xfId="0" applyFont="1" applyFill="1" applyBorder="1" applyAlignment="1">
      <alignment horizontal="center" vertical="top" wrapText="1"/>
    </xf>
    <xf numFmtId="0" fontId="52" fillId="6" borderId="14" xfId="0" applyFont="1" applyFill="1" applyBorder="1" applyAlignment="1">
      <alignment horizontal="center" vertical="top" wrapText="1"/>
    </xf>
    <xf numFmtId="173" fontId="54" fillId="6" borderId="2" xfId="1" applyNumberFormat="1" applyFont="1" applyFill="1" applyBorder="1" applyAlignment="1">
      <alignment vertical="center" wrapText="1"/>
    </xf>
    <xf numFmtId="0" fontId="9" fillId="3" borderId="39" xfId="0" applyFont="1" applyFill="1" applyBorder="1" applyAlignment="1">
      <alignment horizontal="left"/>
    </xf>
    <xf numFmtId="0" fontId="9" fillId="3" borderId="40" xfId="0" applyFont="1" applyFill="1" applyBorder="1" applyAlignment="1">
      <alignment horizontal="left"/>
    </xf>
    <xf numFmtId="0" fontId="9" fillId="3" borderId="37" xfId="0" applyFont="1" applyFill="1" applyBorder="1" applyAlignment="1">
      <alignment horizontal="left"/>
    </xf>
    <xf numFmtId="0" fontId="14" fillId="0" borderId="3" xfId="0" applyFont="1" applyBorder="1" applyAlignment="1">
      <alignment horizontal="center" vertical="center"/>
    </xf>
    <xf numFmtId="0" fontId="14" fillId="0" borderId="3" xfId="0" applyFont="1" applyBorder="1" applyAlignment="1">
      <alignment vertical="center" wrapText="1"/>
    </xf>
    <xf numFmtId="0" fontId="14" fillId="0" borderId="4" xfId="0" applyFont="1" applyBorder="1" applyAlignment="1">
      <alignment vertical="center" wrapText="1"/>
    </xf>
    <xf numFmtId="0" fontId="14" fillId="0" borderId="53" xfId="0" applyFont="1" applyBorder="1" applyAlignment="1">
      <alignment vertical="center" wrapText="1"/>
    </xf>
    <xf numFmtId="173" fontId="9" fillId="2" borderId="53" xfId="1" applyNumberFormat="1" applyFont="1" applyFill="1" applyBorder="1" applyAlignment="1">
      <alignment vertical="center" wrapText="1"/>
    </xf>
    <xf numFmtId="0" fontId="4" fillId="0" borderId="2" xfId="0" applyFont="1" applyFill="1" applyBorder="1" applyAlignment="1">
      <alignment horizontal="center" vertical="center" wrapText="1"/>
    </xf>
    <xf numFmtId="0" fontId="3" fillId="4" borderId="38" xfId="0" applyFont="1" applyFill="1" applyBorder="1" applyAlignment="1">
      <alignment horizontal="left" vertical="center"/>
    </xf>
    <xf numFmtId="0" fontId="9" fillId="0" borderId="36" xfId="0" applyFont="1" applyBorder="1" applyAlignment="1">
      <alignment horizontal="left" vertical="center"/>
    </xf>
    <xf numFmtId="0" fontId="9" fillId="0" borderId="31" xfId="0" applyFont="1" applyBorder="1" applyAlignment="1">
      <alignment horizontal="left" vertical="center"/>
    </xf>
    <xf numFmtId="167" fontId="7" fillId="0" borderId="53" xfId="0" applyNumberFormat="1" applyFont="1" applyFill="1" applyBorder="1" applyAlignment="1">
      <alignment horizontal="center" vertical="center"/>
    </xf>
    <xf numFmtId="167" fontId="7" fillId="0" borderId="3" xfId="0" applyNumberFormat="1" applyFont="1" applyFill="1" applyBorder="1" applyAlignment="1">
      <alignment horizontal="center" vertical="center"/>
    </xf>
    <xf numFmtId="168" fontId="7" fillId="0" borderId="53" xfId="0" applyNumberFormat="1" applyFont="1" applyFill="1" applyBorder="1" applyAlignment="1">
      <alignment horizontal="center" vertical="center"/>
    </xf>
    <xf numFmtId="168" fontId="7" fillId="0" borderId="3" xfId="0" applyNumberFormat="1" applyFont="1" applyFill="1" applyBorder="1" applyAlignment="1">
      <alignment horizontal="center" vertical="center"/>
    </xf>
    <xf numFmtId="49" fontId="7" fillId="0" borderId="53"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0" fontId="7" fillId="2" borderId="53" xfId="13" applyFont="1" applyFill="1" applyBorder="1" applyAlignment="1">
      <alignment horizontal="left" vertical="center" wrapText="1"/>
    </xf>
    <xf numFmtId="0" fontId="7" fillId="2" borderId="3" xfId="13" applyFont="1" applyFill="1" applyBorder="1" applyAlignment="1">
      <alignment horizontal="left" vertical="center" wrapText="1"/>
    </xf>
    <xf numFmtId="49" fontId="7" fillId="2" borderId="3" xfId="0" applyNumberFormat="1" applyFont="1" applyFill="1" applyBorder="1" applyAlignment="1">
      <alignment vertical="center"/>
    </xf>
    <xf numFmtId="49" fontId="7" fillId="2" borderId="3" xfId="0" applyNumberFormat="1" applyFont="1" applyFill="1" applyBorder="1" applyAlignment="1">
      <alignment horizontal="center" vertical="center"/>
    </xf>
    <xf numFmtId="0" fontId="11" fillId="2" borderId="2" xfId="0" applyFont="1" applyFill="1" applyBorder="1" applyAlignment="1">
      <alignment horizontal="left" vertical="center" wrapText="1"/>
    </xf>
    <xf numFmtId="0" fontId="3" fillId="4" borderId="2" xfId="0" applyFont="1" applyFill="1" applyBorder="1" applyAlignment="1">
      <alignment horizontal="left" vertical="center"/>
    </xf>
    <xf numFmtId="0" fontId="9" fillId="0" borderId="2" xfId="0" applyFont="1" applyBorder="1" applyAlignment="1">
      <alignment horizontal="left" vertical="center"/>
    </xf>
    <xf numFmtId="49" fontId="3" fillId="0" borderId="2" xfId="0" applyNumberFormat="1" applyFont="1" applyFill="1" applyBorder="1" applyAlignment="1">
      <alignment horizontal="center" vertical="center"/>
    </xf>
    <xf numFmtId="49" fontId="3" fillId="0" borderId="2" xfId="0" applyNumberFormat="1" applyFont="1" applyFill="1" applyBorder="1" applyAlignment="1">
      <alignment vertical="center"/>
    </xf>
    <xf numFmtId="0" fontId="9" fillId="2" borderId="2" xfId="0" applyFont="1" applyFill="1" applyBorder="1" applyAlignment="1">
      <alignment vertical="center" wrapText="1"/>
    </xf>
    <xf numFmtId="0" fontId="3" fillId="4" borderId="60" xfId="0" applyFont="1" applyFill="1" applyBorder="1" applyAlignment="1">
      <alignment horizontal="left" vertical="center"/>
    </xf>
    <xf numFmtId="0" fontId="9" fillId="0" borderId="0" xfId="0" applyFont="1" applyBorder="1" applyAlignment="1">
      <alignment horizontal="left" vertical="center"/>
    </xf>
    <xf numFmtId="0" fontId="9" fillId="0" borderId="17" xfId="0" applyFont="1" applyBorder="1" applyAlignment="1">
      <alignment horizontal="left" vertical="center"/>
    </xf>
    <xf numFmtId="0" fontId="7" fillId="2" borderId="2" xfId="0" applyFont="1" applyFill="1" applyBorder="1" applyAlignment="1">
      <alignment vertical="center" wrapText="1"/>
    </xf>
    <xf numFmtId="167" fontId="4" fillId="2" borderId="53" xfId="13" applyNumberFormat="1" applyFont="1" applyFill="1" applyBorder="1" applyAlignment="1">
      <alignment horizontal="center" vertical="center"/>
    </xf>
    <xf numFmtId="167" fontId="4" fillId="2" borderId="3" xfId="13" applyNumberFormat="1" applyFont="1" applyFill="1" applyBorder="1" applyAlignment="1">
      <alignment horizontal="center" vertical="center"/>
    </xf>
    <xf numFmtId="167" fontId="4" fillId="2" borderId="4" xfId="13" applyNumberFormat="1" applyFont="1" applyFill="1" applyBorder="1" applyAlignment="1">
      <alignment horizontal="center" vertical="center"/>
    </xf>
    <xf numFmtId="49" fontId="4" fillId="2" borderId="53" xfId="13" applyNumberFormat="1" applyFont="1" applyFill="1" applyBorder="1" applyAlignment="1">
      <alignment horizontal="center" vertical="center"/>
    </xf>
    <xf numFmtId="49" fontId="4" fillId="2" borderId="3" xfId="13" applyNumberFormat="1" applyFont="1" applyFill="1" applyBorder="1" applyAlignment="1">
      <alignment horizontal="center" vertical="center"/>
    </xf>
    <xf numFmtId="49" fontId="4" fillId="2" borderId="4" xfId="13" applyNumberFormat="1" applyFont="1" applyFill="1" applyBorder="1" applyAlignment="1">
      <alignment horizontal="center" vertical="center"/>
    </xf>
    <xf numFmtId="49" fontId="4" fillId="2" borderId="53" xfId="13" applyNumberFormat="1" applyFont="1" applyFill="1" applyBorder="1" applyAlignment="1">
      <alignment horizontal="center" vertical="center" wrapText="1"/>
    </xf>
    <xf numFmtId="49" fontId="4" fillId="2" borderId="4" xfId="13" applyNumberFormat="1" applyFont="1" applyFill="1" applyBorder="1" applyAlignment="1">
      <alignment horizontal="center" vertical="center" wrapText="1"/>
    </xf>
    <xf numFmtId="168" fontId="4" fillId="2" borderId="53" xfId="13" applyNumberFormat="1" applyFont="1" applyFill="1" applyBorder="1" applyAlignment="1">
      <alignment horizontal="center" vertical="center"/>
    </xf>
    <xf numFmtId="168" fontId="4" fillId="2" borderId="4" xfId="13" applyNumberFormat="1" applyFont="1" applyFill="1" applyBorder="1" applyAlignment="1">
      <alignment horizontal="center" vertical="center"/>
    </xf>
    <xf numFmtId="49" fontId="4" fillId="2" borderId="5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2" borderId="5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49" fontId="4" fillId="2" borderId="4" xfId="0" applyNumberFormat="1" applyFont="1" applyFill="1" applyBorder="1" applyAlignment="1">
      <alignment horizontal="left" vertical="center"/>
    </xf>
    <xf numFmtId="167" fontId="9" fillId="0" borderId="53" xfId="0" applyNumberFormat="1" applyFont="1" applyBorder="1" applyAlignment="1">
      <alignment horizontal="center" vertical="center"/>
    </xf>
    <xf numFmtId="167" fontId="9" fillId="0" borderId="3" xfId="0" applyNumberFormat="1" applyFont="1" applyBorder="1" applyAlignment="1">
      <alignment horizontal="center" vertical="center"/>
    </xf>
    <xf numFmtId="167" fontId="9" fillId="0" borderId="32" xfId="0" applyNumberFormat="1" applyFont="1" applyBorder="1" applyAlignment="1">
      <alignment horizontal="center" vertical="center"/>
    </xf>
    <xf numFmtId="168" fontId="7" fillId="0" borderId="32" xfId="0" applyNumberFormat="1" applyFont="1" applyBorder="1" applyAlignment="1">
      <alignment horizontal="center" vertical="center"/>
    </xf>
    <xf numFmtId="0" fontId="7" fillId="2" borderId="32" xfId="0" applyFont="1" applyFill="1" applyBorder="1" applyAlignment="1">
      <alignment horizontal="center" vertical="center"/>
    </xf>
    <xf numFmtId="0" fontId="4" fillId="2" borderId="2" xfId="6" applyFont="1" applyFill="1" applyBorder="1" applyAlignment="1">
      <alignment horizontal="left" vertical="center" wrapText="1"/>
    </xf>
    <xf numFmtId="49" fontId="4" fillId="2" borderId="20" xfId="0" applyNumberFormat="1" applyFont="1" applyFill="1" applyBorder="1" applyAlignment="1">
      <alignment horizontal="center" vertical="center"/>
    </xf>
    <xf numFmtId="49" fontId="4" fillId="2" borderId="26" xfId="0" applyNumberFormat="1" applyFont="1" applyFill="1" applyBorder="1" applyAlignment="1">
      <alignment horizontal="center" vertical="center"/>
    </xf>
    <xf numFmtId="49" fontId="4" fillId="2" borderId="27" xfId="0" applyNumberFormat="1" applyFont="1" applyFill="1" applyBorder="1" applyAlignment="1">
      <alignment horizontal="center" vertical="center"/>
    </xf>
    <xf numFmtId="49" fontId="4" fillId="2" borderId="20" xfId="0" applyNumberFormat="1" applyFont="1" applyFill="1" applyBorder="1" applyAlignment="1">
      <alignment horizontal="left" vertical="center"/>
    </xf>
    <xf numFmtId="49" fontId="4" fillId="2" borderId="26" xfId="0" applyNumberFormat="1" applyFont="1" applyFill="1" applyBorder="1" applyAlignment="1">
      <alignment horizontal="left" vertical="center"/>
    </xf>
    <xf numFmtId="49" fontId="4" fillId="2" borderId="27" xfId="0" applyNumberFormat="1" applyFont="1" applyFill="1" applyBorder="1" applyAlignment="1">
      <alignment horizontal="left" vertical="center"/>
    </xf>
    <xf numFmtId="49" fontId="4" fillId="2" borderId="2" xfId="0" applyNumberFormat="1" applyFont="1" applyFill="1" applyBorder="1" applyAlignment="1">
      <alignment horizontal="center" vertical="center"/>
    </xf>
    <xf numFmtId="3" fontId="4" fillId="2" borderId="53" xfId="0" applyNumberFormat="1"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49" fontId="3" fillId="2" borderId="53" xfId="0" applyNumberFormat="1" applyFont="1" applyFill="1" applyBorder="1" applyAlignment="1">
      <alignment horizontal="center" vertical="center"/>
    </xf>
    <xf numFmtId="49" fontId="3" fillId="2" borderId="4" xfId="0" applyNumberFormat="1" applyFont="1" applyFill="1" applyBorder="1" applyAlignment="1">
      <alignment horizontal="center" vertical="center"/>
    </xf>
    <xf numFmtId="173" fontId="9" fillId="2" borderId="4" xfId="1" applyNumberFormat="1" applyFont="1" applyFill="1" applyBorder="1" applyAlignment="1">
      <alignment vertical="center" wrapText="1"/>
    </xf>
    <xf numFmtId="0" fontId="4" fillId="2" borderId="53" xfId="0" applyFont="1" applyFill="1" applyBorder="1" applyAlignment="1">
      <alignment horizontal="center"/>
    </xf>
    <xf numFmtId="0" fontId="4" fillId="2" borderId="4" xfId="0" applyFont="1" applyFill="1" applyBorder="1" applyAlignment="1">
      <alignment horizontal="center"/>
    </xf>
    <xf numFmtId="164" fontId="3" fillId="4" borderId="2" xfId="0" applyNumberFormat="1" applyFont="1" applyFill="1" applyBorder="1" applyAlignment="1">
      <alignment vertical="center"/>
    </xf>
    <xf numFmtId="167" fontId="4" fillId="0" borderId="20" xfId="0" applyNumberFormat="1" applyFont="1" applyBorder="1" applyAlignment="1">
      <alignment horizontal="center" vertical="center"/>
    </xf>
    <xf numFmtId="167" fontId="4" fillId="0" borderId="26" xfId="0" applyNumberFormat="1" applyFont="1" applyBorder="1" applyAlignment="1">
      <alignment horizontal="center" vertical="center"/>
    </xf>
    <xf numFmtId="167" fontId="4" fillId="0" borderId="27" xfId="0" applyNumberFormat="1" applyFont="1" applyBorder="1" applyAlignment="1">
      <alignment horizontal="center" vertical="center"/>
    </xf>
    <xf numFmtId="167" fontId="4" fillId="0" borderId="53" xfId="0" applyNumberFormat="1" applyFont="1" applyBorder="1" applyAlignment="1">
      <alignment horizontal="center" vertical="center"/>
    </xf>
    <xf numFmtId="167" fontId="4" fillId="0" borderId="3" xfId="0" applyNumberFormat="1" applyFont="1" applyBorder="1" applyAlignment="1">
      <alignment horizontal="center" vertical="center"/>
    </xf>
    <xf numFmtId="167" fontId="4" fillId="0" borderId="4" xfId="0" applyNumberFormat="1" applyFont="1" applyBorder="1" applyAlignment="1">
      <alignment horizontal="center" vertical="center"/>
    </xf>
    <xf numFmtId="168" fontId="4" fillId="0" borderId="53" xfId="0" applyNumberFormat="1" applyFont="1" applyBorder="1" applyAlignment="1">
      <alignment horizontal="center" vertical="center"/>
    </xf>
    <xf numFmtId="168" fontId="4" fillId="0" borderId="3"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2" borderId="53" xfId="0" applyNumberFormat="1" applyFont="1" applyFill="1" applyBorder="1" applyAlignment="1">
      <alignment horizontal="center" vertical="center"/>
    </xf>
    <xf numFmtId="168" fontId="4" fillId="2" borderId="3" xfId="0" applyNumberFormat="1" applyFont="1" applyFill="1" applyBorder="1" applyAlignment="1">
      <alignment horizontal="center" vertical="center"/>
    </xf>
    <xf numFmtId="168" fontId="4" fillId="2" borderId="4" xfId="0" applyNumberFormat="1" applyFont="1" applyFill="1" applyBorder="1" applyAlignment="1">
      <alignment horizontal="center" vertical="center"/>
    </xf>
    <xf numFmtId="49" fontId="3" fillId="0" borderId="3" xfId="0" applyNumberFormat="1" applyFont="1" applyFill="1" applyBorder="1" applyAlignment="1">
      <alignment horizontal="center" vertical="center"/>
    </xf>
    <xf numFmtId="0" fontId="4" fillId="0" borderId="53"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9" fillId="0" borderId="5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49" fontId="7" fillId="2" borderId="5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7" fillId="2" borderId="4" xfId="0" applyNumberFormat="1" applyFont="1" applyFill="1" applyBorder="1" applyAlignment="1">
      <alignment horizontal="left" vertical="center"/>
    </xf>
    <xf numFmtId="49" fontId="9" fillId="2" borderId="3" xfId="0" applyNumberFormat="1" applyFont="1" applyFill="1" applyBorder="1" applyAlignment="1">
      <alignment horizontal="center" vertical="center"/>
    </xf>
    <xf numFmtId="0" fontId="4" fillId="0" borderId="2" xfId="0" applyFont="1" applyBorder="1" applyAlignment="1">
      <alignment horizontal="center" vertical="center" wrapText="1"/>
    </xf>
    <xf numFmtId="49" fontId="4" fillId="0" borderId="53"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173" fontId="4" fillId="0" borderId="53" xfId="1" applyNumberFormat="1" applyFont="1" applyBorder="1" applyAlignment="1">
      <alignment vertical="center" wrapText="1"/>
    </xf>
    <xf numFmtId="173" fontId="4" fillId="0" borderId="4" xfId="1" applyNumberFormat="1" applyFont="1" applyBorder="1" applyAlignment="1">
      <alignment vertical="center" wrapText="1"/>
    </xf>
    <xf numFmtId="173" fontId="14" fillId="0" borderId="4" xfId="1" applyNumberFormat="1" applyFont="1" applyBorder="1" applyAlignment="1">
      <alignment vertical="center" wrapText="1"/>
    </xf>
    <xf numFmtId="173" fontId="4" fillId="0" borderId="53" xfId="1" applyNumberFormat="1" applyFont="1" applyFill="1" applyBorder="1" applyAlignment="1">
      <alignment vertical="center"/>
    </xf>
    <xf numFmtId="173" fontId="14" fillId="0" borderId="4" xfId="1" applyNumberFormat="1" applyFont="1" applyBorder="1" applyAlignment="1">
      <alignment vertical="center"/>
    </xf>
    <xf numFmtId="173" fontId="14" fillId="0" borderId="3" xfId="1" applyNumberFormat="1" applyFont="1" applyBorder="1" applyAlignment="1">
      <alignment vertical="center"/>
    </xf>
    <xf numFmtId="173" fontId="14" fillId="0" borderId="3" xfId="1" applyNumberFormat="1" applyFont="1" applyBorder="1" applyAlignment="1">
      <alignment vertical="center" wrapText="1"/>
    </xf>
    <xf numFmtId="168" fontId="4" fillId="0" borderId="2" xfId="0" applyNumberFormat="1" applyFont="1" applyFill="1" applyBorder="1" applyAlignment="1">
      <alignment horizontal="center" vertical="center"/>
    </xf>
    <xf numFmtId="49" fontId="4" fillId="2" borderId="2" xfId="0" applyNumberFormat="1" applyFont="1" applyFill="1" applyBorder="1" applyAlignment="1">
      <alignment horizontal="left" vertical="center" wrapText="1"/>
    </xf>
    <xf numFmtId="49" fontId="4" fillId="0" borderId="2" xfId="0" applyNumberFormat="1" applyFont="1" applyFill="1" applyBorder="1" applyAlignment="1">
      <alignment horizontal="left" vertical="center" wrapText="1"/>
    </xf>
    <xf numFmtId="0" fontId="4" fillId="0" borderId="2" xfId="0" applyFont="1" applyFill="1" applyBorder="1" applyAlignment="1">
      <alignment horizontal="left" vertical="center" wrapText="1"/>
    </xf>
    <xf numFmtId="49" fontId="7" fillId="2" borderId="2" xfId="0" applyNumberFormat="1" applyFont="1" applyFill="1" applyBorder="1" applyAlignment="1">
      <alignment horizontal="left" vertical="center" wrapText="1"/>
    </xf>
    <xf numFmtId="49" fontId="4" fillId="0" borderId="2" xfId="0" applyNumberFormat="1" applyFont="1" applyFill="1" applyBorder="1" applyAlignment="1">
      <alignment horizontal="left" vertical="top" wrapText="1"/>
    </xf>
    <xf numFmtId="0" fontId="4" fillId="0" borderId="2" xfId="0" applyFont="1" applyFill="1" applyBorder="1" applyAlignment="1">
      <alignment horizontal="left" vertical="top" wrapText="1"/>
    </xf>
    <xf numFmtId="173" fontId="7" fillId="0" borderId="1" xfId="1" applyNumberFormat="1" applyFont="1" applyFill="1" applyBorder="1" applyAlignment="1">
      <alignment vertical="top" wrapText="1"/>
    </xf>
    <xf numFmtId="173" fontId="7" fillId="0" borderId="4" xfId="1" applyNumberFormat="1" applyFont="1" applyFill="1" applyBorder="1" applyAlignment="1">
      <alignment vertical="top" wrapText="1"/>
    </xf>
    <xf numFmtId="164" fontId="3" fillId="4" borderId="6" xfId="0" applyNumberFormat="1" applyFont="1" applyFill="1" applyBorder="1" applyAlignment="1">
      <alignment horizontal="left" vertical="center" wrapText="1"/>
    </xf>
    <xf numFmtId="164" fontId="3" fillId="4" borderId="8" xfId="0" applyNumberFormat="1" applyFont="1" applyFill="1" applyBorder="1" applyAlignment="1">
      <alignment horizontal="left" vertical="center" wrapText="1"/>
    </xf>
    <xf numFmtId="173" fontId="4" fillId="0" borderId="3" xfId="1" applyNumberFormat="1" applyFont="1" applyFill="1" applyBorder="1" applyAlignment="1">
      <alignment vertical="center"/>
    </xf>
    <xf numFmtId="173" fontId="4" fillId="0" borderId="4" xfId="1" applyNumberFormat="1" applyFont="1" applyFill="1" applyBorder="1" applyAlignment="1">
      <alignment vertical="center"/>
    </xf>
    <xf numFmtId="0" fontId="3" fillId="0" borderId="0" xfId="0" applyFont="1" applyBorder="1" applyAlignment="1">
      <alignment horizontal="right" vertical="center" wrapText="1"/>
    </xf>
    <xf numFmtId="164" fontId="3" fillId="0" borderId="0" xfId="0" applyNumberFormat="1" applyFont="1" applyFill="1" applyAlignment="1">
      <alignment horizontal="left" wrapText="1"/>
    </xf>
    <xf numFmtId="164" fontId="3" fillId="0" borderId="1" xfId="0" applyNumberFormat="1" applyFont="1" applyBorder="1" applyAlignment="1">
      <alignment horizontal="center" vertical="center" wrapText="1"/>
    </xf>
    <xf numFmtId="164" fontId="3" fillId="0" borderId="3"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165" fontId="3" fillId="0" borderId="1" xfId="0" applyNumberFormat="1" applyFont="1" applyFill="1" applyBorder="1" applyAlignment="1">
      <alignment horizontal="center" vertical="center" wrapText="1"/>
    </xf>
    <xf numFmtId="165" fontId="3" fillId="0" borderId="3" xfId="0" applyNumberFormat="1" applyFont="1" applyFill="1" applyBorder="1" applyAlignment="1">
      <alignment horizontal="center" vertical="center" wrapText="1"/>
    </xf>
    <xf numFmtId="165" fontId="3" fillId="0" borderId="4" xfId="0" applyNumberFormat="1"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164" fontId="3" fillId="0" borderId="4" xfId="0" applyNumberFormat="1" applyFont="1" applyFill="1" applyBorder="1" applyAlignment="1">
      <alignment horizontal="center" vertical="center" wrapText="1"/>
    </xf>
    <xf numFmtId="0" fontId="3" fillId="2" borderId="2" xfId="1" applyNumberFormat="1" applyFont="1" applyFill="1" applyBorder="1" applyAlignment="1">
      <alignment horizontal="center" vertical="center" wrapText="1"/>
    </xf>
    <xf numFmtId="0" fontId="9" fillId="2" borderId="2" xfId="0" applyFont="1" applyFill="1" applyBorder="1" applyAlignment="1">
      <alignment horizontal="center" vertical="center" wrapText="1"/>
    </xf>
    <xf numFmtId="173" fontId="7" fillId="2" borderId="1" xfId="1" applyNumberFormat="1" applyFont="1" applyFill="1" applyBorder="1" applyAlignment="1">
      <alignment vertical="center" wrapText="1"/>
    </xf>
    <xf numFmtId="167" fontId="4" fillId="0" borderId="1" xfId="4" applyNumberFormat="1" applyFont="1" applyFill="1" applyBorder="1" applyAlignment="1">
      <alignment horizontal="center" vertical="center"/>
    </xf>
    <xf numFmtId="167" fontId="4" fillId="0" borderId="4" xfId="4" applyNumberFormat="1" applyFont="1" applyFill="1" applyBorder="1" applyAlignment="1">
      <alignment horizontal="center" vertical="center"/>
    </xf>
    <xf numFmtId="168" fontId="4" fillId="0" borderId="1" xfId="4" applyNumberFormat="1" applyFont="1" applyFill="1" applyBorder="1" applyAlignment="1">
      <alignment horizontal="center" vertical="center"/>
    </xf>
    <xf numFmtId="168" fontId="4" fillId="0" borderId="4" xfId="4" applyNumberFormat="1" applyFont="1" applyFill="1" applyBorder="1" applyAlignment="1">
      <alignment horizontal="center" vertical="center"/>
    </xf>
    <xf numFmtId="49" fontId="4" fillId="0" borderId="1" xfId="4" applyNumberFormat="1" applyFont="1" applyFill="1" applyBorder="1" applyAlignment="1">
      <alignment horizontal="center" vertical="center"/>
    </xf>
    <xf numFmtId="49" fontId="4" fillId="0" borderId="4" xfId="4" applyNumberFormat="1" applyFont="1" applyFill="1" applyBorder="1" applyAlignment="1">
      <alignment horizontal="center" vertical="center"/>
    </xf>
    <xf numFmtId="0" fontId="4" fillId="0" borderId="1" xfId="4" applyFont="1" applyFill="1" applyBorder="1" applyAlignment="1">
      <alignment horizontal="left" vertical="center" wrapText="1"/>
    </xf>
    <xf numFmtId="0" fontId="4" fillId="0" borderId="4" xfId="4" applyFont="1" applyFill="1" applyBorder="1" applyAlignment="1">
      <alignment horizontal="left" vertical="center" wrapText="1"/>
    </xf>
    <xf numFmtId="0" fontId="4" fillId="2" borderId="2" xfId="1" applyNumberFormat="1" applyFont="1" applyFill="1" applyBorder="1" applyAlignment="1">
      <alignment horizontal="center" vertical="center" wrapText="1"/>
    </xf>
    <xf numFmtId="0" fontId="4" fillId="0" borderId="1" xfId="4" applyFont="1" applyFill="1" applyBorder="1" applyAlignment="1">
      <alignment horizontal="center" vertical="center"/>
    </xf>
    <xf numFmtId="0" fontId="4" fillId="0" borderId="4" xfId="4" applyFont="1" applyFill="1" applyBorder="1" applyAlignment="1">
      <alignment horizontal="center" vertical="center"/>
    </xf>
    <xf numFmtId="0" fontId="3" fillId="4" borderId="2" xfId="0" applyFont="1" applyFill="1" applyBorder="1" applyAlignment="1">
      <alignment vertical="center"/>
    </xf>
    <xf numFmtId="166" fontId="7" fillId="4" borderId="2" xfId="0" applyNumberFormat="1" applyFont="1" applyFill="1" applyBorder="1"/>
    <xf numFmtId="164" fontId="3" fillId="3" borderId="4" xfId="0" applyNumberFormat="1" applyFont="1" applyFill="1" applyBorder="1" applyAlignment="1">
      <alignment horizontal="left" vertical="center" wrapText="1"/>
    </xf>
    <xf numFmtId="164" fontId="3" fillId="4" borderId="6" xfId="0" applyNumberFormat="1" applyFont="1" applyFill="1" applyBorder="1" applyAlignment="1">
      <alignment horizontal="left"/>
    </xf>
    <xf numFmtId="164" fontId="3" fillId="4" borderId="8" xfId="0" applyNumberFormat="1" applyFont="1" applyFill="1" applyBorder="1" applyAlignment="1">
      <alignment horizontal="left"/>
    </xf>
    <xf numFmtId="164" fontId="3" fillId="4" borderId="9" xfId="0" applyNumberFormat="1" applyFont="1" applyFill="1" applyBorder="1" applyAlignment="1">
      <alignment horizontal="left"/>
    </xf>
    <xf numFmtId="168" fontId="4" fillId="0" borderId="3" xfId="4" applyNumberFormat="1" applyFont="1" applyFill="1" applyBorder="1" applyAlignment="1">
      <alignment horizontal="center" vertical="center"/>
    </xf>
    <xf numFmtId="49" fontId="4" fillId="0" borderId="3" xfId="4" applyNumberFormat="1" applyFont="1" applyFill="1" applyBorder="1" applyAlignment="1">
      <alignment horizontal="center" vertical="center"/>
    </xf>
    <xf numFmtId="0" fontId="4" fillId="0" borderId="3" xfId="4" applyFont="1" applyFill="1" applyBorder="1" applyAlignment="1">
      <alignment horizontal="left" vertical="center" wrapText="1"/>
    </xf>
    <xf numFmtId="0" fontId="4" fillId="0" borderId="1" xfId="0" applyFont="1" applyFill="1" applyBorder="1" applyAlignment="1">
      <alignment horizontal="center" vertical="center"/>
    </xf>
    <xf numFmtId="0" fontId="7" fillId="0" borderId="1" xfId="0" applyFont="1" applyFill="1" applyBorder="1" applyAlignment="1">
      <alignment horizontal="left" vertical="center" wrapText="1"/>
    </xf>
    <xf numFmtId="0" fontId="7" fillId="0" borderId="3" xfId="0" applyFont="1" applyFill="1" applyBorder="1" applyAlignment="1">
      <alignment horizontal="left" vertical="center" wrapText="1"/>
    </xf>
    <xf numFmtId="49" fontId="4" fillId="0" borderId="2" xfId="0" applyNumberFormat="1" applyFont="1" applyFill="1" applyBorder="1" applyAlignment="1">
      <alignment horizontal="center" vertical="center"/>
    </xf>
    <xf numFmtId="0" fontId="7" fillId="0" borderId="2" xfId="6" applyFont="1" applyFill="1" applyBorder="1" applyAlignment="1">
      <alignment horizontal="left" vertical="center" wrapText="1"/>
    </xf>
    <xf numFmtId="173" fontId="9" fillId="0" borderId="53" xfId="1" applyNumberFormat="1" applyFont="1" applyFill="1" applyBorder="1" applyAlignment="1">
      <alignment vertical="center" wrapText="1"/>
    </xf>
    <xf numFmtId="173" fontId="9" fillId="0" borderId="4" xfId="1" applyNumberFormat="1" applyFont="1" applyFill="1" applyBorder="1" applyAlignment="1">
      <alignment vertical="center" wrapText="1"/>
    </xf>
    <xf numFmtId="0" fontId="4" fillId="0" borderId="1" xfId="6" applyFont="1" applyFill="1" applyBorder="1" applyAlignment="1">
      <alignment horizontal="center" vertical="center" wrapText="1"/>
    </xf>
    <xf numFmtId="0" fontId="4" fillId="0" borderId="4" xfId="6" applyFont="1" applyFill="1" applyBorder="1" applyAlignment="1">
      <alignment horizontal="center" vertical="center" wrapText="1"/>
    </xf>
    <xf numFmtId="164" fontId="3" fillId="4" borderId="2" xfId="0" applyNumberFormat="1" applyFont="1" applyFill="1" applyBorder="1" applyAlignment="1"/>
    <xf numFmtId="164" fontId="3" fillId="3" borderId="11" xfId="0" applyNumberFormat="1" applyFont="1" applyFill="1" applyBorder="1" applyAlignment="1">
      <alignment horizontal="left" vertical="center"/>
    </xf>
    <xf numFmtId="164" fontId="3" fillId="3" borderId="12" xfId="0" applyNumberFormat="1" applyFont="1" applyFill="1" applyBorder="1" applyAlignment="1">
      <alignment horizontal="left" vertical="center"/>
    </xf>
    <xf numFmtId="164" fontId="3" fillId="3" borderId="11" xfId="0" applyNumberFormat="1" applyFont="1" applyFill="1" applyBorder="1" applyAlignment="1">
      <alignment horizontal="left"/>
    </xf>
    <xf numFmtId="164" fontId="3" fillId="3" borderId="12" xfId="0" applyNumberFormat="1" applyFont="1" applyFill="1" applyBorder="1" applyAlignment="1">
      <alignment horizontal="left"/>
    </xf>
    <xf numFmtId="164" fontId="3" fillId="4" borderId="5" xfId="0" applyNumberFormat="1" applyFont="1" applyFill="1" applyBorder="1" applyAlignment="1">
      <alignment horizontal="left"/>
    </xf>
    <xf numFmtId="164" fontId="3" fillId="4" borderId="11" xfId="0" applyNumberFormat="1" applyFont="1" applyFill="1" applyBorder="1" applyAlignment="1">
      <alignment horizontal="left"/>
    </xf>
    <xf numFmtId="164" fontId="3" fillId="4" borderId="12" xfId="0" applyNumberFormat="1" applyFont="1" applyFill="1" applyBorder="1" applyAlignment="1">
      <alignment horizontal="left"/>
    </xf>
    <xf numFmtId="164" fontId="3" fillId="3" borderId="9" xfId="0" applyNumberFormat="1" applyFont="1" applyFill="1" applyBorder="1" applyAlignment="1">
      <alignment horizontal="left" vertical="center" wrapText="1"/>
    </xf>
    <xf numFmtId="167" fontId="4" fillId="0" borderId="2" xfId="0" applyNumberFormat="1" applyFont="1" applyFill="1" applyBorder="1" applyAlignment="1">
      <alignment horizontal="center" vertical="center"/>
    </xf>
    <xf numFmtId="168" fontId="4" fillId="0" borderId="2" xfId="0" applyNumberFormat="1" applyFont="1" applyFill="1" applyBorder="1" applyAlignment="1">
      <alignment vertical="center"/>
    </xf>
    <xf numFmtId="0" fontId="9" fillId="0" borderId="2" xfId="0" applyFont="1" applyFill="1" applyBorder="1" applyAlignment="1">
      <alignment horizontal="left" vertical="center" wrapText="1"/>
    </xf>
    <xf numFmtId="164" fontId="3" fillId="3" borderId="8" xfId="0" applyNumberFormat="1" applyFont="1" applyFill="1" applyBorder="1" applyAlignment="1">
      <alignment horizontal="left" wrapText="1"/>
    </xf>
    <xf numFmtId="0" fontId="4" fillId="0" borderId="1" xfId="0" applyFont="1" applyFill="1" applyBorder="1" applyAlignment="1">
      <alignment horizontal="center"/>
    </xf>
    <xf numFmtId="0" fontId="4" fillId="0" borderId="4" xfId="0" applyFont="1" applyFill="1" applyBorder="1" applyAlignment="1">
      <alignment horizontal="center"/>
    </xf>
    <xf numFmtId="164" fontId="3" fillId="3" borderId="6" xfId="0" applyNumberFormat="1" applyFont="1" applyFill="1" applyBorder="1" applyAlignment="1">
      <alignment horizontal="left"/>
    </xf>
    <xf numFmtId="164" fontId="3" fillId="3" borderId="8" xfId="0" applyNumberFormat="1" applyFont="1" applyFill="1" applyBorder="1" applyAlignment="1">
      <alignment horizontal="left"/>
    </xf>
    <xf numFmtId="164" fontId="3" fillId="3" borderId="9" xfId="0" applyNumberFormat="1" applyFont="1" applyFill="1" applyBorder="1" applyAlignment="1">
      <alignment horizontal="left"/>
    </xf>
    <xf numFmtId="164" fontId="3" fillId="4" borderId="4" xfId="0" applyNumberFormat="1" applyFont="1" applyFill="1" applyBorder="1" applyAlignment="1"/>
    <xf numFmtId="0" fontId="7" fillId="0" borderId="2" xfId="0" applyFont="1" applyFill="1" applyBorder="1" applyAlignment="1">
      <alignment vertical="center" wrapText="1"/>
    </xf>
    <xf numFmtId="49" fontId="7" fillId="2" borderId="1" xfId="0" applyNumberFormat="1" applyFont="1" applyFill="1" applyBorder="1" applyAlignment="1">
      <alignment horizontal="center" vertical="center"/>
    </xf>
    <xf numFmtId="0" fontId="4" fillId="0" borderId="2" xfId="0" applyFont="1" applyBorder="1" applyAlignment="1">
      <alignment horizontal="left" vertical="center" wrapText="1"/>
    </xf>
    <xf numFmtId="164" fontId="3" fillId="4" borderId="9" xfId="0" applyNumberFormat="1" applyFont="1" applyFill="1" applyBorder="1" applyAlignment="1">
      <alignment horizontal="left" vertical="center" wrapText="1"/>
    </xf>
    <xf numFmtId="164" fontId="3" fillId="3" borderId="2" xfId="0" applyNumberFormat="1" applyFont="1" applyFill="1" applyBorder="1" applyAlignment="1">
      <alignment horizontal="left"/>
    </xf>
    <xf numFmtId="164" fontId="3" fillId="3" borderId="4" xfId="0" applyNumberFormat="1" applyFont="1" applyFill="1" applyBorder="1" applyAlignment="1">
      <alignment horizontal="left"/>
    </xf>
    <xf numFmtId="49" fontId="3"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173" fontId="4" fillId="2" borderId="1" xfId="1" applyNumberFormat="1" applyFont="1" applyFill="1" applyBorder="1" applyAlignment="1">
      <alignment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left" vertical="center" wrapText="1"/>
    </xf>
    <xf numFmtId="0" fontId="7" fillId="0" borderId="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49" fontId="7" fillId="0" borderId="2" xfId="0" applyNumberFormat="1" applyFont="1" applyBorder="1" applyAlignment="1">
      <alignment horizontal="left" vertical="center" wrapText="1"/>
    </xf>
    <xf numFmtId="164" fontId="3" fillId="4" borderId="6" xfId="0" applyNumberFormat="1" applyFont="1" applyFill="1" applyBorder="1" applyAlignment="1"/>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167" fontId="9" fillId="0" borderId="53" xfId="13" applyNumberFormat="1" applyFont="1" applyBorder="1" applyAlignment="1">
      <alignment horizontal="center" vertical="center"/>
    </xf>
    <xf numFmtId="167" fontId="9" fillId="0" borderId="4" xfId="13" applyNumberFormat="1" applyFont="1" applyBorder="1" applyAlignment="1">
      <alignment horizontal="center" vertical="center"/>
    </xf>
    <xf numFmtId="168" fontId="7" fillId="0" borderId="53" xfId="13" applyNumberFormat="1" applyFont="1" applyBorder="1" applyAlignment="1">
      <alignment horizontal="center" vertical="center"/>
    </xf>
    <xf numFmtId="168" fontId="7" fillId="0" borderId="4" xfId="13" applyNumberFormat="1" applyFont="1" applyBorder="1" applyAlignment="1">
      <alignment horizontal="center" vertical="center"/>
    </xf>
    <xf numFmtId="0" fontId="7" fillId="2" borderId="53" xfId="13" applyFont="1" applyFill="1" applyBorder="1" applyAlignment="1">
      <alignment horizontal="center" vertical="center"/>
    </xf>
    <xf numFmtId="0" fontId="7" fillId="2" borderId="4" xfId="13" applyFont="1" applyFill="1" applyBorder="1" applyAlignment="1">
      <alignment horizontal="center" vertical="center"/>
    </xf>
    <xf numFmtId="167" fontId="9" fillId="0" borderId="3" xfId="13" applyNumberFormat="1" applyFont="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vertical="center" wrapText="1"/>
    </xf>
    <xf numFmtId="164" fontId="3" fillId="4" borderId="13" xfId="0" applyNumberFormat="1" applyFont="1" applyFill="1" applyBorder="1" applyAlignment="1">
      <alignment horizontal="center"/>
    </xf>
    <xf numFmtId="164" fontId="3" fillId="4" borderId="15" xfId="0" applyNumberFormat="1" applyFont="1" applyFill="1" applyBorder="1" applyAlignment="1">
      <alignment horizontal="center"/>
    </xf>
    <xf numFmtId="164" fontId="3" fillId="3" borderId="2" xfId="0" applyNumberFormat="1" applyFont="1" applyFill="1" applyBorder="1" applyAlignment="1">
      <alignment horizontal="left" vertical="center"/>
    </xf>
    <xf numFmtId="167" fontId="9" fillId="0" borderId="2" xfId="0" applyNumberFormat="1" applyFont="1" applyBorder="1" applyAlignment="1">
      <alignment horizontal="center" vertical="center"/>
    </xf>
    <xf numFmtId="173" fontId="4" fillId="0" borderId="1" xfId="1" applyNumberFormat="1" applyFont="1" applyFill="1" applyBorder="1" applyAlignment="1">
      <alignment vertical="center" wrapText="1"/>
    </xf>
    <xf numFmtId="164" fontId="3" fillId="4" borderId="2" xfId="0" applyNumberFormat="1" applyFont="1" applyFill="1" applyBorder="1" applyAlignment="1">
      <alignment horizontal="center"/>
    </xf>
    <xf numFmtId="167" fontId="9" fillId="0" borderId="2" xfId="0" applyNumberFormat="1" applyFont="1" applyFill="1" applyBorder="1" applyAlignment="1">
      <alignment horizontal="center" vertical="center"/>
    </xf>
    <xf numFmtId="164" fontId="3" fillId="4" borderId="6" xfId="0" applyNumberFormat="1" applyFont="1" applyFill="1" applyBorder="1" applyAlignment="1">
      <alignment horizontal="left" vertical="center"/>
    </xf>
    <xf numFmtId="164" fontId="3" fillId="4" borderId="8" xfId="0" applyNumberFormat="1" applyFont="1" applyFill="1" applyBorder="1" applyAlignment="1">
      <alignment horizontal="left" vertical="center"/>
    </xf>
    <xf numFmtId="164" fontId="3" fillId="4" borderId="9" xfId="0" applyNumberFormat="1" applyFont="1" applyFill="1" applyBorder="1" applyAlignment="1">
      <alignment horizontal="left" vertical="center"/>
    </xf>
    <xf numFmtId="167" fontId="7" fillId="2" borderId="1" xfId="0" applyNumberFormat="1" applyFont="1" applyFill="1" applyBorder="1" applyAlignment="1">
      <alignment horizontal="center" vertical="center"/>
    </xf>
    <xf numFmtId="167" fontId="7" fillId="2" borderId="4" xfId="0" applyNumberFormat="1" applyFont="1" applyFill="1" applyBorder="1" applyAlignment="1">
      <alignment horizontal="center" vertical="center"/>
    </xf>
    <xf numFmtId="164" fontId="3" fillId="3" borderId="16" xfId="0" applyNumberFormat="1" applyFont="1" applyFill="1" applyBorder="1" applyAlignment="1">
      <alignment horizontal="left"/>
    </xf>
    <xf numFmtId="164" fontId="3" fillId="3" borderId="0" xfId="0" applyNumberFormat="1" applyFont="1" applyFill="1" applyBorder="1" applyAlignment="1">
      <alignment horizontal="left"/>
    </xf>
    <xf numFmtId="164" fontId="3" fillId="3" borderId="17" xfId="0" applyNumberFormat="1" applyFont="1" applyFill="1" applyBorder="1" applyAlignment="1">
      <alignment horizontal="left"/>
    </xf>
    <xf numFmtId="164" fontId="3" fillId="4" borderId="5" xfId="0" applyNumberFormat="1" applyFont="1" applyFill="1" applyBorder="1" applyAlignment="1">
      <alignment horizontal="left" vertical="center"/>
    </xf>
    <xf numFmtId="164" fontId="3" fillId="4" borderId="11" xfId="0" applyNumberFormat="1" applyFont="1" applyFill="1" applyBorder="1" applyAlignment="1">
      <alignment horizontal="left" vertical="center"/>
    </xf>
    <xf numFmtId="164" fontId="3" fillId="4" borderId="12" xfId="0" applyNumberFormat="1" applyFont="1" applyFill="1" applyBorder="1" applyAlignment="1">
      <alignment horizontal="left" vertical="center"/>
    </xf>
    <xf numFmtId="164" fontId="3" fillId="4" borderId="1" xfId="0" applyNumberFormat="1" applyFont="1" applyFill="1" applyBorder="1" applyAlignment="1">
      <alignment horizontal="center"/>
    </xf>
    <xf numFmtId="173" fontId="4" fillId="0" borderId="1" xfId="1" applyNumberFormat="1" applyFont="1" applyFill="1" applyBorder="1" applyAlignment="1">
      <alignment vertical="top" wrapText="1"/>
    </xf>
    <xf numFmtId="173" fontId="4" fillId="0" borderId="3" xfId="1" applyNumberFormat="1" applyFont="1" applyFill="1" applyBorder="1" applyAlignment="1">
      <alignment vertical="top" wrapText="1"/>
    </xf>
    <xf numFmtId="173" fontId="4" fillId="0" borderId="4" xfId="1" applyNumberFormat="1" applyFont="1" applyFill="1" applyBorder="1" applyAlignment="1">
      <alignment vertical="top" wrapText="1"/>
    </xf>
    <xf numFmtId="167" fontId="9" fillId="2" borderId="1" xfId="0" applyNumberFormat="1" applyFont="1" applyFill="1" applyBorder="1" applyAlignment="1">
      <alignment horizontal="center" vertical="center"/>
    </xf>
    <xf numFmtId="167" fontId="9" fillId="2" borderId="4" xfId="0" applyNumberFormat="1" applyFont="1" applyFill="1" applyBorder="1" applyAlignment="1">
      <alignment horizontal="center" vertical="center"/>
    </xf>
    <xf numFmtId="168" fontId="11" fillId="2" borderId="1" xfId="0" applyNumberFormat="1" applyFont="1" applyFill="1" applyBorder="1" applyAlignment="1">
      <alignment horizontal="center" vertical="center"/>
    </xf>
    <xf numFmtId="168" fontId="11" fillId="2" borderId="4" xfId="0" applyNumberFormat="1" applyFont="1" applyFill="1" applyBorder="1" applyAlignment="1">
      <alignment horizontal="center" vertical="center"/>
    </xf>
    <xf numFmtId="1" fontId="11" fillId="2" borderId="1" xfId="0" applyNumberFormat="1" applyFont="1" applyFill="1" applyBorder="1" applyAlignment="1">
      <alignment horizontal="center" vertical="center"/>
    </xf>
    <xf numFmtId="1" fontId="11" fillId="2" borderId="4" xfId="0" applyNumberFormat="1" applyFont="1" applyFill="1" applyBorder="1" applyAlignment="1">
      <alignment horizontal="center" vertical="center"/>
    </xf>
    <xf numFmtId="168" fontId="7" fillId="2" borderId="1" xfId="0" applyNumberFormat="1" applyFont="1" applyFill="1" applyBorder="1" applyAlignment="1">
      <alignment horizontal="center" vertical="center"/>
    </xf>
    <xf numFmtId="168" fontId="7" fillId="2" borderId="4"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168" fontId="9" fillId="2" borderId="2" xfId="0" applyNumberFormat="1" applyFont="1" applyFill="1" applyBorder="1" applyAlignment="1">
      <alignment horizontal="center" vertical="center"/>
    </xf>
    <xf numFmtId="1" fontId="7" fillId="2" borderId="6" xfId="0" applyNumberFormat="1" applyFont="1" applyFill="1" applyBorder="1" applyAlignment="1">
      <alignment horizontal="center" vertical="center"/>
    </xf>
    <xf numFmtId="173" fontId="9" fillId="2" borderId="1" xfId="1" applyNumberFormat="1" applyFont="1" applyFill="1" applyBorder="1" applyAlignment="1">
      <alignment vertical="center" wrapText="1"/>
    </xf>
    <xf numFmtId="168" fontId="7" fillId="2" borderId="3" xfId="0" applyNumberFormat="1" applyFont="1" applyFill="1" applyBorder="1" applyAlignment="1">
      <alignment horizontal="center" vertical="center"/>
    </xf>
    <xf numFmtId="1" fontId="7" fillId="2" borderId="3" xfId="0" applyNumberFormat="1" applyFont="1" applyFill="1" applyBorder="1" applyAlignment="1">
      <alignment horizontal="center" vertical="center"/>
    </xf>
    <xf numFmtId="167" fontId="9" fillId="2" borderId="3" xfId="0" applyNumberFormat="1" applyFont="1" applyFill="1" applyBorder="1" applyAlignment="1">
      <alignment horizontal="center" vertical="center"/>
    </xf>
    <xf numFmtId="1" fontId="7" fillId="2" borderId="2"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0" fontId="3" fillId="0" borderId="2" xfId="0" applyFont="1" applyFill="1" applyBorder="1" applyAlignment="1">
      <alignment vertical="center" wrapText="1"/>
    </xf>
    <xf numFmtId="168" fontId="7" fillId="2" borderId="2" xfId="0" applyNumberFormat="1" applyFont="1" applyFill="1" applyBorder="1" applyAlignment="1">
      <alignment horizontal="center" vertical="center" wrapText="1"/>
    </xf>
    <xf numFmtId="1" fontId="7" fillId="2" borderId="2" xfId="0" applyNumberFormat="1" applyFont="1" applyFill="1" applyBorder="1" applyAlignment="1">
      <alignment vertical="center" wrapText="1"/>
    </xf>
    <xf numFmtId="173" fontId="4" fillId="0" borderId="1" xfId="1" applyNumberFormat="1" applyFont="1" applyFill="1" applyBorder="1" applyAlignment="1">
      <alignment vertical="center"/>
    </xf>
    <xf numFmtId="0" fontId="4" fillId="0" borderId="2" xfId="6" applyFont="1" applyFill="1" applyBorder="1" applyAlignment="1">
      <alignment vertical="center" wrapText="1"/>
    </xf>
    <xf numFmtId="0" fontId="3" fillId="2" borderId="2" xfId="0" applyFont="1" applyFill="1" applyBorder="1" applyAlignment="1">
      <alignment vertical="center" wrapText="1"/>
    </xf>
    <xf numFmtId="0" fontId="4" fillId="0" borderId="1" xfId="6" applyFont="1" applyFill="1" applyBorder="1" applyAlignment="1">
      <alignment vertical="center" wrapText="1"/>
    </xf>
    <xf numFmtId="0" fontId="4" fillId="0" borderId="3" xfId="6" applyFont="1" applyFill="1" applyBorder="1" applyAlignment="1">
      <alignment vertical="center" wrapText="1"/>
    </xf>
    <xf numFmtId="0" fontId="4" fillId="0" borderId="3" xfId="6" applyFont="1" applyFill="1" applyBorder="1" applyAlignment="1">
      <alignment horizontal="center" vertical="center" wrapText="1"/>
    </xf>
    <xf numFmtId="0" fontId="4" fillId="0" borderId="4" xfId="6" applyFont="1" applyFill="1" applyBorder="1" applyAlignment="1">
      <alignment vertical="center" wrapText="1"/>
    </xf>
    <xf numFmtId="49" fontId="3" fillId="0" borderId="1" xfId="0" applyNumberFormat="1" applyFont="1" applyFill="1" applyBorder="1" applyAlignment="1">
      <alignment horizontal="center" vertical="center"/>
    </xf>
    <xf numFmtId="0" fontId="3" fillId="0" borderId="11" xfId="6" applyFont="1" applyFill="1" applyBorder="1" applyAlignment="1">
      <alignment vertical="center" wrapText="1"/>
    </xf>
    <xf numFmtId="0" fontId="3" fillId="0" borderId="0" xfId="6" applyFont="1" applyFill="1" applyBorder="1" applyAlignment="1">
      <alignment vertical="center" wrapText="1"/>
    </xf>
    <xf numFmtId="0" fontId="3" fillId="0" borderId="18" xfId="6" applyFont="1" applyFill="1" applyBorder="1" applyAlignment="1">
      <alignment vertical="center" wrapText="1"/>
    </xf>
    <xf numFmtId="0" fontId="4" fillId="0" borderId="6" xfId="6" applyFont="1" applyFill="1" applyBorder="1" applyAlignment="1">
      <alignment horizontal="center" vertical="center" wrapText="1"/>
    </xf>
    <xf numFmtId="0" fontId="4" fillId="0" borderId="8" xfId="6" applyFont="1" applyFill="1" applyBorder="1" applyAlignment="1">
      <alignment horizontal="center" vertical="center" wrapText="1"/>
    </xf>
    <xf numFmtId="0" fontId="4" fillId="0" borderId="9" xfId="6" applyFont="1" applyFill="1" applyBorder="1" applyAlignment="1">
      <alignment horizontal="center" vertical="center" wrapText="1"/>
    </xf>
    <xf numFmtId="0" fontId="4" fillId="4" borderId="2" xfId="6" applyFont="1" applyFill="1" applyBorder="1" applyAlignment="1">
      <alignment horizontal="center" vertical="center" wrapText="1"/>
    </xf>
    <xf numFmtId="164" fontId="4" fillId="4" borderId="6" xfId="6" applyNumberFormat="1" applyFont="1" applyFill="1" applyBorder="1" applyAlignment="1">
      <alignment horizontal="center" vertical="top" wrapText="1"/>
    </xf>
    <xf numFmtId="164" fontId="4" fillId="4" borderId="8" xfId="6" applyNumberFormat="1" applyFont="1" applyFill="1" applyBorder="1" applyAlignment="1">
      <alignment horizontal="center" vertical="top" wrapText="1"/>
    </xf>
    <xf numFmtId="164" fontId="4" fillId="4" borderId="9" xfId="6" applyNumberFormat="1" applyFont="1" applyFill="1" applyBorder="1" applyAlignment="1">
      <alignment horizontal="center" vertical="top" wrapText="1"/>
    </xf>
    <xf numFmtId="49" fontId="4" fillId="0" borderId="2" xfId="16" applyNumberFormat="1" applyFont="1" applyBorder="1" applyAlignment="1">
      <alignment horizontal="center" vertical="center"/>
    </xf>
    <xf numFmtId="49" fontId="4" fillId="5" borderId="2" xfId="16" applyNumberFormat="1" applyFont="1" applyFill="1" applyBorder="1" applyAlignment="1">
      <alignment horizontal="center" vertical="center"/>
    </xf>
    <xf numFmtId="49" fontId="3" fillId="0" borderId="2" xfId="16" applyNumberFormat="1" applyFont="1" applyBorder="1" applyAlignment="1">
      <alignment horizontal="center" vertical="center"/>
    </xf>
    <xf numFmtId="49" fontId="4" fillId="0" borderId="2" xfId="16" applyNumberFormat="1" applyFont="1" applyBorder="1" applyAlignment="1">
      <alignment horizontal="center" vertical="center" wrapText="1"/>
    </xf>
    <xf numFmtId="164" fontId="3" fillId="2" borderId="1" xfId="16" applyNumberFormat="1" applyFont="1" applyFill="1" applyBorder="1" applyAlignment="1">
      <alignment horizontal="left" vertical="center" wrapText="1"/>
    </xf>
    <xf numFmtId="164" fontId="3" fillId="2" borderId="4" xfId="16" applyNumberFormat="1" applyFont="1" applyFill="1" applyBorder="1" applyAlignment="1">
      <alignment horizontal="left" vertical="center" wrapText="1"/>
    </xf>
    <xf numFmtId="173" fontId="4" fillId="5" borderId="1" xfId="1" applyNumberFormat="1" applyFont="1" applyFill="1" applyBorder="1" applyAlignment="1">
      <alignment vertical="center" wrapText="1"/>
    </xf>
    <xf numFmtId="173" fontId="4" fillId="5" borderId="4" xfId="1" applyNumberFormat="1" applyFont="1" applyFill="1" applyBorder="1" applyAlignment="1">
      <alignment vertical="center" wrapText="1"/>
    </xf>
    <xf numFmtId="0" fontId="4" fillId="0" borderId="53" xfId="0" applyFont="1" applyBorder="1" applyAlignment="1">
      <alignment vertical="center" wrapText="1"/>
    </xf>
    <xf numFmtId="164" fontId="3" fillId="3" borderId="5" xfId="0" applyNumberFormat="1" applyFont="1" applyFill="1" applyBorder="1" applyAlignment="1">
      <alignment horizontal="left" vertical="center" wrapText="1"/>
    </xf>
    <xf numFmtId="164" fontId="3" fillId="3" borderId="11" xfId="0" applyNumberFormat="1" applyFont="1" applyFill="1" applyBorder="1" applyAlignment="1">
      <alignment horizontal="left" vertical="center" wrapText="1"/>
    </xf>
    <xf numFmtId="164" fontId="3" fillId="3" borderId="0" xfId="0" applyNumberFormat="1" applyFont="1" applyFill="1" applyBorder="1" applyAlignment="1">
      <alignment horizontal="left" vertical="center" wrapText="1"/>
    </xf>
    <xf numFmtId="164" fontId="3" fillId="3" borderId="12" xfId="0" applyNumberFormat="1" applyFont="1" applyFill="1" applyBorder="1" applyAlignment="1">
      <alignment horizontal="left" vertical="center" wrapText="1"/>
    </xf>
    <xf numFmtId="164" fontId="4" fillId="4" borderId="6" xfId="0" applyNumberFormat="1" applyFont="1" applyFill="1" applyBorder="1" applyAlignment="1">
      <alignment horizontal="left" vertical="center" wrapText="1"/>
    </xf>
    <xf numFmtId="164" fontId="4" fillId="4" borderId="8" xfId="0" applyNumberFormat="1" applyFont="1" applyFill="1" applyBorder="1" applyAlignment="1">
      <alignment horizontal="left" vertical="center" wrapText="1"/>
    </xf>
    <xf numFmtId="164" fontId="4" fillId="4" borderId="9" xfId="0" applyNumberFormat="1" applyFont="1" applyFill="1" applyBorder="1" applyAlignment="1">
      <alignment horizontal="left" vertical="center" wrapText="1"/>
    </xf>
    <xf numFmtId="164" fontId="3" fillId="3" borderId="0" xfId="0" applyNumberFormat="1" applyFont="1" applyFill="1" applyAlignment="1">
      <alignment horizontal="left"/>
    </xf>
    <xf numFmtId="167" fontId="17" fillId="0" borderId="1" xfId="0" applyNumberFormat="1" applyFont="1" applyBorder="1" applyAlignment="1">
      <alignment horizontal="right" vertical="center"/>
    </xf>
    <xf numFmtId="167" fontId="17" fillId="0" borderId="3" xfId="0" applyNumberFormat="1" applyFont="1" applyBorder="1" applyAlignment="1">
      <alignment horizontal="right" vertical="center"/>
    </xf>
    <xf numFmtId="168" fontId="11" fillId="0" borderId="1" xfId="0" applyNumberFormat="1" applyFont="1" applyBorder="1" applyAlignment="1">
      <alignment horizontal="right" vertical="center"/>
    </xf>
    <xf numFmtId="168" fontId="11" fillId="0" borderId="3" xfId="0" applyNumberFormat="1" applyFont="1" applyBorder="1" applyAlignment="1">
      <alignment horizontal="right" vertical="center"/>
    </xf>
    <xf numFmtId="167" fontId="7" fillId="2" borderId="53" xfId="0" applyNumberFormat="1" applyFont="1" applyFill="1" applyBorder="1" applyAlignment="1">
      <alignment horizontal="left" vertical="center" wrapText="1"/>
    </xf>
    <xf numFmtId="167" fontId="7" fillId="2" borderId="3" xfId="0" applyNumberFormat="1" applyFont="1" applyFill="1" applyBorder="1" applyAlignment="1">
      <alignment horizontal="left" vertical="center" wrapText="1"/>
    </xf>
    <xf numFmtId="167" fontId="7" fillId="2" borderId="4" xfId="0" applyNumberFormat="1" applyFont="1" applyFill="1" applyBorder="1" applyAlignment="1">
      <alignment horizontal="left" vertical="center" wrapText="1"/>
    </xf>
    <xf numFmtId="164" fontId="4" fillId="2" borderId="1" xfId="16" applyNumberFormat="1" applyFont="1" applyFill="1" applyBorder="1" applyAlignment="1">
      <alignment horizontal="center" vertical="center" wrapText="1"/>
    </xf>
    <xf numFmtId="164" fontId="4" fillId="2" borderId="4" xfId="16" applyNumberFormat="1" applyFont="1" applyFill="1" applyBorder="1" applyAlignment="1">
      <alignment horizontal="center" vertical="center" wrapText="1"/>
    </xf>
    <xf numFmtId="164" fontId="4" fillId="4" borderId="2" xfId="0" applyNumberFormat="1" applyFont="1" applyFill="1" applyBorder="1" applyAlignment="1">
      <alignment horizontal="center"/>
    </xf>
    <xf numFmtId="164" fontId="4" fillId="2" borderId="1" xfId="16" applyNumberFormat="1" applyFont="1" applyFill="1" applyBorder="1" applyAlignment="1">
      <alignment vertical="center" wrapText="1"/>
    </xf>
    <xf numFmtId="164" fontId="4" fillId="2" borderId="4" xfId="16" applyNumberFormat="1" applyFont="1" applyFill="1" applyBorder="1" applyAlignment="1">
      <alignment vertical="center" wrapText="1"/>
    </xf>
    <xf numFmtId="167" fontId="17" fillId="2" borderId="1" xfId="0" applyNumberFormat="1" applyFont="1" applyFill="1" applyBorder="1" applyAlignment="1">
      <alignment horizontal="center" vertical="center"/>
    </xf>
    <xf numFmtId="167" fontId="17" fillId="2" borderId="4" xfId="0" applyNumberFormat="1" applyFont="1" applyFill="1" applyBorder="1" applyAlignment="1">
      <alignment horizontal="center" vertical="center"/>
    </xf>
    <xf numFmtId="0" fontId="7" fillId="2" borderId="2" xfId="17" applyFont="1" applyFill="1" applyBorder="1" applyAlignment="1">
      <alignment horizontal="left" vertical="center" wrapText="1"/>
    </xf>
    <xf numFmtId="167" fontId="17" fillId="0" borderId="2" xfId="0" applyNumberFormat="1" applyFont="1" applyFill="1" applyBorder="1" applyAlignment="1">
      <alignment horizontal="center" vertical="center"/>
    </xf>
    <xf numFmtId="168" fontId="11" fillId="0" borderId="2" xfId="0" applyNumberFormat="1" applyFont="1" applyFill="1" applyBorder="1" applyAlignment="1">
      <alignment horizontal="center" vertical="center"/>
    </xf>
    <xf numFmtId="168" fontId="7" fillId="0" borderId="1" xfId="0" applyNumberFormat="1" applyFont="1" applyFill="1" applyBorder="1" applyAlignment="1">
      <alignment horizontal="left" vertical="top" wrapText="1"/>
    </xf>
    <xf numFmtId="168" fontId="7" fillId="0" borderId="4" xfId="0" applyNumberFormat="1" applyFont="1" applyFill="1" applyBorder="1" applyAlignment="1">
      <alignment horizontal="left" vertical="top" wrapText="1"/>
    </xf>
    <xf numFmtId="167" fontId="17" fillId="0" borderId="17" xfId="0" applyNumberFormat="1" applyFont="1" applyBorder="1" applyAlignment="1">
      <alignment horizontal="center" vertical="center"/>
    </xf>
    <xf numFmtId="167" fontId="17" fillId="0" borderId="10" xfId="0" applyNumberFormat="1" applyFont="1" applyBorder="1" applyAlignment="1">
      <alignment horizontal="center" vertical="center"/>
    </xf>
    <xf numFmtId="168" fontId="11" fillId="0" borderId="3" xfId="0" applyNumberFormat="1" applyFont="1" applyBorder="1" applyAlignment="1">
      <alignment horizontal="center" vertical="center"/>
    </xf>
    <xf numFmtId="168" fontId="11" fillId="0" borderId="4" xfId="0" applyNumberFormat="1" applyFont="1" applyBorder="1" applyAlignment="1">
      <alignment horizontal="center" vertical="center"/>
    </xf>
    <xf numFmtId="0" fontId="7" fillId="2" borderId="53" xfId="17" applyFont="1" applyFill="1" applyBorder="1" applyAlignment="1">
      <alignment horizontal="left" vertical="center" wrapText="1"/>
    </xf>
    <xf numFmtId="0" fontId="7" fillId="2" borderId="3" xfId="17" applyFont="1" applyFill="1" applyBorder="1" applyAlignment="1">
      <alignment horizontal="left" vertical="center" wrapText="1"/>
    </xf>
    <xf numFmtId="0" fontId="7" fillId="2" borderId="4" xfId="17" applyFont="1" applyFill="1" applyBorder="1" applyAlignment="1">
      <alignment horizontal="left" vertical="center" wrapText="1"/>
    </xf>
    <xf numFmtId="167" fontId="17" fillId="0" borderId="12" xfId="0" applyNumberFormat="1" applyFont="1" applyBorder="1" applyAlignment="1">
      <alignment horizontal="center" vertical="center"/>
    </xf>
    <xf numFmtId="168" fontId="11" fillId="0" borderId="4" xfId="0" applyNumberFormat="1" applyFont="1" applyBorder="1" applyAlignment="1">
      <alignment horizontal="right" vertical="center"/>
    </xf>
    <xf numFmtId="0" fontId="7" fillId="2" borderId="2" xfId="17" applyFont="1" applyFill="1" applyBorder="1" applyAlignment="1">
      <alignment horizontal="left" vertical="top" wrapText="1"/>
    </xf>
    <xf numFmtId="167" fontId="3" fillId="0" borderId="2" xfId="13" applyNumberFormat="1" applyFont="1" applyBorder="1" applyAlignment="1">
      <alignment horizontal="center" vertical="top"/>
    </xf>
    <xf numFmtId="167" fontId="4" fillId="2" borderId="2" xfId="13" applyNumberFormat="1" applyFont="1" applyFill="1" applyBorder="1" applyAlignment="1">
      <alignment horizontal="left" vertical="center" wrapText="1"/>
    </xf>
    <xf numFmtId="164" fontId="3" fillId="3" borderId="2" xfId="13" applyNumberFormat="1" applyFont="1" applyFill="1" applyBorder="1" applyAlignment="1">
      <alignment horizontal="left" vertical="center" wrapText="1"/>
    </xf>
    <xf numFmtId="167" fontId="17" fillId="0" borderId="1" xfId="0" applyNumberFormat="1" applyFont="1" applyBorder="1" applyAlignment="1">
      <alignment horizontal="center" vertical="center"/>
    </xf>
    <xf numFmtId="167" fontId="17" fillId="0" borderId="3" xfId="0" applyNumberFormat="1" applyFont="1" applyBorder="1" applyAlignment="1">
      <alignment horizontal="center" vertical="center"/>
    </xf>
    <xf numFmtId="167" fontId="17" fillId="0" borderId="4" xfId="0" applyNumberFormat="1" applyFont="1" applyBorder="1" applyAlignment="1">
      <alignment horizontal="center" vertical="center"/>
    </xf>
    <xf numFmtId="168" fontId="11" fillId="0" borderId="1" xfId="0" applyNumberFormat="1" applyFont="1" applyBorder="1" applyAlignment="1">
      <alignment horizontal="center" vertical="center"/>
    </xf>
    <xf numFmtId="0" fontId="7" fillId="2" borderId="53" xfId="17" applyFont="1" applyFill="1" applyBorder="1" applyAlignment="1">
      <alignment horizontal="center" vertical="center" wrapText="1"/>
    </xf>
    <xf numFmtId="0" fontId="7" fillId="2" borderId="3" xfId="17" applyFont="1" applyFill="1" applyBorder="1" applyAlignment="1">
      <alignment horizontal="center" vertical="center" wrapText="1"/>
    </xf>
    <xf numFmtId="0" fontId="7" fillId="2" borderId="4" xfId="17" applyFont="1" applyFill="1" applyBorder="1" applyAlignment="1">
      <alignment horizontal="center" vertical="center" wrapText="1"/>
    </xf>
    <xf numFmtId="167" fontId="17" fillId="0" borderId="2" xfId="0" applyNumberFormat="1" applyFont="1" applyBorder="1" applyAlignment="1">
      <alignment horizontal="center" vertical="center"/>
    </xf>
    <xf numFmtId="0" fontId="7" fillId="2" borderId="1" xfId="17" applyFont="1" applyFill="1" applyBorder="1" applyAlignment="1">
      <alignment horizontal="left" wrapText="1"/>
    </xf>
    <xf numFmtId="0" fontId="7" fillId="2" borderId="4" xfId="17" applyFont="1" applyFill="1" applyBorder="1" applyAlignment="1">
      <alignment horizontal="left" wrapText="1"/>
    </xf>
    <xf numFmtId="49" fontId="4" fillId="2" borderId="53" xfId="0" applyNumberFormat="1" applyFont="1" applyFill="1" applyBorder="1" applyAlignment="1"/>
    <xf numFmtId="49" fontId="14" fillId="0" borderId="4" xfId="0" applyNumberFormat="1" applyFont="1" applyBorder="1" applyAlignment="1"/>
    <xf numFmtId="49" fontId="4" fillId="0" borderId="53" xfId="0" applyNumberFormat="1" applyFont="1" applyFill="1" applyBorder="1" applyAlignment="1">
      <alignment horizontal="center"/>
    </xf>
    <xf numFmtId="0" fontId="14" fillId="0" borderId="4" xfId="0" applyFont="1" applyBorder="1" applyAlignment="1">
      <alignment horizontal="center"/>
    </xf>
    <xf numFmtId="49" fontId="4" fillId="2" borderId="1" xfId="0" applyNumberFormat="1" applyFont="1" applyFill="1" applyBorder="1" applyAlignment="1">
      <alignment horizontal="center" vertical="center"/>
    </xf>
    <xf numFmtId="0" fontId="3" fillId="4" borderId="2" xfId="0" applyFont="1" applyFill="1" applyBorder="1" applyAlignment="1">
      <alignment horizontal="left" wrapText="1"/>
    </xf>
    <xf numFmtId="0" fontId="4" fillId="2" borderId="53" xfId="0" applyNumberFormat="1" applyFont="1" applyFill="1" applyBorder="1" applyAlignment="1">
      <alignment horizontal="left" vertical="center" wrapText="1"/>
    </xf>
    <xf numFmtId="0" fontId="4" fillId="2" borderId="4" xfId="0" applyNumberFormat="1" applyFont="1" applyFill="1" applyBorder="1" applyAlignment="1">
      <alignment horizontal="left" vertical="center" wrapText="1"/>
    </xf>
    <xf numFmtId="165" fontId="3" fillId="3" borderId="11" xfId="0" applyNumberFormat="1" applyFont="1" applyFill="1" applyBorder="1" applyAlignment="1">
      <alignment horizontal="left"/>
    </xf>
    <xf numFmtId="164" fontId="3" fillId="4" borderId="4" xfId="0" applyNumberFormat="1" applyFont="1" applyFill="1" applyBorder="1" applyAlignment="1">
      <alignment vertical="center"/>
    </xf>
    <xf numFmtId="49" fontId="7" fillId="2" borderId="53" xfId="0" applyNumberFormat="1" applyFont="1" applyFill="1" applyBorder="1" applyAlignment="1">
      <alignment horizontal="center" vertical="center" wrapText="1"/>
    </xf>
    <xf numFmtId="49" fontId="7" fillId="2" borderId="3" xfId="0" applyNumberFormat="1" applyFont="1" applyFill="1" applyBorder="1" applyAlignment="1">
      <alignment horizontal="center" vertical="center" wrapText="1"/>
    </xf>
    <xf numFmtId="49" fontId="7" fillId="2" borderId="4" xfId="0" applyNumberFormat="1" applyFont="1" applyFill="1" applyBorder="1" applyAlignment="1">
      <alignment horizontal="center" vertical="center" wrapText="1"/>
    </xf>
    <xf numFmtId="49" fontId="7" fillId="2" borderId="53" xfId="0" applyNumberFormat="1" applyFont="1" applyFill="1" applyBorder="1" applyAlignment="1">
      <alignment horizontal="left" vertical="center" wrapText="1"/>
    </xf>
    <xf numFmtId="49" fontId="7" fillId="2" borderId="3" xfId="0" applyNumberFormat="1" applyFont="1" applyFill="1" applyBorder="1" applyAlignment="1">
      <alignment horizontal="left" vertical="center" wrapText="1"/>
    </xf>
    <xf numFmtId="49" fontId="7" fillId="2" borderId="4" xfId="0" applyNumberFormat="1" applyFont="1" applyFill="1" applyBorder="1" applyAlignment="1">
      <alignment horizontal="left" vertical="center" wrapText="1"/>
    </xf>
    <xf numFmtId="164" fontId="4" fillId="2" borderId="56" xfId="0" applyNumberFormat="1" applyFont="1" applyFill="1" applyBorder="1" applyAlignment="1">
      <alignment horizontal="center" vertical="center" wrapText="1"/>
    </xf>
    <xf numFmtId="164" fontId="4" fillId="2" borderId="57" xfId="0" applyNumberFormat="1" applyFont="1" applyFill="1" applyBorder="1" applyAlignment="1">
      <alignment horizontal="center" vertical="center" wrapText="1"/>
    </xf>
    <xf numFmtId="164" fontId="4" fillId="2" borderId="16" xfId="0" applyNumberFormat="1" applyFont="1" applyFill="1" applyBorder="1" applyAlignment="1">
      <alignment horizontal="center" vertical="center" wrapText="1"/>
    </xf>
    <xf numFmtId="164" fontId="4" fillId="2" borderId="17" xfId="0" applyNumberFormat="1" applyFont="1" applyFill="1" applyBorder="1" applyAlignment="1">
      <alignment horizontal="center" vertical="center" wrapText="1"/>
    </xf>
    <xf numFmtId="164" fontId="4" fillId="2" borderId="14" xfId="0" applyNumberFormat="1" applyFont="1" applyFill="1" applyBorder="1" applyAlignment="1">
      <alignment horizontal="center" vertical="center" wrapText="1"/>
    </xf>
    <xf numFmtId="164" fontId="4" fillId="2" borderId="10" xfId="0" applyNumberFormat="1" applyFont="1" applyFill="1" applyBorder="1" applyAlignment="1">
      <alignment horizontal="center"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68" fontId="4" fillId="2" borderId="21" xfId="0" applyNumberFormat="1" applyFont="1" applyFill="1" applyBorder="1" applyAlignment="1">
      <alignment horizontal="center" vertical="center" wrapText="1"/>
    </xf>
    <xf numFmtId="171" fontId="11" fillId="0" borderId="21" xfId="24" applyNumberFormat="1" applyFont="1" applyFill="1" applyBorder="1" applyAlignment="1">
      <alignment horizontal="center" vertical="center" wrapText="1"/>
    </xf>
    <xf numFmtId="49" fontId="11" fillId="0" borderId="53" xfId="24" applyNumberFormat="1" applyFont="1" applyFill="1" applyBorder="1" applyAlignment="1">
      <alignment horizontal="center" vertical="center" wrapText="1"/>
    </xf>
    <xf numFmtId="49" fontId="11" fillId="0" borderId="3" xfId="24" applyNumberFormat="1" applyFont="1" applyFill="1" applyBorder="1" applyAlignment="1">
      <alignment horizontal="center" vertical="center" wrapText="1"/>
    </xf>
    <xf numFmtId="49" fontId="11" fillId="0" borderId="4" xfId="24" applyNumberFormat="1" applyFont="1" applyFill="1" applyBorder="1" applyAlignment="1">
      <alignment horizontal="center" vertical="center" wrapText="1"/>
    </xf>
    <xf numFmtId="171" fontId="11" fillId="0" borderId="2" xfId="24" applyNumberFormat="1" applyFont="1" applyFill="1" applyBorder="1" applyAlignment="1">
      <alignment horizontal="center" vertical="center" wrapText="1"/>
    </xf>
    <xf numFmtId="171" fontId="11" fillId="2" borderId="53" xfId="24" applyNumberFormat="1" applyFont="1" applyFill="1" applyBorder="1" applyAlignment="1">
      <alignment horizontal="left" vertical="center" wrapText="1"/>
    </xf>
    <xf numFmtId="171" fontId="11" fillId="2" borderId="3" xfId="24" applyNumberFormat="1" applyFont="1" applyFill="1" applyBorder="1" applyAlignment="1">
      <alignment horizontal="left" vertical="center" wrapText="1"/>
    </xf>
    <xf numFmtId="171" fontId="11" fillId="5" borderId="21" xfId="24" applyNumberFormat="1" applyFont="1" applyFill="1" applyBorder="1" applyAlignment="1">
      <alignment horizontal="center" vertical="center" wrapText="1"/>
    </xf>
    <xf numFmtId="49" fontId="11" fillId="2" borderId="53" xfId="24" applyNumberFormat="1" applyFont="1" applyFill="1" applyBorder="1" applyAlignment="1">
      <alignment horizontal="center" vertical="center" wrapText="1"/>
    </xf>
    <xf numFmtId="49" fontId="11" fillId="2" borderId="3" xfId="24" applyNumberFormat="1" applyFont="1" applyFill="1" applyBorder="1" applyAlignment="1">
      <alignment horizontal="center" vertical="center" wrapText="1"/>
    </xf>
    <xf numFmtId="49" fontId="11" fillId="2" borderId="4" xfId="24" applyNumberFormat="1" applyFont="1" applyFill="1" applyBorder="1" applyAlignment="1">
      <alignment horizontal="center" vertical="center" wrapText="1"/>
    </xf>
    <xf numFmtId="171" fontId="11" fillId="5" borderId="2" xfId="24" applyNumberFormat="1" applyFont="1" applyFill="1" applyBorder="1" applyAlignment="1">
      <alignment horizontal="center" vertical="center" wrapText="1"/>
    </xf>
    <xf numFmtId="49" fontId="11" fillId="2" borderId="3" xfId="24" applyNumberFormat="1" applyFont="1" applyFill="1" applyBorder="1" applyAlignment="1">
      <alignment horizontal="center" vertical="center"/>
    </xf>
    <xf numFmtId="167" fontId="7" fillId="2" borderId="2" xfId="0" applyNumberFormat="1" applyFont="1" applyFill="1" applyBorder="1" applyAlignment="1">
      <alignment horizontal="center" vertical="center"/>
    </xf>
    <xf numFmtId="49" fontId="9" fillId="0" borderId="21" xfId="0" applyNumberFormat="1" applyFont="1" applyFill="1" applyBorder="1" applyAlignment="1">
      <alignment vertical="center"/>
    </xf>
    <xf numFmtId="49" fontId="7" fillId="0" borderId="2" xfId="0" applyNumberFormat="1" applyFont="1" applyFill="1" applyBorder="1" applyAlignment="1">
      <alignment vertical="center"/>
    </xf>
    <xf numFmtId="0" fontId="3" fillId="2" borderId="2" xfId="0" applyFont="1" applyFill="1" applyBorder="1" applyAlignment="1">
      <alignment horizontal="left" vertical="center" wrapText="1"/>
    </xf>
    <xf numFmtId="49" fontId="9" fillId="2" borderId="53" xfId="0" applyNumberFormat="1" applyFont="1" applyFill="1" applyBorder="1" applyAlignment="1">
      <alignment vertical="center"/>
    </xf>
    <xf numFmtId="49" fontId="9" fillId="2" borderId="4" xfId="0" applyNumberFormat="1" applyFont="1" applyFill="1" applyBorder="1" applyAlignment="1">
      <alignment vertical="center"/>
    </xf>
    <xf numFmtId="49" fontId="7" fillId="5" borderId="53" xfId="0" applyNumberFormat="1" applyFont="1" applyFill="1" applyBorder="1" applyAlignment="1">
      <alignment horizontal="right" vertical="center"/>
    </xf>
    <xf numFmtId="49" fontId="7" fillId="5" borderId="4" xfId="0" applyNumberFormat="1" applyFont="1" applyFill="1" applyBorder="1" applyAlignment="1">
      <alignment horizontal="right" vertical="center"/>
    </xf>
    <xf numFmtId="0" fontId="7" fillId="5" borderId="2" xfId="0" applyFont="1" applyFill="1" applyBorder="1" applyAlignment="1">
      <alignment vertical="center" wrapText="1"/>
    </xf>
    <xf numFmtId="173" fontId="11" fillId="5" borderId="53" xfId="1" applyNumberFormat="1" applyFont="1" applyFill="1" applyBorder="1" applyAlignment="1">
      <alignment vertical="center" wrapText="1"/>
    </xf>
    <xf numFmtId="173" fontId="7" fillId="5" borderId="53" xfId="1" applyNumberFormat="1" applyFont="1" applyFill="1" applyBorder="1" applyAlignment="1">
      <alignment vertical="center" wrapText="1"/>
    </xf>
    <xf numFmtId="173" fontId="7" fillId="5" borderId="4" xfId="1" applyNumberFormat="1" applyFont="1" applyFill="1" applyBorder="1" applyAlignment="1">
      <alignment vertical="center" wrapText="1"/>
    </xf>
    <xf numFmtId="167" fontId="3" fillId="2" borderId="53" xfId="0" applyNumberFormat="1" applyFont="1" applyFill="1" applyBorder="1" applyAlignment="1">
      <alignment horizontal="center" vertical="center" wrapText="1"/>
    </xf>
    <xf numFmtId="167" fontId="3" fillId="2" borderId="3" xfId="0" applyNumberFormat="1" applyFont="1" applyFill="1" applyBorder="1" applyAlignment="1">
      <alignment horizontal="center" vertical="center" wrapText="1"/>
    </xf>
    <xf numFmtId="167" fontId="3" fillId="2" borderId="4" xfId="0" applyNumberFormat="1" applyFont="1" applyFill="1" applyBorder="1" applyAlignment="1">
      <alignment horizontal="center" vertical="center" wrapText="1"/>
    </xf>
    <xf numFmtId="49" fontId="9" fillId="2" borderId="26" xfId="0" applyNumberFormat="1" applyFont="1" applyFill="1" applyBorder="1" applyAlignment="1">
      <alignment horizontal="center" vertical="center"/>
    </xf>
    <xf numFmtId="0" fontId="3" fillId="5" borderId="2" xfId="0" applyFont="1" applyFill="1" applyBorder="1" applyAlignment="1">
      <alignment horizontal="left" vertical="center" wrapText="1"/>
    </xf>
    <xf numFmtId="49" fontId="9" fillId="0" borderId="21" xfId="0" applyNumberFormat="1" applyFont="1" applyBorder="1" applyAlignment="1">
      <alignment horizontal="center" vertical="center"/>
    </xf>
    <xf numFmtId="49" fontId="9" fillId="0" borderId="2" xfId="0" applyNumberFormat="1" applyFont="1" applyBorder="1" applyAlignment="1">
      <alignment horizontal="center" vertical="center"/>
    </xf>
    <xf numFmtId="0" fontId="50" fillId="0" borderId="2" xfId="13" applyFont="1" applyBorder="1" applyAlignment="1">
      <alignment horizontal="left" vertical="center" wrapText="1"/>
    </xf>
    <xf numFmtId="0" fontId="9" fillId="0" borderId="2" xfId="13" applyFont="1" applyBorder="1" applyAlignment="1">
      <alignment horizontal="left" vertical="center" wrapText="1"/>
    </xf>
    <xf numFmtId="49" fontId="4" fillId="0" borderId="53" xfId="15" applyNumberFormat="1" applyFont="1" applyFill="1" applyBorder="1" applyAlignment="1">
      <alignment horizontal="center" vertical="top"/>
    </xf>
    <xf numFmtId="49" fontId="4" fillId="0" borderId="4" xfId="15" applyNumberFormat="1" applyFont="1" applyFill="1" applyBorder="1" applyAlignment="1">
      <alignment horizontal="center" vertical="top"/>
    </xf>
    <xf numFmtId="164" fontId="3" fillId="3" borderId="18" xfId="0" applyNumberFormat="1" applyFont="1" applyFill="1" applyBorder="1" applyAlignment="1">
      <alignment horizontal="left"/>
    </xf>
    <xf numFmtId="168" fontId="11" fillId="2" borderId="2" xfId="0" applyNumberFormat="1" applyFont="1" applyFill="1" applyBorder="1" applyAlignment="1">
      <alignment horizontal="center" vertical="center"/>
    </xf>
    <xf numFmtId="168" fontId="7" fillId="0" borderId="3" xfId="13" applyNumberFormat="1" applyFont="1" applyBorder="1" applyAlignment="1">
      <alignment horizontal="center" vertical="center"/>
    </xf>
    <xf numFmtId="0" fontId="7" fillId="2" borderId="3" xfId="13" applyFont="1" applyFill="1" applyBorder="1" applyAlignment="1">
      <alignment horizontal="center" vertical="center"/>
    </xf>
    <xf numFmtId="49" fontId="9" fillId="2" borderId="53" xfId="13" applyNumberFormat="1" applyFont="1" applyFill="1" applyBorder="1" applyAlignment="1">
      <alignment horizontal="center" vertical="center"/>
    </xf>
    <xf numFmtId="49" fontId="9" fillId="2" borderId="4" xfId="13" applyNumberFormat="1" applyFont="1" applyFill="1" applyBorder="1" applyAlignment="1">
      <alignment horizontal="center" vertical="center"/>
    </xf>
    <xf numFmtId="49" fontId="7" fillId="2" borderId="53" xfId="13" applyNumberFormat="1" applyFont="1" applyFill="1" applyBorder="1" applyAlignment="1">
      <alignment horizontal="center" vertical="center"/>
    </xf>
    <xf numFmtId="49" fontId="7" fillId="2" borderId="4" xfId="13" applyNumberFormat="1" applyFont="1" applyFill="1" applyBorder="1" applyAlignment="1">
      <alignment horizontal="center" vertical="center"/>
    </xf>
    <xf numFmtId="0" fontId="4" fillId="2" borderId="53" xfId="13" applyFont="1" applyFill="1" applyBorder="1" applyAlignment="1">
      <alignment vertical="center" wrapText="1"/>
    </xf>
    <xf numFmtId="167" fontId="7" fillId="0" borderId="53" xfId="0" applyNumberFormat="1" applyFont="1" applyFill="1" applyBorder="1" applyAlignment="1">
      <alignment horizontal="right" vertical="center"/>
    </xf>
    <xf numFmtId="0" fontId="7" fillId="0" borderId="4" xfId="0" applyFont="1" applyFill="1" applyBorder="1" applyAlignment="1">
      <alignment horizontal="right" vertical="center"/>
    </xf>
    <xf numFmtId="168" fontId="7" fillId="0" borderId="53" xfId="0" applyNumberFormat="1" applyFont="1" applyFill="1" applyBorder="1" applyAlignment="1">
      <alignment horizontal="right" vertical="center"/>
    </xf>
    <xf numFmtId="49" fontId="7" fillId="0" borderId="53" xfId="0" applyNumberFormat="1" applyFont="1" applyFill="1" applyBorder="1" applyAlignment="1">
      <alignment vertical="center"/>
    </xf>
    <xf numFmtId="0" fontId="7" fillId="0" borderId="4" xfId="0" applyFont="1" applyFill="1" applyBorder="1" applyAlignment="1">
      <alignment vertical="center"/>
    </xf>
    <xf numFmtId="16" fontId="4" fillId="2" borderId="2" xfId="0" applyNumberFormat="1" applyFont="1" applyFill="1" applyBorder="1" applyAlignment="1">
      <alignment horizontal="left" vertical="center" wrapText="1"/>
    </xf>
    <xf numFmtId="166" fontId="4" fillId="2"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6" fillId="2" borderId="2" xfId="6" applyFont="1" applyFill="1" applyBorder="1" applyAlignment="1">
      <alignment horizontal="left" vertical="center" wrapText="1"/>
    </xf>
    <xf numFmtId="0" fontId="9" fillId="2" borderId="2" xfId="0" applyFont="1" applyFill="1" applyBorder="1" applyAlignment="1">
      <alignment horizontal="center" vertical="center"/>
    </xf>
    <xf numFmtId="166" fontId="9" fillId="2" borderId="2"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xf>
    <xf numFmtId="16" fontId="4" fillId="2" borderId="2" xfId="6" applyNumberFormat="1" applyFont="1" applyFill="1" applyBorder="1" applyAlignment="1">
      <alignment horizontal="left" vertical="center" wrapText="1"/>
    </xf>
    <xf numFmtId="169" fontId="9" fillId="2" borderId="2" xfId="0" applyNumberFormat="1" applyFont="1" applyFill="1" applyBorder="1" applyAlignment="1">
      <alignment horizontal="center" vertical="center" wrapText="1"/>
    </xf>
    <xf numFmtId="0" fontId="6" fillId="2" borderId="2" xfId="0" applyFont="1" applyFill="1" applyBorder="1" applyAlignment="1">
      <alignment horizontal="left" vertical="top" wrapText="1"/>
    </xf>
    <xf numFmtId="0" fontId="49" fillId="2" borderId="2" xfId="0" applyFont="1" applyFill="1" applyBorder="1" applyAlignment="1">
      <alignment horizontal="center" vertical="center" wrapText="1"/>
    </xf>
    <xf numFmtId="0" fontId="18" fillId="2" borderId="2" xfId="0" applyFont="1" applyFill="1" applyBorder="1" applyAlignment="1">
      <alignment horizontal="left" vertical="top" wrapText="1"/>
    </xf>
    <xf numFmtId="0" fontId="9" fillId="2" borderId="2" xfId="0" applyFont="1" applyFill="1" applyBorder="1" applyAlignment="1">
      <alignment horizontal="left" vertical="top" wrapText="1"/>
    </xf>
    <xf numFmtId="167" fontId="9" fillId="2" borderId="2" xfId="0" applyNumberFormat="1" applyFont="1" applyFill="1" applyBorder="1" applyAlignment="1">
      <alignment horizontal="center" vertical="center"/>
    </xf>
    <xf numFmtId="0" fontId="9" fillId="2" borderId="2" xfId="6" applyFont="1" applyFill="1" applyBorder="1" applyAlignment="1">
      <alignment horizontal="left" vertical="center" wrapText="1"/>
    </xf>
    <xf numFmtId="169" fontId="3" fillId="2" borderId="2" xfId="0" applyNumberFormat="1" applyFont="1" applyFill="1" applyBorder="1" applyAlignment="1">
      <alignment horizontal="center" vertical="center" wrapText="1"/>
    </xf>
    <xf numFmtId="0" fontId="4" fillId="0" borderId="53" xfId="0" applyFont="1" applyFill="1" applyBorder="1" applyAlignment="1">
      <alignment vertical="center" wrapText="1"/>
    </xf>
    <xf numFmtId="0" fontId="14" fillId="0" borderId="3" xfId="0" applyFont="1" applyBorder="1" applyAlignment="1"/>
    <xf numFmtId="0" fontId="14" fillId="0" borderId="4" xfId="0" applyFont="1" applyBorder="1" applyAlignment="1"/>
    <xf numFmtId="0" fontId="14" fillId="0" borderId="3" xfId="0" applyFont="1" applyBorder="1" applyAlignment="1">
      <alignment wrapText="1"/>
    </xf>
    <xf numFmtId="0" fontId="14" fillId="0" borderId="4" xfId="0" applyFont="1" applyBorder="1" applyAlignment="1">
      <alignment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4" xfId="0" applyFont="1" applyBorder="1" applyAlignment="1">
      <alignment vertical="center" wrapText="1"/>
    </xf>
    <xf numFmtId="164" fontId="3" fillId="0" borderId="0" xfId="0" applyNumberFormat="1" applyFont="1" applyAlignment="1">
      <alignment wrapText="1"/>
    </xf>
    <xf numFmtId="165" fontId="3" fillId="0" borderId="53" xfId="0" applyNumberFormat="1" applyFont="1" applyFill="1" applyBorder="1" applyAlignment="1">
      <alignment horizontal="center" vertical="center" wrapText="1"/>
    </xf>
    <xf numFmtId="164" fontId="3" fillId="0" borderId="53" xfId="0" applyNumberFormat="1" applyFont="1" applyFill="1" applyBorder="1" applyAlignment="1">
      <alignment horizontal="center" vertical="center" wrapText="1"/>
    </xf>
    <xf numFmtId="167" fontId="4" fillId="0" borderId="2" xfId="0" applyNumberFormat="1" applyFont="1" applyFill="1" applyBorder="1" applyAlignment="1">
      <alignment horizontal="left" vertical="center" wrapText="1"/>
    </xf>
    <xf numFmtId="0" fontId="4" fillId="0" borderId="2" xfId="0" applyFont="1" applyFill="1" applyBorder="1" applyAlignment="1">
      <alignment horizontal="center" vertical="center"/>
    </xf>
    <xf numFmtId="0" fontId="3" fillId="0" borderId="2" xfId="0" applyFont="1" applyFill="1" applyBorder="1" applyAlignment="1">
      <alignment horizontal="left" vertical="center" wrapText="1"/>
    </xf>
    <xf numFmtId="0" fontId="4" fillId="0" borderId="2" xfId="0" applyFont="1" applyBorder="1" applyAlignment="1">
      <alignment vertical="center" wrapText="1"/>
    </xf>
    <xf numFmtId="0" fontId="4" fillId="0" borderId="2" xfId="0" applyFont="1" applyFill="1" applyBorder="1" applyAlignment="1">
      <alignment vertical="center" wrapText="1"/>
    </xf>
    <xf numFmtId="166" fontId="4" fillId="4" borderId="2" xfId="0" applyNumberFormat="1" applyFont="1" applyFill="1" applyBorder="1"/>
    <xf numFmtId="0" fontId="9" fillId="4" borderId="6" xfId="0" applyFont="1" applyFill="1" applyBorder="1" applyAlignment="1">
      <alignment horizontal="left" vertical="center" wrapText="1"/>
    </xf>
    <xf numFmtId="0" fontId="9" fillId="4" borderId="8" xfId="0" applyFont="1" applyFill="1" applyBorder="1" applyAlignment="1">
      <alignment horizontal="left" vertical="center" wrapText="1"/>
    </xf>
    <xf numFmtId="0" fontId="9" fillId="4" borderId="9" xfId="0" applyFont="1" applyFill="1" applyBorder="1" applyAlignment="1">
      <alignment horizontal="left" vertical="center" wrapText="1"/>
    </xf>
    <xf numFmtId="0" fontId="21" fillId="2" borderId="2" xfId="0" applyFont="1" applyFill="1" applyBorder="1" applyAlignment="1">
      <alignment horizontal="center" vertical="center" wrapText="1"/>
    </xf>
    <xf numFmtId="0" fontId="4" fillId="0" borderId="0" xfId="0" applyFont="1" applyAlignment="1">
      <alignment horizontal="center"/>
    </xf>
    <xf numFmtId="173" fontId="4" fillId="0" borderId="0" xfId="1" applyNumberFormat="1" applyFont="1" applyAlignment="1">
      <alignment horizontal="center" vertical="center"/>
    </xf>
    <xf numFmtId="173" fontId="3" fillId="2" borderId="2" xfId="1" applyNumberFormat="1" applyFont="1" applyFill="1" applyBorder="1" applyAlignment="1">
      <alignment horizontal="center" vertical="center" wrapText="1"/>
    </xf>
    <xf numFmtId="173" fontId="4" fillId="2" borderId="2" xfId="1" applyNumberFormat="1" applyFont="1" applyFill="1" applyBorder="1" applyAlignment="1">
      <alignment horizontal="center" vertical="center" wrapText="1"/>
    </xf>
    <xf numFmtId="173" fontId="4" fillId="0" borderId="2" xfId="1" applyNumberFormat="1" applyFont="1" applyFill="1" applyBorder="1" applyAlignment="1">
      <alignment horizontal="center" vertical="center" wrapText="1"/>
    </xf>
    <xf numFmtId="173" fontId="4" fillId="0" borderId="2" xfId="1" applyNumberFormat="1" applyFont="1" applyFill="1" applyBorder="1" applyAlignment="1">
      <alignment horizontal="center" vertical="center" wrapText="1"/>
    </xf>
    <xf numFmtId="173" fontId="4" fillId="0" borderId="53" xfId="1" applyNumberFormat="1" applyFont="1" applyFill="1" applyBorder="1" applyAlignment="1">
      <alignment horizontal="center" vertical="center" wrapText="1"/>
    </xf>
    <xf numFmtId="173" fontId="20" fillId="0" borderId="2" xfId="1" applyNumberFormat="1" applyFont="1" applyFill="1" applyBorder="1" applyAlignment="1">
      <alignment horizontal="center" vertical="center" wrapText="1"/>
    </xf>
    <xf numFmtId="173" fontId="4" fillId="0" borderId="3" xfId="1" applyNumberFormat="1" applyFont="1" applyFill="1" applyBorder="1" applyAlignment="1">
      <alignment horizontal="center" vertical="center" wrapText="1"/>
    </xf>
    <xf numFmtId="173" fontId="4" fillId="0" borderId="4" xfId="1" applyNumberFormat="1" applyFont="1" applyFill="1" applyBorder="1" applyAlignment="1">
      <alignment horizontal="center" vertical="center" wrapText="1"/>
    </xf>
    <xf numFmtId="173" fontId="4" fillId="0" borderId="56" xfId="1" applyNumberFormat="1" applyFont="1" applyBorder="1" applyAlignment="1">
      <alignment horizontal="center" vertical="center"/>
    </xf>
    <xf numFmtId="173" fontId="4" fillId="0" borderId="16" xfId="1" applyNumberFormat="1" applyFont="1" applyBorder="1" applyAlignment="1">
      <alignment horizontal="center" vertical="center"/>
    </xf>
    <xf numFmtId="173" fontId="4" fillId="0" borderId="14" xfId="1" applyNumberFormat="1" applyFont="1" applyBorder="1" applyAlignment="1">
      <alignment horizontal="center" vertical="center"/>
    </xf>
    <xf numFmtId="173" fontId="4" fillId="0" borderId="53" xfId="1" applyNumberFormat="1" applyFont="1" applyFill="1" applyBorder="1" applyAlignment="1">
      <alignment horizontal="center" vertical="center"/>
    </xf>
    <xf numFmtId="173" fontId="4" fillId="0" borderId="3" xfId="1" applyNumberFormat="1" applyFont="1" applyFill="1" applyBorder="1" applyAlignment="1">
      <alignment horizontal="center" vertical="center"/>
    </xf>
    <xf numFmtId="173" fontId="4" fillId="0" borderId="4" xfId="1" applyNumberFormat="1" applyFont="1" applyFill="1" applyBorder="1" applyAlignment="1">
      <alignment horizontal="center" vertical="center"/>
    </xf>
    <xf numFmtId="173" fontId="3" fillId="4" borderId="2" xfId="1" applyNumberFormat="1" applyFont="1" applyFill="1" applyBorder="1" applyAlignment="1">
      <alignment horizontal="center" vertical="center"/>
    </xf>
    <xf numFmtId="173" fontId="9" fillId="2" borderId="2" xfId="1" applyNumberFormat="1" applyFont="1" applyFill="1" applyBorder="1" applyAlignment="1">
      <alignment horizontal="center" vertical="center" wrapText="1"/>
    </xf>
    <xf numFmtId="173" fontId="7" fillId="2" borderId="2" xfId="1" applyNumberFormat="1" applyFont="1" applyFill="1" applyBorder="1" applyAlignment="1">
      <alignment horizontal="center" vertical="center" wrapText="1"/>
    </xf>
    <xf numFmtId="173" fontId="7" fillId="2" borderId="2" xfId="1" applyNumberFormat="1" applyFont="1" applyFill="1" applyBorder="1" applyAlignment="1">
      <alignment horizontal="center" vertical="center"/>
    </xf>
    <xf numFmtId="173" fontId="7" fillId="2" borderId="2" xfId="1" applyNumberFormat="1" applyFont="1" applyFill="1" applyBorder="1" applyAlignment="1">
      <alignment horizontal="center" vertical="center" wrapText="1"/>
    </xf>
    <xf numFmtId="173" fontId="4" fillId="2" borderId="2" xfId="1" applyNumberFormat="1" applyFont="1" applyFill="1" applyBorder="1" applyAlignment="1">
      <alignment horizontal="center" vertical="center" wrapText="1"/>
    </xf>
    <xf numFmtId="173" fontId="48" fillId="2" borderId="2" xfId="1" applyNumberFormat="1" applyFont="1" applyFill="1" applyBorder="1" applyAlignment="1">
      <alignment horizontal="center" vertical="center" wrapText="1"/>
    </xf>
    <xf numFmtId="173" fontId="7" fillId="2" borderId="2" xfId="1" applyNumberFormat="1" applyFont="1" applyFill="1" applyBorder="1" applyAlignment="1">
      <alignment horizontal="center" vertical="center"/>
    </xf>
    <xf numFmtId="173" fontId="48" fillId="2" borderId="2" xfId="1" applyNumberFormat="1" applyFont="1" applyFill="1" applyBorder="1" applyAlignment="1">
      <alignment vertical="center" wrapText="1"/>
    </xf>
    <xf numFmtId="173" fontId="9" fillId="4" borderId="2" xfId="1" applyNumberFormat="1" applyFont="1" applyFill="1" applyBorder="1" applyAlignment="1">
      <alignment horizontal="center" vertical="center" wrapText="1"/>
    </xf>
    <xf numFmtId="173" fontId="4" fillId="0" borderId="0" xfId="1" applyNumberFormat="1" applyFont="1"/>
    <xf numFmtId="49" fontId="3" fillId="0" borderId="2" xfId="1" applyNumberFormat="1" applyFont="1" applyFill="1" applyBorder="1" applyAlignment="1">
      <alignment horizontal="center" vertical="center"/>
    </xf>
    <xf numFmtId="173" fontId="4" fillId="2" borderId="2" xfId="1" applyNumberFormat="1" applyFont="1" applyFill="1" applyBorder="1" applyAlignment="1">
      <alignment horizontal="center" vertical="center"/>
    </xf>
    <xf numFmtId="173" fontId="3" fillId="4" borderId="9" xfId="1" applyNumberFormat="1" applyFont="1" applyFill="1" applyBorder="1" applyAlignment="1">
      <alignment vertical="center" wrapText="1"/>
    </xf>
  </cellXfs>
  <cellStyles count="221">
    <cellStyle name="20% - Accent1" xfId="32"/>
    <cellStyle name="20% - Accent2" xfId="33"/>
    <cellStyle name="20% - Accent3" xfId="34"/>
    <cellStyle name="20% - Accent4" xfId="35"/>
    <cellStyle name="20% - Accent5" xfId="36"/>
    <cellStyle name="20% - Accent6" xfId="37"/>
    <cellStyle name="40% - Accent1" xfId="38"/>
    <cellStyle name="40% - Accent2" xfId="39"/>
    <cellStyle name="40% - Accent3" xfId="40"/>
    <cellStyle name="40% - Accent4" xfId="41"/>
    <cellStyle name="40% - Accent5" xfId="42"/>
    <cellStyle name="40% - Accent6" xfId="43"/>
    <cellStyle name="60% - Accent1" xfId="44"/>
    <cellStyle name="60% - Accent2" xfId="45"/>
    <cellStyle name="60% - Accent3" xfId="46"/>
    <cellStyle name="60% - Accent4" xfId="47"/>
    <cellStyle name="60% - Accent5" xfId="48"/>
    <cellStyle name="60% - Accent6" xfId="49"/>
    <cellStyle name="Accent1" xfId="50"/>
    <cellStyle name="Accent2" xfId="51"/>
    <cellStyle name="Accent3" xfId="52"/>
    <cellStyle name="Accent4" xfId="53"/>
    <cellStyle name="Accent5" xfId="54"/>
    <cellStyle name="Accent6" xfId="55"/>
    <cellStyle name="Bad" xfId="56"/>
    <cellStyle name="Calculation" xfId="57"/>
    <cellStyle name="Calculation 2" xfId="58"/>
    <cellStyle name="Check Cell" xfId="59"/>
    <cellStyle name="Excel Built-in Normal" xfId="11"/>
    <cellStyle name="Explanatory Text" xfId="60"/>
    <cellStyle name="Good" xfId="61"/>
    <cellStyle name="Heading 1" xfId="62"/>
    <cellStyle name="Heading 2" xfId="63"/>
    <cellStyle name="Heading 3" xfId="64"/>
    <cellStyle name="Heading 4" xfId="65"/>
    <cellStyle name="Input" xfId="66"/>
    <cellStyle name="Input 2" xfId="67"/>
    <cellStyle name="Linked Cell" xfId="68"/>
    <cellStyle name="Neutral" xfId="69"/>
    <cellStyle name="Normal 4" xfId="70"/>
    <cellStyle name="Normal_Sheet1" xfId="71"/>
    <cellStyle name="Note" xfId="72"/>
    <cellStyle name="Note 2" xfId="73"/>
    <cellStyle name="Output" xfId="74"/>
    <cellStyle name="Output 2" xfId="75"/>
    <cellStyle name="Title" xfId="76"/>
    <cellStyle name="Total" xfId="77"/>
    <cellStyle name="Total 2" xfId="78"/>
    <cellStyle name="Warning Text" xfId="79"/>
    <cellStyle name="Денежный 2" xfId="80"/>
    <cellStyle name="Денежный 2 2" xfId="81"/>
    <cellStyle name="Обычный" xfId="0" builtinId="0"/>
    <cellStyle name="Обычный 10" xfId="5"/>
    <cellStyle name="Обычный 10 2" xfId="13"/>
    <cellStyle name="Обычный 11" xfId="4"/>
    <cellStyle name="Обычный 12" xfId="82"/>
    <cellStyle name="Обычный 13" xfId="83"/>
    <cellStyle name="Обычный 14" xfId="84"/>
    <cellStyle name="Обычный 15" xfId="16"/>
    <cellStyle name="Обычный 15 2" xfId="27"/>
    <cellStyle name="Обычный 15 3" xfId="85"/>
    <cellStyle name="Обычный 18" xfId="86"/>
    <cellStyle name="Обычный 19" xfId="87"/>
    <cellStyle name="Обычный 2" xfId="6"/>
    <cellStyle name="Обычный 2 2" xfId="14"/>
    <cellStyle name="Обычный 2 2 2" xfId="88"/>
    <cellStyle name="Обычный 2 2 3" xfId="30"/>
    <cellStyle name="Обычный 2 2 4" xfId="89"/>
    <cellStyle name="Обычный 2 3" xfId="90"/>
    <cellStyle name="Обычный 2 4" xfId="91"/>
    <cellStyle name="Обычный 2 5" xfId="92"/>
    <cellStyle name="Обычный 2 5 2" xfId="93"/>
    <cellStyle name="Обычный 2_09.04.2014_Programme budget 2014_Education_Modified" xfId="17"/>
    <cellStyle name="Обычный 2_Бюджетный циркуляр 2015г.Нацстат" xfId="31"/>
    <cellStyle name="Обычный 2_Бюджетный циркуляр 2015г.Нацстат 2" xfId="220"/>
    <cellStyle name="Обычный 20" xfId="94"/>
    <cellStyle name="Обычный 3" xfId="12"/>
    <cellStyle name="Обычный 3 2" xfId="95"/>
    <cellStyle name="Обычный 3 3" xfId="96"/>
    <cellStyle name="Обычный 3 3 2" xfId="97"/>
    <cellStyle name="Обычный 3 3 2 2" xfId="98"/>
    <cellStyle name="Обычный 3 3 2 2 2" xfId="99"/>
    <cellStyle name="Обычный 3 3 2 2 3" xfId="100"/>
    <cellStyle name="Обычный 3 3 2 3" xfId="101"/>
    <cellStyle name="Обычный 3 3 2 4" xfId="102"/>
    <cellStyle name="Обычный 3 3 2_09.04.2014_Programme budget 2014_Education_Modified" xfId="103"/>
    <cellStyle name="Обычный 3 3 3" xfId="104"/>
    <cellStyle name="Обычный 3 3 3 2" xfId="105"/>
    <cellStyle name="Обычный 3 3 3 3" xfId="106"/>
    <cellStyle name="Обычный 3 3 4" xfId="107"/>
    <cellStyle name="Обычный 3 3 5" xfId="108"/>
    <cellStyle name="Обычный 3 3_09.04.2014_Programme budget 2014_Education_Modified" xfId="109"/>
    <cellStyle name="Обычный 3 4" xfId="110"/>
    <cellStyle name="Обычный 3 4 2" xfId="111"/>
    <cellStyle name="Обычный 3 4 2 2" xfId="112"/>
    <cellStyle name="Обычный 3 4 2 3" xfId="113"/>
    <cellStyle name="Обычный 3 4 3" xfId="114"/>
    <cellStyle name="Обычный 3 4 4" xfId="115"/>
    <cellStyle name="Обычный 3 4_09.04.2014_Programme budget 2014_Education_Modified" xfId="116"/>
    <cellStyle name="Обычный 3 5" xfId="117"/>
    <cellStyle name="Обычный 3 5 2" xfId="118"/>
    <cellStyle name="Обычный 3 5 3" xfId="119"/>
    <cellStyle name="Обычный 3 6" xfId="120"/>
    <cellStyle name="Обычный 3 7" xfId="121"/>
    <cellStyle name="Обычный 3_09.04.2014_Programme budget 2014_Education_Modified" xfId="122"/>
    <cellStyle name="Обычный 4" xfId="123"/>
    <cellStyle name="Обычный 4 10" xfId="124"/>
    <cellStyle name="Обычный 4 2" xfId="125"/>
    <cellStyle name="Обычный 4 2 2" xfId="126"/>
    <cellStyle name="Обычный 4 2 2 2" xfId="127"/>
    <cellStyle name="Обычный 4 2 2 3" xfId="128"/>
    <cellStyle name="Обычный 4 2 3" xfId="129"/>
    <cellStyle name="Обычный 4 2 4" xfId="130"/>
    <cellStyle name="Обычный 4 2 5" xfId="131"/>
    <cellStyle name="Обычный 4 2_09.04.2014_Programme budget 2014_Education_Modified" xfId="132"/>
    <cellStyle name="Обычный 4 3" xfId="133"/>
    <cellStyle name="Обычный 4 3 2" xfId="134"/>
    <cellStyle name="Обычный 4 3 3" xfId="135"/>
    <cellStyle name="Обычный 4 4" xfId="136"/>
    <cellStyle name="Обычный 4 5" xfId="137"/>
    <cellStyle name="Обычный 4 6" xfId="138"/>
    <cellStyle name="Обычный 4 7" xfId="139"/>
    <cellStyle name="Обычный 4_09.04.2014_Programme budget 2014_Education_Modified" xfId="140"/>
    <cellStyle name="Обычный 5" xfId="141"/>
    <cellStyle name="Обычный 5 2" xfId="29"/>
    <cellStyle name="Обычный 5 3" xfId="142"/>
    <cellStyle name="Обычный 5 4" xfId="143"/>
    <cellStyle name="Обычный 5 5" xfId="144"/>
    <cellStyle name="Обычный 6" xfId="145"/>
    <cellStyle name="Обычный 6 2" xfId="146"/>
    <cellStyle name="Обычный 6 2 2" xfId="147"/>
    <cellStyle name="Обычный 6 2 2 2" xfId="148"/>
    <cellStyle name="Обычный 6 2 2 3" xfId="149"/>
    <cellStyle name="Обычный 6 2 3" xfId="150"/>
    <cellStyle name="Обычный 6 2 4" xfId="151"/>
    <cellStyle name="Обычный 6 2_09.04.2014_Programme budget 2014_Education_Modified" xfId="152"/>
    <cellStyle name="Обычный 6 3" xfId="153"/>
    <cellStyle name="Обычный 6 3 2" xfId="154"/>
    <cellStyle name="Обычный 6 3 3" xfId="155"/>
    <cellStyle name="Обычный 6 4" xfId="156"/>
    <cellStyle name="Обычный 6 5" xfId="157"/>
    <cellStyle name="Обычный 6 6" xfId="158"/>
    <cellStyle name="Обычный 6_09.04.2014_Programme budget 2014_Education_Modified" xfId="159"/>
    <cellStyle name="Обычный 7" xfId="21"/>
    <cellStyle name="Обычный 7 2" xfId="160"/>
    <cellStyle name="Обычный 7 3" xfId="24"/>
    <cellStyle name="Обычный 8" xfId="15"/>
    <cellStyle name="Обычный 9" xfId="161"/>
    <cellStyle name="Обычный_Лист5" xfId="22"/>
    <cellStyle name="Процентный" xfId="2" builtinId="5"/>
    <cellStyle name="Процентный 2" xfId="162"/>
    <cellStyle name="Процентный 2 2" xfId="163"/>
    <cellStyle name="Процентный 2 3" xfId="164"/>
    <cellStyle name="Процентный 2 4" xfId="165"/>
    <cellStyle name="Процентный 3" xfId="166"/>
    <cellStyle name="Процентный 4" xfId="9"/>
    <cellStyle name="Процентный 4 2" xfId="23"/>
    <cellStyle name="Процентный 5" xfId="167"/>
    <cellStyle name="Процентный 5 2" xfId="26"/>
    <cellStyle name="Процентный 6" xfId="168"/>
    <cellStyle name="Стиль 1" xfId="169"/>
    <cellStyle name="Финансовый" xfId="1" builtinId="3"/>
    <cellStyle name="Финансовый 10" xfId="170"/>
    <cellStyle name="Финансовый 10 2" xfId="3"/>
    <cellStyle name="Финансовый 11" xfId="171"/>
    <cellStyle name="Финансовый 2" xfId="19"/>
    <cellStyle name="Финансовый 2 2" xfId="172"/>
    <cellStyle name="Финансовый 2 2 2" xfId="173"/>
    <cellStyle name="Финансовый 2 2 2 2" xfId="174"/>
    <cellStyle name="Финансовый 2 2 2 2 2" xfId="175"/>
    <cellStyle name="Финансовый 2 2 2 2 2 2" xfId="176"/>
    <cellStyle name="Финансовый 2 2 2 2 3" xfId="177"/>
    <cellStyle name="Финансовый 2 2 2 2 3 2" xfId="178"/>
    <cellStyle name="Финансовый 2 2 2 2 4" xfId="179"/>
    <cellStyle name="Финансовый 2 2 2 3" xfId="180"/>
    <cellStyle name="Финансовый 2 2 2 3 2" xfId="181"/>
    <cellStyle name="Финансовый 2 2 2 4" xfId="182"/>
    <cellStyle name="Финансовый 2 2 2 4 2" xfId="183"/>
    <cellStyle name="Финансовый 2 2 2 5" xfId="184"/>
    <cellStyle name="Финансовый 2 2 3" xfId="185"/>
    <cellStyle name="Финансовый 2 2 3 2" xfId="186"/>
    <cellStyle name="Финансовый 2 2 3 2 2" xfId="187"/>
    <cellStyle name="Финансовый 2 2 3 3" xfId="188"/>
    <cellStyle name="Финансовый 2 2 3 3 2" xfId="189"/>
    <cellStyle name="Финансовый 2 2 3 4" xfId="190"/>
    <cellStyle name="Финансовый 2 2 4" xfId="191"/>
    <cellStyle name="Финансовый 2 2 4 2" xfId="192"/>
    <cellStyle name="Финансовый 2 2 5" xfId="193"/>
    <cellStyle name="Финансовый 2 2 5 2" xfId="194"/>
    <cellStyle name="Финансовый 2 2 6" xfId="195"/>
    <cellStyle name="Финансовый 2 3" xfId="20"/>
    <cellStyle name="Финансовый 2 3 2" xfId="196"/>
    <cellStyle name="Финансовый 2 4" xfId="197"/>
    <cellStyle name="Финансовый 2 4 2" xfId="198"/>
    <cellStyle name="Финансовый 2 5" xfId="199"/>
    <cellStyle name="Финансовый 2 6" xfId="200"/>
    <cellStyle name="Финансовый 2 7" xfId="201"/>
    <cellStyle name="Финансовый 2 8" xfId="202"/>
    <cellStyle name="Финансовый 3" xfId="8"/>
    <cellStyle name="Финансовый 3 2" xfId="18"/>
    <cellStyle name="Финансовый 3 2 2" xfId="203"/>
    <cellStyle name="Финансовый 3 3" xfId="204"/>
    <cellStyle name="Финансовый 3 3 2" xfId="205"/>
    <cellStyle name="Финансовый 3 4" xfId="206"/>
    <cellStyle name="Финансовый 3 4 2" xfId="207"/>
    <cellStyle name="Финансовый 3 5" xfId="208"/>
    <cellStyle name="Финансовый 3 6" xfId="209"/>
    <cellStyle name="Финансовый 3 7" xfId="210"/>
    <cellStyle name="Финансовый 3 8" xfId="211"/>
    <cellStyle name="Финансовый 4" xfId="7"/>
    <cellStyle name="Финансовый 4 2" xfId="212"/>
    <cellStyle name="Финансовый 4 3" xfId="213"/>
    <cellStyle name="Финансовый 4 4" xfId="28"/>
    <cellStyle name="Финансовый 5" xfId="10"/>
    <cellStyle name="Финансовый 5 2" xfId="214"/>
    <cellStyle name="Финансовый 5 3" xfId="25"/>
    <cellStyle name="Финансовый 6" xfId="215"/>
    <cellStyle name="Финансовый 7" xfId="216"/>
    <cellStyle name="Финансовый 7 2" xfId="217"/>
    <cellStyle name="Финансовый 8" xfId="218"/>
    <cellStyle name="Финансовый 9" xfId="2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3.xml"/><Relationship Id="rId10"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1041;&#1102;&#1076;&#1078;&#1077;&#1090;%202010%20&#1085;&#1086;&#1074;1\Form2-10%20&#1082;&#1086;&#1085;&#1090;&#10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1041;&#1091;&#1093;-&#1103;%202021&#1075;/&#1057;&#1084;&#1077;&#1090;&#1072;%20&#1079;&#1072;%202021&#1075;&#1086;&#1076;/1.%20&#1055;&#1056;&#1054;&#1045;&#1050;&#1058;-&#1089;&#1084;&#1077;&#1090;&#1072;%20%202021-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048;&#1088;&#1089;&#1077;&#1085;&#1072;%20%20&#1059;&#1041;&#1055;/&#1055;&#1088;&#1086;&#1075;&#1088;&#1072;&#1084;%20&#1073;&#1102;&#1076;&#1078;&#1077;&#1090;%202021%20&#1075;/&#1043;&#1057;&#1069;&#1057;%20&#1085;&#1072;%202021-2023&#1075;&#1075;%20-%20&#1082;&#1099;&#1088;&#1075;&#1099;&#1079;&#1095;&#10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орма 2_3_4"/>
      <sheetName val="Lists"/>
    </sheetNames>
    <sheetDataSet>
      <sheetData sheetId="0"/>
      <sheetData sheetId="1">
        <row r="3">
          <cell r="D3" t="str">
            <v xml:space="preserve">21111100 Основная заработная плата </v>
          </cell>
        </row>
        <row r="4">
          <cell r="D4" t="str">
            <v>21111200 Надбавки</v>
          </cell>
        </row>
        <row r="5">
          <cell r="D5" t="str">
            <v>21111300 Дополнительные  выплаты и компенсации</v>
          </cell>
        </row>
        <row r="6">
          <cell r="D6" t="str">
            <v>21112100 Работники, нанятые по контракту или на временной основе</v>
          </cell>
        </row>
        <row r="7">
          <cell r="D7" t="str">
            <v>21211100 Взносы в Пенсионный фонд</v>
          </cell>
        </row>
        <row r="8">
          <cell r="D8" t="str">
            <v>21211200 Взносы в Фонд медицинского страхования</v>
          </cell>
        </row>
        <row r="9">
          <cell r="D9" t="str">
            <v>22111100 Транспортные расходы</v>
          </cell>
        </row>
        <row r="10">
          <cell r="D10" t="str">
            <v>22111200 Гостиничные расходы</v>
          </cell>
        </row>
        <row r="11">
          <cell r="D11" t="str">
            <v>22111300 Суточные расходы</v>
          </cell>
        </row>
        <row r="12">
          <cell r="D12" t="str">
            <v>22112100 Транспортные расходы</v>
          </cell>
        </row>
        <row r="13">
          <cell r="D13" t="str">
            <v>22112200 Гостиничные расходы</v>
          </cell>
        </row>
        <row r="14">
          <cell r="D14" t="str">
            <v>22112300 Суточные расходы</v>
          </cell>
        </row>
        <row r="15">
          <cell r="D15" t="str">
            <v>22121100 Плата за воду</v>
          </cell>
        </row>
        <row r="16">
          <cell r="D16" t="str">
            <v>22121200 Плата за электроэнергию</v>
          </cell>
        </row>
        <row r="17">
          <cell r="D17" t="str">
            <v>22121300 Плата за теплоэнергию</v>
          </cell>
        </row>
        <row r="18">
          <cell r="D18" t="str">
            <v>22121400 Плата за газ</v>
          </cell>
        </row>
        <row r="19">
          <cell r="D19" t="str">
            <v>22121900 Прочие коммунальные услуги</v>
          </cell>
        </row>
        <row r="20">
          <cell r="D20" t="str">
            <v>22122100 Услуги телефонной и факсимильной связи</v>
          </cell>
        </row>
        <row r="21">
          <cell r="D21" t="str">
            <v>22122200 Услуги сотовой связи</v>
          </cell>
        </row>
        <row r="22">
          <cell r="D22" t="str">
            <v>22122300 Услуги фельдъегерской связи</v>
          </cell>
        </row>
        <row r="23">
          <cell r="D23" t="str">
            <v>22122400 Услуги почтовой связи</v>
          </cell>
        </row>
        <row r="24">
          <cell r="D24" t="str">
            <v>22122500 Плата за услуги по трансляции телерадиопрограмм</v>
          </cell>
        </row>
        <row r="25">
          <cell r="D25" t="str">
            <v>22122900 Прочие услуги связи</v>
          </cell>
        </row>
        <row r="26">
          <cell r="D26" t="str">
            <v xml:space="preserve">22131100 Аренда зданий и помещений </v>
          </cell>
        </row>
        <row r="27">
          <cell r="D27" t="str">
            <v>22131200 Аренда оборудования и инвентаря</v>
          </cell>
        </row>
        <row r="28">
          <cell r="D28" t="str">
            <v xml:space="preserve">22131300 Аренда транспортных средств </v>
          </cell>
        </row>
        <row r="29">
          <cell r="D29" t="str">
            <v>22131900 Аренда прочего имущества</v>
          </cell>
        </row>
        <row r="30">
          <cell r="D30" t="str">
            <v xml:space="preserve">22141100 Бензин, дизель и прочее топливо </v>
          </cell>
        </row>
        <row r="31">
          <cell r="D31" t="str">
            <v>22141200 Приобретение запасных частей</v>
          </cell>
        </row>
        <row r="32">
          <cell r="D32" t="str">
            <v xml:space="preserve">22141300 Обслуживание транспортных средств </v>
          </cell>
        </row>
        <row r="33">
          <cell r="D33" t="str">
            <v>22141900 Прочие транспортные услуги</v>
          </cell>
        </row>
        <row r="34">
          <cell r="D34" t="str">
            <v>22151100 Юридические услуги</v>
          </cell>
        </row>
        <row r="35">
          <cell r="D35" t="str">
            <v>22151200 Услуги консультантов</v>
          </cell>
        </row>
        <row r="36">
          <cell r="D36" t="str">
            <v>22151300 Услуги вневедомственной охраны</v>
          </cell>
        </row>
        <row r="37">
          <cell r="D37" t="str">
            <v>22151400 Услуги в области информационных технологий</v>
          </cell>
        </row>
        <row r="38">
          <cell r="D38" t="str">
            <v>22151900 Прочие услуги, оказанные по контракту</v>
          </cell>
        </row>
        <row r="39">
          <cell r="D39" t="str">
            <v>22152100 Текущий ремонт зданий и помещений</v>
          </cell>
        </row>
        <row r="40">
          <cell r="D40" t="str">
            <v>22152200 Текущий ремонт сооружений</v>
          </cell>
        </row>
        <row r="41">
          <cell r="D41" t="str">
            <v>22152300 Текущий ремонт оборудования и инвентаря</v>
          </cell>
        </row>
        <row r="42">
          <cell r="D42" t="str">
            <v>22153100 Санитарные услуги в содержании зданий и помещений</v>
          </cell>
        </row>
        <row r="43">
          <cell r="D43" t="str">
            <v>22153200 Реставрация памятников истории и культуры</v>
          </cell>
        </row>
        <row r="44">
          <cell r="D44" t="str">
            <v>22153900 Прочие услуги по содержанию зданий, помещений и иного имущества</v>
          </cell>
        </row>
        <row r="45">
          <cell r="D45" t="str">
            <v>22154100 Обучение государственных служащих</v>
          </cell>
        </row>
        <row r="46">
          <cell r="D46" t="str">
            <v>22155300 Приобретение оборудования и материалов</v>
          </cell>
        </row>
        <row r="47">
          <cell r="D47" t="str">
            <v>22155400 Приобретение, пошив и ремонт предметов вещевого имущества и другого форменного и специального обмундирования</v>
          </cell>
        </row>
        <row r="48">
          <cell r="D48" t="str">
            <v>22155500 Приобретение угля</v>
          </cell>
        </row>
        <row r="49">
          <cell r="D49" t="str">
            <v>22155900 Прочие приобретения предметов и материалов для текущих хозяйственных целей</v>
          </cell>
        </row>
        <row r="50">
          <cell r="D50" t="str">
            <v xml:space="preserve">22156100 Представительские расходы </v>
          </cell>
        </row>
        <row r="51">
          <cell r="D51" t="str">
            <v>22156200 Расходы за изготовление бланков</v>
          </cell>
        </row>
        <row r="52">
          <cell r="D52" t="str">
            <v xml:space="preserve">22156900 Прочие расходы, связанные с оплатой прочих услуг  </v>
          </cell>
        </row>
        <row r="53">
          <cell r="D53" t="str">
            <v>22157100 Финансовые услуги по выпуску размещению и погашению государственных ценных бумаг</v>
          </cell>
        </row>
        <row r="54">
          <cell r="D54" t="str">
            <v>22157200 Прочие услуги по выпуску размещению и погашению государственных ценных бумаг</v>
          </cell>
        </row>
        <row r="55">
          <cell r="D55" t="str">
            <v>22157300 Прочие услуги Национального Банка, Коммерческих банков, финансово-кредитных учреждений</v>
          </cell>
        </row>
        <row r="56">
          <cell r="D56" t="str">
            <v xml:space="preserve">22157400 Услуги АКБ по обслуживанию системы казначейства </v>
          </cell>
        </row>
        <row r="57">
          <cell r="D57" t="str">
            <v>22161100 Расходы, представленные единой статьей в системе здравоохранения (Единый плательщик)</v>
          </cell>
        </row>
        <row r="58">
          <cell r="D58" t="str">
            <v>22171100 Приобретение медикаментов и  изделий медицинского назначения</v>
          </cell>
        </row>
        <row r="59">
          <cell r="D59" t="str">
            <v>22171200 Приобретение инсулина и инсулиносодержащих проепаратов</v>
          </cell>
        </row>
        <row r="60">
          <cell r="D60" t="str">
            <v>22181100 Приобретение продуктов питания</v>
          </cell>
        </row>
        <row r="61">
          <cell r="D61" t="str">
            <v>22181200 Компенсационные выплаты на продукты питания</v>
          </cell>
        </row>
        <row r="62">
          <cell r="D62" t="str">
            <v>24111100 Выплата процентов по займам, полученным от иностранных государств и международных организаций</v>
          </cell>
        </row>
        <row r="63">
          <cell r="D63" t="str">
            <v>24211100 Выплата процентов по государственным краткосрочным ценным бумагам</v>
          </cell>
        </row>
        <row r="64">
          <cell r="D64" t="str">
            <v>24211200 Выплата процентов по государственным долгосрочным ценным бумагам</v>
          </cell>
        </row>
        <row r="65">
          <cell r="D65" t="str">
            <v>24221100 Погашение задолженности населению по индексированным суммам</v>
          </cell>
        </row>
        <row r="66">
          <cell r="D66" t="str">
            <v>24311100 Выплата процентов другим единицам сектора госуправления</v>
          </cell>
        </row>
        <row r="67">
          <cell r="D67" t="str">
            <v>25111100 Субсидии нефинансовым государственным предприятиям</v>
          </cell>
        </row>
        <row r="68">
          <cell r="D68" t="str">
            <v>25121100 Субсидии финансовым государственным предприятиям</v>
          </cell>
        </row>
        <row r="69">
          <cell r="D69" t="str">
            <v>25211100 Субсидии нефинансовым частным предприятиям</v>
          </cell>
        </row>
        <row r="70">
          <cell r="D70" t="str">
            <v>25221100 Субсидии финансовым частным предприятиям</v>
          </cell>
        </row>
        <row r="71">
          <cell r="D71" t="str">
            <v>26111100 Текущие гранты правительствам иностранных государств</v>
          </cell>
        </row>
        <row r="72">
          <cell r="D72" t="str">
            <v>26121100 Капитальные гранты правительствам иностранных государств</v>
          </cell>
        </row>
        <row r="73">
          <cell r="D73" t="str">
            <v>26211100 Взносы в международные организации</v>
          </cell>
        </row>
        <row r="74">
          <cell r="D74" t="str">
            <v>26211200 Взносы в интеграционные объединения в рамках СНГ</v>
          </cell>
        </row>
        <row r="75">
          <cell r="D75" t="str">
            <v xml:space="preserve">26211900 Прочие безвоздмездные перечисления </v>
          </cell>
        </row>
        <row r="76">
          <cell r="D76" t="str">
            <v>26221100 Капитальные гранты международным организациям</v>
          </cell>
        </row>
        <row r="77">
          <cell r="D77" t="str">
            <v>26311100 Категориальные гранты</v>
          </cell>
        </row>
        <row r="78">
          <cell r="D78" t="str">
            <v xml:space="preserve">26311200 Выравнивающие гранты </v>
          </cell>
        </row>
        <row r="79">
          <cell r="D79" t="str">
            <v>26311300 Стимулирующие гранты</v>
          </cell>
        </row>
        <row r="80">
          <cell r="D80" t="str">
            <v>26312100 Средства, передаваемые по взаимным расчетам из республиканского в местный бюджет</v>
          </cell>
        </row>
        <row r="81">
          <cell r="D81" t="str">
            <v>26312200 Средства, передаваемые по взаимным расчетам из местного в республиканский бюджет</v>
          </cell>
        </row>
        <row r="82">
          <cell r="D82" t="str">
            <v xml:space="preserve">26312300 Средства, передаваемые на повышение заработной платы </v>
          </cell>
        </row>
        <row r="83">
          <cell r="D83" t="str">
            <v>26313100 Субвенции Социальному Фонду</v>
          </cell>
        </row>
        <row r="84">
          <cell r="D84" t="str">
            <v>26321100 Капитальные гранты другим единицам сектора государственного управления</v>
          </cell>
        </row>
        <row r="85">
          <cell r="D85" t="str">
            <v>27111100 Пенсии по социальному страхованию населения</v>
          </cell>
        </row>
        <row r="86">
          <cell r="D86" t="str">
            <v xml:space="preserve">27111200 Льготные пенсии за работу в условиях высокогорья         </v>
          </cell>
        </row>
        <row r="87">
          <cell r="D87" t="str">
            <v xml:space="preserve">27111300 Пенсии военнослужащим       </v>
          </cell>
        </row>
        <row r="88">
          <cell r="D88" t="str">
            <v>27111400 Пенсии многодетным матерям и матерям инвалидов с детства</v>
          </cell>
        </row>
        <row r="89">
          <cell r="D89" t="str">
            <v>27111500 Пенсии отдельным категориям населения</v>
          </cell>
        </row>
        <row r="90">
          <cell r="D90" t="str">
            <v>27112100 Государственное обязательное личное страхование военнослужащих на случай их гибели, получения инвалидности</v>
          </cell>
        </row>
        <row r="91">
          <cell r="D91" t="str">
            <v>27113100 Компенсационные выплаты к пенсиям за электроэнергию</v>
          </cell>
        </row>
        <row r="92">
          <cell r="D92" t="str">
            <v>27113200 Компенсационные выплаты за трудовые увечья</v>
          </cell>
        </row>
        <row r="93">
          <cell r="D93" t="str">
            <v>27114100 Надбавки к пенсиям инвалидов</v>
          </cell>
        </row>
        <row r="94">
          <cell r="D94" t="str">
            <v>27114200 Надбавки к пенсиям за особые заслуги</v>
          </cell>
        </row>
        <row r="95">
          <cell r="D95" t="str">
            <v>27115100 Медицинское страхование детей до 16 лет</v>
          </cell>
        </row>
        <row r="96">
          <cell r="D96" t="str">
            <v>27115200 Медицинское страхование пенсионеров</v>
          </cell>
        </row>
        <row r="97">
          <cell r="D97" t="str">
            <v>27115300 Медицинское страхование лиц, получающих социальные пособия</v>
          </cell>
        </row>
        <row r="98">
          <cell r="D98" t="str">
            <v>27211100 Пособия  малообеспеченным семьям</v>
          </cell>
        </row>
        <row r="99">
          <cell r="D99" t="str">
            <v>27211200 Единовременное пособие при рождении ребенка</v>
          </cell>
        </row>
        <row r="100">
          <cell r="D100" t="str">
            <v>27211300 Пособия матерям до достижения ребенком 1,5 лет</v>
          </cell>
        </row>
        <row r="101">
          <cell r="D101" t="str">
            <v>27211400 Пособия по безработице</v>
          </cell>
        </row>
        <row r="102">
          <cell r="D102" t="str">
            <v xml:space="preserve">27211500 Социальные выплаты населению </v>
          </cell>
        </row>
        <row r="103">
          <cell r="D103" t="str">
            <v>27211600 Компенсационные выплаты, в связи с потерей кормильца</v>
          </cell>
        </row>
        <row r="104">
          <cell r="D104" t="str">
            <v>27212100 Пособия по временной нетрудоспособности</v>
          </cell>
        </row>
        <row r="105">
          <cell r="D105" t="str">
            <v>27212200 Пособия по беременности и родам</v>
          </cell>
        </row>
        <row r="106">
          <cell r="D106" t="str">
            <v>27212300 Выплата ритуальных пособий (на погребение)</v>
          </cell>
        </row>
        <row r="107">
          <cell r="D107" t="str">
            <v xml:space="preserve">27213100 Льготы населению  </v>
          </cell>
        </row>
        <row r="108">
          <cell r="D108" t="str">
            <v>27214100 Расходы на профессиональное обучение</v>
          </cell>
        </row>
        <row r="109">
          <cell r="D109" t="str">
            <v>27214200 Расходы на организацию общественных работ</v>
          </cell>
        </row>
        <row r="110">
          <cell r="D110" t="str">
            <v>27214300 Расходы на микрокредитование</v>
          </cell>
        </row>
        <row r="111">
          <cell r="D111" t="str">
            <v>27214400 Чек на рабочее место</v>
          </cell>
        </row>
        <row r="112">
          <cell r="D112" t="str">
            <v>27215100 Расходы на оздоровительные мероприятия работников и членов их семей</v>
          </cell>
        </row>
        <row r="113">
          <cell r="D113" t="str">
            <v>27216100 Безвозмездная помощь населению, пострадавшему от стихийных бедствий</v>
          </cell>
        </row>
        <row r="114">
          <cell r="D114" t="str">
            <v>28211100 Стипендии</v>
          </cell>
        </row>
        <row r="115">
          <cell r="D115" t="str">
            <v>28212100 Плата  исполнительных документов по решению суда</v>
          </cell>
        </row>
        <row r="116">
          <cell r="D116" t="str">
            <v>28213100 Прочие расходы, не отнесенные к другим статьям</v>
          </cell>
        </row>
        <row r="117">
          <cell r="D117" t="str">
            <v>28215100 Страховые резервы</v>
          </cell>
        </row>
        <row r="118">
          <cell r="D118" t="str">
            <v>28215200 Резервные фонды</v>
          </cell>
        </row>
        <row r="119">
          <cell r="D119" t="str">
            <v>28216100 Фонд сокращения бедности</v>
          </cell>
        </row>
        <row r="120">
          <cell r="D120" t="str">
            <v>28216900 Прочие Фонды</v>
          </cell>
        </row>
        <row r="121">
          <cell r="D121" t="str">
            <v>28217100 Программа государственных инвестиций</v>
          </cell>
        </row>
        <row r="122">
          <cell r="D122" t="str">
            <v/>
          </cell>
        </row>
        <row r="123">
          <cell r="D123" t="str">
            <v>31111110 Продажа квартир</v>
          </cell>
        </row>
        <row r="124">
          <cell r="D124" t="str">
            <v>31111120 Продажа домов</v>
          </cell>
        </row>
        <row r="125">
          <cell r="D125" t="str">
            <v>31111190 Продажа прочих жилых зданий и помещений</v>
          </cell>
        </row>
        <row r="126">
          <cell r="D126" t="str">
            <v>31111210 Приобретение и строительство квартир</v>
          </cell>
        </row>
        <row r="127">
          <cell r="D127" t="str">
            <v>31111220 Приобретение и строительство домов</v>
          </cell>
        </row>
        <row r="128">
          <cell r="D128" t="str">
            <v>31111290 Приобретение и строительство прочих жилых зданий и помещений</v>
          </cell>
        </row>
        <row r="129">
          <cell r="D129" t="str">
            <v>31111310 Капитальный ремонт квартир</v>
          </cell>
        </row>
        <row r="130">
          <cell r="D130" t="str">
            <v>31111320 Капитальный ремонт домов</v>
          </cell>
        </row>
        <row r="131">
          <cell r="D131" t="str">
            <v>31111390 Капитальный ремонт прочих жилых зданий и помещений</v>
          </cell>
        </row>
        <row r="132">
          <cell r="D132" t="str">
            <v>31112110 Продажа производственных зданий</v>
          </cell>
        </row>
        <row r="133">
          <cell r="D133" t="str">
            <v>31112120 Продажа институциональных зданий</v>
          </cell>
        </row>
        <row r="134">
          <cell r="D134" t="str">
            <v>31112130 Продажа военных зданий</v>
          </cell>
        </row>
        <row r="135">
          <cell r="D135" t="str">
            <v>31112190 Продажа прочих зданий</v>
          </cell>
        </row>
        <row r="136">
          <cell r="D136" t="str">
            <v>31112210 Приобретение и строительство производственных зданий</v>
          </cell>
        </row>
        <row r="137">
          <cell r="D137" t="str">
            <v>31112220 Приобретение и строительство институциональных зданий</v>
          </cell>
        </row>
        <row r="138">
          <cell r="D138" t="str">
            <v>31112230 Приобретение и строительство военных зданий</v>
          </cell>
        </row>
        <row r="139">
          <cell r="D139" t="str">
            <v>31112290 Приобретение и строительство прочих зданий</v>
          </cell>
        </row>
        <row r="140">
          <cell r="D140" t="str">
            <v>31112310 Капитальный ремонт производственных зданий</v>
          </cell>
        </row>
        <row r="141">
          <cell r="D141" t="str">
            <v>31112320 Капитальный ремонт институциональных зданий</v>
          </cell>
        </row>
        <row r="142">
          <cell r="D142" t="str">
            <v>31112330 Капитальный ремонт военных зданий</v>
          </cell>
        </row>
        <row r="143">
          <cell r="D143" t="str">
            <v>31112390 Капитальный ремонт прочих зданий</v>
          </cell>
        </row>
        <row r="144">
          <cell r="D144" t="str">
            <v>31113110 Продажа производственных сооружений</v>
          </cell>
        </row>
        <row r="145">
          <cell r="D145" t="str">
            <v>31113120 Продажа дорог</v>
          </cell>
        </row>
        <row r="146">
          <cell r="D146" t="str">
            <v>31113130 Продажа мостов</v>
          </cell>
        </row>
        <row r="147">
          <cell r="D147" t="str">
            <v>31113190 Продажа прочих сооружений</v>
          </cell>
        </row>
        <row r="148">
          <cell r="D148" t="str">
            <v>31113210 Приобретение и строительство производственных сооружений</v>
          </cell>
        </row>
        <row r="149">
          <cell r="D149" t="str">
            <v>31113220 Приобретение и строительство дорог</v>
          </cell>
        </row>
        <row r="150">
          <cell r="D150" t="str">
            <v>31113230 Приобретение и строительство мостов</v>
          </cell>
        </row>
        <row r="151">
          <cell r="D151" t="str">
            <v>31113290 Приобретение и строительство прочих сооружений</v>
          </cell>
        </row>
        <row r="152">
          <cell r="D152" t="str">
            <v>31113310 Капитальный ремонт производственных сооружений</v>
          </cell>
        </row>
        <row r="153">
          <cell r="D153" t="str">
            <v>31113320 Капитальный ремонт дорог</v>
          </cell>
        </row>
        <row r="154">
          <cell r="D154" t="str">
            <v>31113330 Капитальный ремонт мостов</v>
          </cell>
        </row>
        <row r="155">
          <cell r="D155" t="str">
            <v>31113390 Капитальный ремонт прочих сооружений</v>
          </cell>
        </row>
        <row r="156">
          <cell r="D156" t="str">
            <v>31121110 Продажа легковых автомобилей</v>
          </cell>
        </row>
        <row r="157">
          <cell r="D157" t="str">
            <v>31121120 Продажа автобусов</v>
          </cell>
        </row>
        <row r="158">
          <cell r="D158" t="str">
            <v>31121130 Продажа грузовых машин</v>
          </cell>
        </row>
        <row r="159">
          <cell r="D159" t="str">
            <v>31121140 Продажа поездов</v>
          </cell>
        </row>
        <row r="160">
          <cell r="D160" t="str">
            <v>31121150 Продажа водных транспортных средств</v>
          </cell>
        </row>
        <row r="161">
          <cell r="D161" t="str">
            <v>31121160 Продажа воздушного тарнспорта</v>
          </cell>
        </row>
        <row r="162">
          <cell r="D162" t="str">
            <v>31121190 Продажа прочих транспортных средств</v>
          </cell>
        </row>
        <row r="163">
          <cell r="D163" t="str">
            <v>31121210 Приобретение легковых автомобилей</v>
          </cell>
        </row>
        <row r="164">
          <cell r="D164" t="str">
            <v>31121220 Приобретение автобусов</v>
          </cell>
        </row>
        <row r="165">
          <cell r="D165" t="str">
            <v>31121230 Приобретение грузовых машин</v>
          </cell>
        </row>
        <row r="166">
          <cell r="D166" t="str">
            <v>31121240 Приобретение поездов</v>
          </cell>
        </row>
        <row r="167">
          <cell r="D167" t="str">
            <v>31121250 Приобретение водных транспортных средств</v>
          </cell>
        </row>
        <row r="168">
          <cell r="D168" t="str">
            <v>31121260 Приобретение воздушного тарнспорта</v>
          </cell>
        </row>
        <row r="169">
          <cell r="D169" t="str">
            <v>31121290 Приобретение прочих транспортных средств</v>
          </cell>
        </row>
        <row r="170">
          <cell r="D170" t="str">
            <v>31121310 Капитальный ремонт легковых автомобилей</v>
          </cell>
        </row>
        <row r="171">
          <cell r="D171" t="str">
            <v>31121320 Капитальный ремонт автобусов</v>
          </cell>
        </row>
        <row r="172">
          <cell r="D172" t="str">
            <v>31121330 Капитальный ремонт грузовых машин</v>
          </cell>
        </row>
        <row r="173">
          <cell r="D173" t="str">
            <v>31121340 Капитальный ремонт поездов</v>
          </cell>
        </row>
        <row r="174">
          <cell r="D174" t="str">
            <v>31121350 Капитальный ремонт водных транспортных средств</v>
          </cell>
        </row>
        <row r="175">
          <cell r="D175" t="str">
            <v>31121360 Капитальный ремонт воздушного тарнспорта</v>
          </cell>
        </row>
        <row r="176">
          <cell r="D176" t="str">
            <v>31121390 Капитальный ремонт прочих транспортных средств</v>
          </cell>
        </row>
        <row r="177">
          <cell r="D177" t="str">
            <v>31122110 Продажа производственных механизмов и оборудования</v>
          </cell>
        </row>
        <row r="178">
          <cell r="D178" t="str">
            <v>31122120 Продажа сельскохозяйственных механизмов и обрудования</v>
          </cell>
        </row>
        <row r="179">
          <cell r="D179" t="str">
            <v>31122190 Продажа прочих механизмов и обрудования</v>
          </cell>
        </row>
        <row r="180">
          <cell r="D180" t="str">
            <v>31122210 Приобретение производственных механизмов и оборудования</v>
          </cell>
        </row>
        <row r="181">
          <cell r="D181" t="str">
            <v>31122220 Приобретение сельскохозяйственных механизмов и обрудования</v>
          </cell>
        </row>
        <row r="182">
          <cell r="D182" t="str">
            <v>31122290 Приобретение прочих механизмов и обрудования</v>
          </cell>
        </row>
        <row r="183">
          <cell r="D183" t="str">
            <v>31122310 Капитальный ремонт производственных механизмов и оборудования</v>
          </cell>
        </row>
        <row r="184">
          <cell r="D184" t="str">
            <v>31122320 Капитальный ремонт сельскохозяйственных механизмов и обрудования</v>
          </cell>
        </row>
        <row r="185">
          <cell r="D185" t="str">
            <v>31122390 Капитальный ремонт прочих механизмов и обрудования</v>
          </cell>
        </row>
        <row r="186">
          <cell r="D186" t="str">
            <v>31123110 Продажа мебели</v>
          </cell>
        </row>
        <row r="187">
          <cell r="D187" t="str">
            <v>31123120 Продажа офисного обрудования</v>
          </cell>
        </row>
        <row r="188">
          <cell r="D188" t="str">
            <v>31123130 Продажа компьютерного оборудования</v>
          </cell>
        </row>
        <row r="189">
          <cell r="D189" t="str">
            <v>31123140 Продажа инструментов</v>
          </cell>
        </row>
        <row r="190">
          <cell r="D190" t="str">
            <v>31123150 Продажа учебников, учебных пособий и книг</v>
          </cell>
        </row>
        <row r="191">
          <cell r="D191" t="str">
            <v>31123190 Продажа прочей мебели и оборудования</v>
          </cell>
        </row>
        <row r="192">
          <cell r="D192" t="str">
            <v>31123210 Приобретение мебели</v>
          </cell>
        </row>
        <row r="193">
          <cell r="D193" t="str">
            <v>31123220 Приобретение офисного обрудования</v>
          </cell>
        </row>
        <row r="194">
          <cell r="D194" t="str">
            <v>31123230 Приобретение компьютерного оборудования</v>
          </cell>
        </row>
        <row r="195">
          <cell r="D195" t="str">
            <v>31123240 Приобретение инструментов</v>
          </cell>
        </row>
        <row r="196">
          <cell r="D196" t="str">
            <v>31123250 Приобретение учебников, учебных пособий и книг</v>
          </cell>
        </row>
        <row r="197">
          <cell r="D197" t="str">
            <v>31123290 Приобретение прочей мебели и оборудования</v>
          </cell>
        </row>
        <row r="198">
          <cell r="D198" t="str">
            <v>31131110 Продажа сертифицированных семян</v>
          </cell>
        </row>
        <row r="199">
          <cell r="D199" t="str">
            <v>31131120 Продажа растений</v>
          </cell>
        </row>
        <row r="200">
          <cell r="D200" t="str">
            <v>31131130 Продажа животных</v>
          </cell>
        </row>
        <row r="201">
          <cell r="D201" t="str">
            <v>31131140 Продажа продуктивного скота</v>
          </cell>
        </row>
        <row r="202">
          <cell r="D202" t="str">
            <v>31131150 Продажа рабочего скота</v>
          </cell>
        </row>
        <row r="203">
          <cell r="D203" t="str">
            <v>31131190 Продажа прочих культивируемых активов</v>
          </cell>
        </row>
        <row r="204">
          <cell r="D204" t="str">
            <v>31131210 Приобретение сертифицированных семян</v>
          </cell>
        </row>
        <row r="205">
          <cell r="D205" t="str">
            <v>31131220 Приобретение растений</v>
          </cell>
        </row>
        <row r="206">
          <cell r="D206" t="str">
            <v>31131230 Приобретение животных</v>
          </cell>
        </row>
        <row r="207">
          <cell r="D207" t="str">
            <v>31131240 Приобретение продуктивного скота</v>
          </cell>
        </row>
        <row r="208">
          <cell r="D208" t="str">
            <v>31131250 Приобретение рабочего скота</v>
          </cell>
        </row>
        <row r="209">
          <cell r="D209" t="str">
            <v>31131290 Приобретение прочих культивируемых активов</v>
          </cell>
        </row>
        <row r="210">
          <cell r="D210" t="str">
            <v>31132110 Продажа авторских прав и патентов</v>
          </cell>
        </row>
        <row r="211">
          <cell r="D211" t="str">
            <v xml:space="preserve">31132120 Продажа прав на недра </v>
          </cell>
        </row>
        <row r="212">
          <cell r="D212" t="str">
            <v>31132130 Продажа прав на использование частот</v>
          </cell>
        </row>
        <row r="213">
          <cell r="D213" t="str">
            <v>31132190 Продажа прочих прав и нематериальных активов</v>
          </cell>
        </row>
        <row r="214">
          <cell r="D214" t="str">
            <v>31132210 Приобретение авторских прав и патентов</v>
          </cell>
        </row>
        <row r="215">
          <cell r="D215" t="str">
            <v xml:space="preserve">31132220 Приобретение прав на недра </v>
          </cell>
        </row>
        <row r="216">
          <cell r="D216" t="str">
            <v>31132230 Приобретение прав на использование частот</v>
          </cell>
        </row>
        <row r="217">
          <cell r="D217" t="str">
            <v>31132290 Приобретение прочих прав и нематериальных активов</v>
          </cell>
        </row>
        <row r="218">
          <cell r="D218" t="str">
            <v>31211110 Продажа горюче-смазочных материалов</v>
          </cell>
        </row>
        <row r="219">
          <cell r="D219" t="str">
            <v>31211120 Продажа зерновых культур</v>
          </cell>
        </row>
        <row r="220">
          <cell r="D220" t="str">
            <v>31211190 Продажа прочих запасов фонда государственного материального резерва</v>
          </cell>
        </row>
        <row r="221">
          <cell r="D221" t="str">
            <v>31211210 Приобретение запасов горюче-смазочных материалов</v>
          </cell>
        </row>
        <row r="222">
          <cell r="D222" t="str">
            <v>31211220 Приобретение запасов зерновых культур</v>
          </cell>
        </row>
        <row r="223">
          <cell r="D223" t="str">
            <v>31211290 Приобретение прочих запасов фонда государственного материального резерва</v>
          </cell>
        </row>
        <row r="224">
          <cell r="D224" t="str">
            <v>31221110 Продажа сырья и материалов</v>
          </cell>
        </row>
        <row r="225">
          <cell r="D225" t="str">
            <v>31221210 Приобретение запасов сырья и материалов</v>
          </cell>
        </row>
        <row r="226">
          <cell r="D226" t="str">
            <v>31222110 Продажа запасов незавершенного производства</v>
          </cell>
        </row>
        <row r="227">
          <cell r="D227" t="str">
            <v>31222210 Приобретение запасов незавершенного производства</v>
          </cell>
        </row>
        <row r="228">
          <cell r="D228" t="str">
            <v>31223110 Продажа готовой продукции</v>
          </cell>
        </row>
        <row r="229">
          <cell r="D229" t="str">
            <v>31223210 Приобретение готовой продукции</v>
          </cell>
        </row>
        <row r="230">
          <cell r="D230" t="str">
            <v>31224110 Продажа товаров для перепродажи</v>
          </cell>
        </row>
        <row r="231">
          <cell r="D231" t="str">
            <v>31224210 Приобретение товаров для перепродажи</v>
          </cell>
        </row>
        <row r="232">
          <cell r="D232" t="str">
            <v>31311110 Продажа  драгоценных металлов и камней</v>
          </cell>
        </row>
        <row r="233">
          <cell r="D233" t="str">
            <v>31311210 Приобретение драгоценных металлов и камней</v>
          </cell>
        </row>
        <row r="234">
          <cell r="D234" t="str">
            <v>31321110 Продажа активов культурного наследия</v>
          </cell>
        </row>
        <row r="235">
          <cell r="D235" t="str">
            <v>31321210 Приобретение активов культурного наследия</v>
          </cell>
        </row>
        <row r="236">
          <cell r="D236" t="str">
            <v>31331110 Продажа  ювелирных изделий</v>
          </cell>
        </row>
        <row r="237">
          <cell r="D237" t="str">
            <v>31331210 Приобретение ювелирных изделий</v>
          </cell>
        </row>
        <row r="238">
          <cell r="D238" t="str">
            <v>31411110 Продажа сельскохозяйственных земель</v>
          </cell>
        </row>
        <row r="239">
          <cell r="D239" t="str">
            <v>31411210 Приобретение сельскохозяйственных земель</v>
          </cell>
        </row>
        <row r="240">
          <cell r="D240" t="str">
            <v>31412110 Продажа несельскохозяйственных земель</v>
          </cell>
        </row>
        <row r="241">
          <cell r="D241" t="str">
            <v>31412210 Приобретение земли под жилые здания и сооружения</v>
          </cell>
        </row>
        <row r="242">
          <cell r="D242" t="str">
            <v>31412220 Приобретение земли для производственных целей</v>
          </cell>
        </row>
        <row r="243">
          <cell r="D243" t="str">
            <v>31412290 Приобретение земли для прочих целей</v>
          </cell>
        </row>
        <row r="244">
          <cell r="D244" t="str">
            <v>32131110 Продажа краткосрочных ценных бумаг, кроме акций</v>
          </cell>
        </row>
        <row r="245">
          <cell r="D245" t="str">
            <v>32131210 Приобретение краткосрочных ценных бумаг, кроме акций</v>
          </cell>
        </row>
        <row r="246">
          <cell r="D246" t="str">
            <v>32132110 Продажа долгосрочных ценных бумаг, кроме акций</v>
          </cell>
        </row>
        <row r="247">
          <cell r="D247" t="str">
            <v>32132210 Приобретение долгосрочных ценных бумаг, кроме акций</v>
          </cell>
        </row>
        <row r="248">
          <cell r="D248" t="str">
            <v>32141110 Погашение бюджетных ссуд местными органами управления</v>
          </cell>
        </row>
        <row r="249">
          <cell r="D249" t="str">
            <v>32141190 Погашение бюджетных ссуд прочими уровнями госуправления</v>
          </cell>
        </row>
        <row r="250">
          <cell r="D250" t="str">
            <v>32141210 Выпуск бюджетной ссуды местным органам управления</v>
          </cell>
        </row>
        <row r="251">
          <cell r="D251" t="str">
            <v>32141290 Выпуск бюджетной ссуды прочим уровням госуправления</v>
          </cell>
        </row>
        <row r="252">
          <cell r="D252" t="str">
            <v xml:space="preserve">32142110 Погашение ссуды предприятиями и организациями </v>
          </cell>
        </row>
        <row r="253">
          <cell r="D253" t="str">
            <v>32142120 Погашение ссуды финансовыми учреждениями</v>
          </cell>
        </row>
        <row r="254">
          <cell r="D254" t="str">
            <v>32142130 Погашение ссуды населению</v>
          </cell>
        </row>
        <row r="255">
          <cell r="D255" t="str">
            <v>32142210 Выпуск ссуды предприятиям и организациям</v>
          </cell>
        </row>
        <row r="256">
          <cell r="D256" t="str">
            <v>32142220 Выпуск ссуды финансовым учреждениям</v>
          </cell>
        </row>
        <row r="257">
          <cell r="D257" t="str">
            <v>32142230 Выпуск ссуды населению</v>
          </cell>
        </row>
        <row r="258">
          <cell r="D258" t="str">
            <v xml:space="preserve">32151110 Продажа акций </v>
          </cell>
        </row>
        <row r="259">
          <cell r="D259" t="str">
            <v>32151190 Продажа других форм участия в капитале</v>
          </cell>
        </row>
        <row r="260">
          <cell r="D260" t="str">
            <v xml:space="preserve">32151210 Приобретение акций </v>
          </cell>
        </row>
        <row r="261">
          <cell r="D261" t="str">
            <v>32151290 Приобретение других форм участия в капитале</v>
          </cell>
        </row>
        <row r="262">
          <cell r="D262" t="str">
            <v xml:space="preserve">32171110 Погашение прочей внутренней дебиторской задолженности </v>
          </cell>
        </row>
        <row r="263">
          <cell r="D263" t="str">
            <v>32171210 Признание прочей внутренней дебиторской задолженности</v>
          </cell>
        </row>
        <row r="264">
          <cell r="D264" t="str">
            <v>32231110 Продажа краткосрочных ценных бумаг, кроме акций</v>
          </cell>
        </row>
        <row r="265">
          <cell r="D265" t="str">
            <v>32231210 Приобретение краткосрочных ценных бумаг, кроме акций</v>
          </cell>
        </row>
        <row r="266">
          <cell r="D266" t="str">
            <v>32232110 Продажа долгосрочных ценных бумаг, кроме акций</v>
          </cell>
        </row>
        <row r="267">
          <cell r="D267" t="str">
            <v>32232210 Приобретение долгосрочных ценных бумаг, кроме акций</v>
          </cell>
        </row>
        <row r="268">
          <cell r="D268" t="str">
            <v>32241110 Погашение кредита правительствами других государств</v>
          </cell>
        </row>
        <row r="269">
          <cell r="D269" t="str">
            <v>32241210 Выпуск кредита правительствам других государств</v>
          </cell>
        </row>
        <row r="270">
          <cell r="D270" t="str">
            <v>32251110 Продажа акций</v>
          </cell>
        </row>
        <row r="271">
          <cell r="D271" t="str">
            <v>32251190 Продажа других форм участия в капитале</v>
          </cell>
        </row>
        <row r="272">
          <cell r="D272" t="str">
            <v>32251210 Приобретение акций</v>
          </cell>
        </row>
        <row r="273">
          <cell r="D273" t="str">
            <v>32251290 Приобретение других форм участия в капитале</v>
          </cell>
        </row>
        <row r="274">
          <cell r="D274" t="str">
            <v xml:space="preserve">32271110 Погашение прочей внешней дебиторской задолженности </v>
          </cell>
        </row>
        <row r="275">
          <cell r="D275" t="str">
            <v xml:space="preserve">32271210 Признание прочей внешней дебиторской задолженности </v>
          </cell>
        </row>
        <row r="276">
          <cell r="D276" t="str">
            <v>33131110 Выпуск государственных краткосрочных ценных бумаг, кроме акций</v>
          </cell>
        </row>
        <row r="277">
          <cell r="D277" t="str">
            <v>33131190 Выпуск прочих государственных краткосрочных ценных бумаг, кроме акций</v>
          </cell>
        </row>
        <row r="278">
          <cell r="D278" t="str">
            <v>33131210 Погашение государственных краткосрочных ценных бумаг, кроме акций</v>
          </cell>
        </row>
        <row r="279">
          <cell r="D279" t="str">
            <v>33131290 Погашение прочих государственных краткосрочных ценных бумаг, кроме акций</v>
          </cell>
        </row>
        <row r="280">
          <cell r="D280" t="str">
            <v>33132110 Выпуск государственных долгосрочных ценных бумаг, кроме акций</v>
          </cell>
        </row>
        <row r="281">
          <cell r="D281" t="str">
            <v>33132190 Выпуск прочих государственных долгосрочных ценных бумаг, кроме акций</v>
          </cell>
        </row>
        <row r="282">
          <cell r="D282" t="str">
            <v>33132210 Погашение  государственных долгосрочных ценных бумаг, кроме акций</v>
          </cell>
        </row>
        <row r="283">
          <cell r="D283" t="str">
            <v>33132290 Погашение прочих  государственных долгосрочных ценных бумаг, кроме акций</v>
          </cell>
        </row>
        <row r="284">
          <cell r="D284" t="str">
            <v>33141110 Получение заимствований от других единиц государственного управления</v>
          </cell>
        </row>
        <row r="285">
          <cell r="D285" t="str">
            <v>33141210 Погашение заимствований другим единицам государственного управления</v>
          </cell>
        </row>
        <row r="286">
          <cell r="D286" t="str">
            <v>33142110 Получение заимствований от предприятий, организаций, финансовых учреждений</v>
          </cell>
        </row>
        <row r="287">
          <cell r="D287" t="str">
            <v>33142210 Погашение заимствований предприятиям, организациям, финансовым учреждениям</v>
          </cell>
        </row>
        <row r="288">
          <cell r="D288" t="str">
            <v>33171110 Прочая внутренняя кредиторская задолженность</v>
          </cell>
        </row>
        <row r="289">
          <cell r="D289" t="str">
            <v>33171210 Погашение прочей внутренней кредиторской задолженности</v>
          </cell>
        </row>
        <row r="290">
          <cell r="D290" t="str">
            <v>33241110 Получение заимствований по двусторонним долговым соглашениям</v>
          </cell>
        </row>
        <row r="291">
          <cell r="D291" t="str">
            <v>33241210 Погашение обязательств по двусторонним долговым соглашениям</v>
          </cell>
        </row>
        <row r="292">
          <cell r="D292" t="str">
            <v>33242110 Получение заимствований по многосторонним долговым соглашениям</v>
          </cell>
        </row>
        <row r="293">
          <cell r="D293" t="str">
            <v>33242210 Погашение обязательств по мносторонним долговым соглашениям</v>
          </cell>
        </row>
        <row r="294">
          <cell r="D294" t="str">
            <v>33243110 Получение заимствований от иностранных финансовых институтов</v>
          </cell>
        </row>
        <row r="295">
          <cell r="D295" t="str">
            <v>33243210 Погашение обязательств перед иностранными финансовыми институтами</v>
          </cell>
        </row>
        <row r="296">
          <cell r="D296" t="str">
            <v xml:space="preserve">33249110 Получение прочих внешних заимствований </v>
          </cell>
        </row>
        <row r="297">
          <cell r="D297" t="str">
            <v>33249210 Погашение прочих внешних заимстовований</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мета-проект"/>
      <sheetName val="3-х знач."/>
      <sheetName val="211-212 "/>
      <sheetName val="221"/>
      <sheetName val="222"/>
    </sheetNames>
    <sheetDataSet>
      <sheetData sheetId="0" refreshError="1"/>
      <sheetData sheetId="1" refreshError="1">
        <row r="17">
          <cell r="D17">
            <v>2012.8</v>
          </cell>
          <cell r="E17">
            <v>2026.1</v>
          </cell>
          <cell r="F17">
            <v>2026.1</v>
          </cell>
          <cell r="I17">
            <v>2026.1</v>
          </cell>
          <cell r="L17">
            <v>2026.1</v>
          </cell>
        </row>
        <row r="18">
          <cell r="D18">
            <v>298.3</v>
          </cell>
          <cell r="E18">
            <v>303.5</v>
          </cell>
          <cell r="F18">
            <v>303.5</v>
          </cell>
          <cell r="I18">
            <v>303.5</v>
          </cell>
          <cell r="L18">
            <v>303.5</v>
          </cell>
        </row>
        <row r="19">
          <cell r="D19">
            <v>1045.3</v>
          </cell>
          <cell r="E19">
            <v>601</v>
          </cell>
          <cell r="F19">
            <v>601</v>
          </cell>
          <cell r="I19">
            <v>618.29999999999995</v>
          </cell>
          <cell r="L19">
            <v>640</v>
          </cell>
        </row>
        <row r="20">
          <cell r="D20">
            <v>3.6</v>
          </cell>
          <cell r="E20">
            <v>6.4</v>
          </cell>
          <cell r="F20">
            <v>6.4</v>
          </cell>
          <cell r="I20">
            <v>6.4</v>
          </cell>
          <cell r="L20">
            <v>6.4</v>
          </cell>
        </row>
        <row r="21">
          <cell r="D21">
            <v>3.6</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иложение 1 "/>
      <sheetName val="приложение  2"/>
      <sheetName val="приложение 3"/>
      <sheetName val="приложение 3 (1)"/>
      <sheetName val="приложение 3 (2)"/>
      <sheetName val="приложение 3 (3)"/>
      <sheetName val="приложение 3 (5)"/>
      <sheetName val="приложение 3(6)"/>
      <sheetName val="приложение 4-1"/>
      <sheetName val="приложение 4-2"/>
    </sheetNames>
    <sheetDataSet>
      <sheetData sheetId="0" refreshError="1"/>
      <sheetData sheetId="1" refreshError="1"/>
      <sheetData sheetId="2" refreshError="1">
        <row r="5">
          <cell r="B5" t="str">
            <v xml:space="preserve">Жалпы жетекчиликти камсыз кылуу </v>
          </cell>
        </row>
      </sheetData>
      <sheetData sheetId="3" refreshError="1"/>
      <sheetData sheetId="4" refreshError="1">
        <row r="5">
          <cell r="B5" t="str">
            <v xml:space="preserve">Адам ресурстарын башкаруу </v>
          </cell>
        </row>
      </sheetData>
      <sheetData sheetId="5" refreshError="1">
        <row r="5">
          <cell r="B5" t="str">
            <v xml:space="preserve">Укуктук колдоо </v>
          </cell>
        </row>
      </sheetData>
      <sheetData sheetId="6" refreshError="1">
        <row r="5">
          <cell r="B5" t="str">
            <v xml:space="preserve">Иштерди уюштуруу жана камсыз кылуу кызматы </v>
          </cell>
        </row>
      </sheetData>
      <sheetData sheetId="7" refreshError="1"/>
      <sheetData sheetId="8" refreshError="1"/>
      <sheetData sheetId="9"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AH1799"/>
  <sheetViews>
    <sheetView view="pageBreakPreview" topLeftCell="B1" zoomScale="70" zoomScaleNormal="80" zoomScaleSheetLayoutView="70" workbookViewId="0">
      <pane ySplit="11" topLeftCell="A12" activePane="bottomLeft" state="frozen"/>
      <selection activeCell="G1" sqref="G1:I1"/>
      <selection pane="bottomLeft" activeCell="H1799" sqref="H1799"/>
    </sheetView>
  </sheetViews>
  <sheetFormatPr defaultRowHeight="29.25" customHeight="1" x14ac:dyDescent="0.2"/>
  <cols>
    <col min="1" max="1" width="6.5703125" style="8" hidden="1" customWidth="1"/>
    <col min="2" max="2" width="7" style="121" customWidth="1"/>
    <col min="3" max="3" width="7" style="122" customWidth="1"/>
    <col min="4" max="4" width="7" style="121" customWidth="1"/>
    <col min="5" max="5" width="59.28515625" style="123" customWidth="1"/>
    <col min="6" max="7" width="14.5703125" style="1692" customWidth="1"/>
    <col min="8" max="8" width="16.42578125" style="1692" bestFit="1" customWidth="1"/>
    <col min="9" max="10" width="14.5703125" style="1692" customWidth="1"/>
    <col min="11" max="11" width="54" style="124" customWidth="1"/>
    <col min="12" max="12" width="11.5703125" style="8" customWidth="1"/>
    <col min="13" max="17" width="14.140625" style="8" customWidth="1"/>
    <col min="18" max="18" width="9.140625" style="9"/>
    <col min="19" max="23" width="12" style="9" bestFit="1" customWidth="1"/>
    <col min="24" max="16384" width="9.140625" style="9"/>
  </cols>
  <sheetData>
    <row r="1" spans="1:17" ht="19.5" customHeight="1" x14ac:dyDescent="0.2">
      <c r="A1" s="1"/>
      <c r="B1" s="2"/>
      <c r="C1" s="3"/>
      <c r="D1" s="2"/>
      <c r="E1" s="4"/>
      <c r="F1" s="1575"/>
      <c r="G1" s="1575"/>
      <c r="H1" s="1575"/>
      <c r="I1" s="1575"/>
      <c r="J1" s="1575"/>
      <c r="K1" s="6"/>
      <c r="L1" s="1"/>
      <c r="M1" s="1"/>
      <c r="N1" s="1"/>
      <c r="O1" s="7"/>
      <c r="P1" s="7"/>
    </row>
    <row r="2" spans="1:17" ht="19.5" customHeight="1" x14ac:dyDescent="0.2">
      <c r="A2" s="1"/>
      <c r="B2" s="2"/>
      <c r="C2" s="3"/>
      <c r="D2" s="2"/>
      <c r="E2" s="4"/>
      <c r="F2" s="1575"/>
      <c r="G2" s="1575"/>
      <c r="H2" s="1575"/>
      <c r="I2" s="1575" t="s">
        <v>0</v>
      </c>
      <c r="J2" s="1575"/>
      <c r="K2" s="5"/>
      <c r="L2" s="2173" t="s">
        <v>1</v>
      </c>
      <c r="M2" s="2173"/>
      <c r="N2" s="2173"/>
      <c r="O2" s="2173"/>
      <c r="P2" s="2173"/>
      <c r="Q2" s="2173"/>
    </row>
    <row r="3" spans="1:17" ht="19.5" customHeight="1" x14ac:dyDescent="0.2">
      <c r="A3" s="1"/>
      <c r="B3" s="2"/>
      <c r="C3" s="3"/>
      <c r="D3" s="2"/>
      <c r="E3" s="4"/>
      <c r="F3" s="1575"/>
      <c r="G3" s="1575"/>
      <c r="H3" s="1575"/>
      <c r="I3" s="1575"/>
      <c r="J3" s="1575"/>
      <c r="K3" s="5"/>
      <c r="L3" s="2173"/>
      <c r="M3" s="2173"/>
      <c r="N3" s="2173"/>
      <c r="O3" s="2173"/>
      <c r="P3" s="2173"/>
      <c r="Q3" s="2173"/>
    </row>
    <row r="4" spans="1:17" ht="19.5" customHeight="1" x14ac:dyDescent="0.2">
      <c r="A4" s="1"/>
      <c r="B4" s="2"/>
      <c r="C4" s="3"/>
      <c r="D4" s="2"/>
      <c r="E4" s="4"/>
      <c r="F4" s="1575"/>
      <c r="G4" s="1575"/>
      <c r="H4" s="1575"/>
      <c r="I4" s="1575"/>
      <c r="J4" s="1575"/>
      <c r="K4" s="5"/>
      <c r="L4" s="2173"/>
      <c r="M4" s="2173"/>
      <c r="N4" s="2173"/>
      <c r="O4" s="2173"/>
      <c r="P4" s="2173"/>
      <c r="Q4" s="2173"/>
    </row>
    <row r="5" spans="1:17" ht="19.5" customHeight="1" x14ac:dyDescent="0.2">
      <c r="A5" s="10"/>
      <c r="B5" s="11"/>
      <c r="C5" s="11"/>
      <c r="D5" s="12"/>
      <c r="E5" s="13"/>
      <c r="F5" s="1575"/>
      <c r="G5" s="1575"/>
      <c r="H5" s="1575"/>
      <c r="I5" s="1575"/>
      <c r="J5" s="1575"/>
      <c r="K5" s="5"/>
      <c r="L5" s="2173"/>
      <c r="M5" s="2173"/>
      <c r="N5" s="2173"/>
      <c r="O5" s="2173"/>
      <c r="P5" s="2173"/>
      <c r="Q5" s="2173"/>
    </row>
    <row r="6" spans="1:17" ht="19.5" customHeight="1" x14ac:dyDescent="0.2">
      <c r="A6" s="9"/>
      <c r="B6" s="9"/>
      <c r="C6" s="9"/>
      <c r="D6" s="9"/>
      <c r="E6" s="9"/>
      <c r="F6" s="1576"/>
      <c r="G6" s="1576"/>
      <c r="H6" s="1576"/>
      <c r="I6" s="1576"/>
      <c r="J6" s="1576"/>
      <c r="K6" s="5"/>
      <c r="L6" s="721"/>
      <c r="M6" s="721"/>
      <c r="N6" s="721"/>
      <c r="O6" s="721"/>
      <c r="P6" s="722"/>
      <c r="Q6" s="722" t="s">
        <v>2</v>
      </c>
    </row>
    <row r="7" spans="1:17" ht="19.5" customHeight="1" x14ac:dyDescent="0.2">
      <c r="A7" s="2174" t="s">
        <v>3</v>
      </c>
      <c r="B7" s="2174"/>
      <c r="C7" s="2174"/>
      <c r="D7" s="2174"/>
      <c r="E7" s="2174"/>
      <c r="F7" s="2174"/>
      <c r="G7" s="2174"/>
      <c r="H7" s="2174"/>
      <c r="I7" s="2174"/>
      <c r="J7" s="2174"/>
      <c r="K7" s="5"/>
      <c r="L7" s="721"/>
      <c r="M7" s="721"/>
      <c r="N7" s="721"/>
      <c r="O7" s="721"/>
      <c r="P7" s="722"/>
      <c r="Q7" s="722"/>
    </row>
    <row r="8" spans="1:17" ht="19.5" customHeight="1" x14ac:dyDescent="0.2">
      <c r="A8" s="1"/>
      <c r="B8" s="2"/>
      <c r="C8" s="3"/>
      <c r="D8" s="2"/>
      <c r="E8" s="4"/>
      <c r="F8" s="1575"/>
      <c r="G8" s="1575"/>
      <c r="H8" s="1575"/>
      <c r="I8" s="1575"/>
      <c r="J8" s="1575"/>
      <c r="K8" s="5"/>
      <c r="L8" s="1"/>
      <c r="M8" s="1"/>
      <c r="N8" s="1"/>
      <c r="O8" s="1"/>
      <c r="P8" s="1"/>
      <c r="Q8" s="1"/>
    </row>
    <row r="9" spans="1:17" s="8" customFormat="1" ht="29.25" customHeight="1" x14ac:dyDescent="0.2">
      <c r="A9" s="2175"/>
      <c r="B9" s="2178" t="s">
        <v>4</v>
      </c>
      <c r="C9" s="2178" t="s">
        <v>5</v>
      </c>
      <c r="D9" s="2178" t="s">
        <v>6</v>
      </c>
      <c r="E9" s="2181" t="s">
        <v>2492</v>
      </c>
      <c r="F9" s="2184" t="s">
        <v>8</v>
      </c>
      <c r="G9" s="2184"/>
      <c r="H9" s="2184"/>
      <c r="I9" s="2184"/>
      <c r="J9" s="2184"/>
      <c r="K9" s="2185" t="s">
        <v>9</v>
      </c>
      <c r="L9" s="2185" t="s">
        <v>10</v>
      </c>
      <c r="M9" s="2185" t="s">
        <v>11</v>
      </c>
      <c r="N9" s="2185" t="s">
        <v>12</v>
      </c>
      <c r="O9" s="2185"/>
      <c r="P9" s="2185"/>
      <c r="Q9" s="2185"/>
    </row>
    <row r="10" spans="1:17" s="8" customFormat="1" ht="29.25" customHeight="1" x14ac:dyDescent="0.2">
      <c r="A10" s="2176"/>
      <c r="B10" s="2179"/>
      <c r="C10" s="2179"/>
      <c r="D10" s="2179"/>
      <c r="E10" s="2182"/>
      <c r="F10" s="2195" t="s">
        <v>13</v>
      </c>
      <c r="G10" s="2195"/>
      <c r="H10" s="2195"/>
      <c r="I10" s="2195"/>
      <c r="J10" s="2195"/>
      <c r="K10" s="2185"/>
      <c r="L10" s="2185"/>
      <c r="M10" s="2185"/>
      <c r="N10" s="2185"/>
      <c r="O10" s="2185"/>
      <c r="P10" s="2185"/>
      <c r="Q10" s="2185"/>
    </row>
    <row r="11" spans="1:17" s="8" customFormat="1" ht="29.25" customHeight="1" x14ac:dyDescent="0.2">
      <c r="A11" s="2177"/>
      <c r="B11" s="2180"/>
      <c r="C11" s="2180"/>
      <c r="D11" s="2180"/>
      <c r="E11" s="2183"/>
      <c r="F11" s="1693">
        <v>2019</v>
      </c>
      <c r="G11" s="1693">
        <v>2020</v>
      </c>
      <c r="H11" s="1693">
        <v>2021</v>
      </c>
      <c r="I11" s="1693">
        <v>2022</v>
      </c>
      <c r="J11" s="1693">
        <v>2023</v>
      </c>
      <c r="K11" s="2185"/>
      <c r="L11" s="2185"/>
      <c r="M11" s="14">
        <v>2019</v>
      </c>
      <c r="N11" s="14">
        <v>2020</v>
      </c>
      <c r="O11" s="14">
        <v>2021</v>
      </c>
      <c r="P11" s="14">
        <v>2022</v>
      </c>
      <c r="Q11" s="14">
        <v>2023</v>
      </c>
    </row>
    <row r="12" spans="1:17" s="15" customFormat="1" ht="17.25" customHeight="1" x14ac:dyDescent="0.2">
      <c r="A12" s="1881" t="s">
        <v>14</v>
      </c>
      <c r="B12" s="1881"/>
      <c r="C12" s="1881"/>
      <c r="D12" s="1881"/>
      <c r="E12" s="1881"/>
      <c r="F12" s="1881"/>
      <c r="G12" s="1881"/>
      <c r="H12" s="1881"/>
      <c r="I12" s="1881"/>
      <c r="J12" s="1881"/>
      <c r="K12" s="1881"/>
      <c r="L12" s="1881"/>
      <c r="M12" s="1881"/>
      <c r="N12" s="1881"/>
      <c r="O12" s="1881"/>
      <c r="P12" s="1881"/>
      <c r="Q12" s="1881"/>
    </row>
    <row r="13" spans="1:17" s="20" customFormat="1" ht="67.5" customHeight="1" x14ac:dyDescent="0.2">
      <c r="A13" s="16"/>
      <c r="B13" s="17">
        <v>1</v>
      </c>
      <c r="C13" s="577"/>
      <c r="D13" s="18"/>
      <c r="E13" s="19" t="s">
        <v>2488</v>
      </c>
      <c r="F13" s="1573">
        <f t="shared" ref="F13:J13" si="0">SUM(F14:F22)</f>
        <v>246929.49999999997</v>
      </c>
      <c r="G13" s="1573">
        <f t="shared" si="0"/>
        <v>163632.5</v>
      </c>
      <c r="H13" s="1573">
        <f t="shared" si="0"/>
        <v>165175.79999999999</v>
      </c>
      <c r="I13" s="1573">
        <f t="shared" si="0"/>
        <v>165175.79999999999</v>
      </c>
      <c r="J13" s="1573">
        <f t="shared" si="0"/>
        <v>169875.8</v>
      </c>
      <c r="K13" s="703" t="s">
        <v>15</v>
      </c>
      <c r="L13" s="638" t="s">
        <v>16</v>
      </c>
      <c r="M13" s="628"/>
      <c r="N13" s="628"/>
      <c r="O13" s="628"/>
      <c r="P13" s="628"/>
      <c r="Q13" s="628"/>
    </row>
    <row r="14" spans="1:17" s="20" customFormat="1" ht="12.75" x14ac:dyDescent="0.2">
      <c r="A14" s="16"/>
      <c r="B14" s="572"/>
      <c r="C14" s="574">
        <v>1</v>
      </c>
      <c r="D14" s="18"/>
      <c r="E14" s="21" t="s">
        <v>17</v>
      </c>
      <c r="F14" s="1547">
        <f>5889.2+3676.5+19814.5</f>
        <v>29380.2</v>
      </c>
      <c r="G14" s="1547"/>
      <c r="H14" s="1547"/>
      <c r="I14" s="1547"/>
      <c r="J14" s="1547"/>
      <c r="K14" s="586" t="s">
        <v>18</v>
      </c>
      <c r="L14" s="22" t="s">
        <v>19</v>
      </c>
      <c r="M14" s="22" t="s">
        <v>20</v>
      </c>
      <c r="N14" s="22"/>
      <c r="O14" s="22"/>
      <c r="P14" s="22"/>
      <c r="Q14" s="22"/>
    </row>
    <row r="15" spans="1:17" s="20" customFormat="1" ht="12.75" x14ac:dyDescent="0.2">
      <c r="A15" s="16"/>
      <c r="B15" s="23"/>
      <c r="C15" s="24">
        <v>2</v>
      </c>
      <c r="D15" s="18"/>
      <c r="E15" s="25" t="s">
        <v>21</v>
      </c>
      <c r="F15" s="1547">
        <f>3700.3+9659.8+360.5</f>
        <v>13720.599999999999</v>
      </c>
      <c r="G15" s="1547">
        <f>944.8+48533.5+3657.4</f>
        <v>53135.700000000004</v>
      </c>
      <c r="H15" s="1547">
        <f>1224.8+48085.5+4531.1</f>
        <v>53841.4</v>
      </c>
      <c r="I15" s="1547">
        <f>1224.8+4531.1+48085.5</f>
        <v>53841.4</v>
      </c>
      <c r="J15" s="1547">
        <v>53841.4</v>
      </c>
      <c r="K15" s="586" t="s">
        <v>22</v>
      </c>
      <c r="L15" s="22" t="s">
        <v>16</v>
      </c>
      <c r="M15" s="22">
        <v>100</v>
      </c>
      <c r="N15" s="22">
        <v>100</v>
      </c>
      <c r="O15" s="22">
        <v>100</v>
      </c>
      <c r="P15" s="22">
        <v>100</v>
      </c>
      <c r="Q15" s="22">
        <v>100</v>
      </c>
    </row>
    <row r="16" spans="1:17" s="20" customFormat="1" ht="25.5" x14ac:dyDescent="0.2">
      <c r="A16" s="16"/>
      <c r="B16" s="23"/>
      <c r="C16" s="24">
        <v>3</v>
      </c>
      <c r="D16" s="18"/>
      <c r="E16" s="25" t="s">
        <v>23</v>
      </c>
      <c r="F16" s="1547">
        <f>1997.4+6136</f>
        <v>8133.4</v>
      </c>
      <c r="G16" s="1547"/>
      <c r="H16" s="1547"/>
      <c r="I16" s="1547"/>
      <c r="J16" s="1547"/>
      <c r="K16" s="586" t="s">
        <v>24</v>
      </c>
      <c r="L16" s="22" t="s">
        <v>16</v>
      </c>
      <c r="M16" s="22">
        <v>80</v>
      </c>
      <c r="N16" s="22"/>
      <c r="O16" s="22"/>
      <c r="P16" s="22"/>
      <c r="Q16" s="22"/>
    </row>
    <row r="17" spans="1:17" s="20" customFormat="1" ht="12.75" x14ac:dyDescent="0.2">
      <c r="A17" s="16"/>
      <c r="B17" s="23"/>
      <c r="C17" s="24">
        <v>4</v>
      </c>
      <c r="D17" s="18"/>
      <c r="E17" s="25" t="s">
        <v>25</v>
      </c>
      <c r="F17" s="1547">
        <f>244.6+13897.6+5086.6</f>
        <v>19228.800000000003</v>
      </c>
      <c r="G17" s="1547"/>
      <c r="H17" s="1547"/>
      <c r="I17" s="1547"/>
      <c r="J17" s="1547"/>
      <c r="K17" s="586" t="s">
        <v>26</v>
      </c>
      <c r="L17" s="22" t="s">
        <v>27</v>
      </c>
      <c r="M17" s="22">
        <v>0.2</v>
      </c>
      <c r="N17" s="22"/>
      <c r="O17" s="22"/>
      <c r="P17" s="22"/>
      <c r="Q17" s="22"/>
    </row>
    <row r="18" spans="1:17" s="20" customFormat="1" ht="25.5" x14ac:dyDescent="0.2">
      <c r="A18" s="16"/>
      <c r="B18" s="23"/>
      <c r="C18" s="24">
        <v>5</v>
      </c>
      <c r="D18" s="18"/>
      <c r="E18" s="26" t="s">
        <v>28</v>
      </c>
      <c r="F18" s="1547">
        <f>286.3+33779.2</f>
        <v>34065.5</v>
      </c>
      <c r="G18" s="1547"/>
      <c r="H18" s="1547"/>
      <c r="I18" s="1547"/>
      <c r="J18" s="1547"/>
      <c r="K18" s="586" t="s">
        <v>29</v>
      </c>
      <c r="L18" s="22" t="s">
        <v>30</v>
      </c>
      <c r="M18" s="22">
        <v>4832</v>
      </c>
      <c r="N18" s="22">
        <v>4850</v>
      </c>
      <c r="O18" s="22">
        <v>4850</v>
      </c>
      <c r="P18" s="22">
        <v>4850</v>
      </c>
      <c r="Q18" s="22">
        <v>4850</v>
      </c>
    </row>
    <row r="19" spans="1:17" s="20" customFormat="1" ht="25.5" x14ac:dyDescent="0.2">
      <c r="A19" s="16"/>
      <c r="B19" s="572"/>
      <c r="C19" s="27">
        <v>6</v>
      </c>
      <c r="D19" s="18"/>
      <c r="E19" s="28" t="s">
        <v>31</v>
      </c>
      <c r="F19" s="1547">
        <f>7319.7+53353.4+5410.8</f>
        <v>66083.899999999994</v>
      </c>
      <c r="G19" s="1547">
        <f>27045.2+1596.4</f>
        <v>28641.600000000002</v>
      </c>
      <c r="H19" s="1547">
        <f>26636.7+1590.9</f>
        <v>28227.600000000002</v>
      </c>
      <c r="I19" s="1547">
        <v>28227.599999999999</v>
      </c>
      <c r="J19" s="1547">
        <v>28227.599999999999</v>
      </c>
      <c r="K19" s="586" t="s">
        <v>32</v>
      </c>
      <c r="L19" s="22" t="s">
        <v>16</v>
      </c>
      <c r="M19" s="22">
        <v>17.600000000000001</v>
      </c>
      <c r="N19" s="22">
        <v>17.600000000000001</v>
      </c>
      <c r="O19" s="22">
        <v>17.600000000000001</v>
      </c>
      <c r="P19" s="22">
        <v>17.600000000000001</v>
      </c>
      <c r="Q19" s="22">
        <v>17.600000000000001</v>
      </c>
    </row>
    <row r="20" spans="1:17" s="20" customFormat="1" ht="39" customHeight="1" x14ac:dyDescent="0.2">
      <c r="A20" s="16"/>
      <c r="B20" s="23"/>
      <c r="C20" s="24">
        <v>9</v>
      </c>
      <c r="D20" s="18"/>
      <c r="E20" s="28" t="s">
        <v>33</v>
      </c>
      <c r="F20" s="1547">
        <f>12135.3</f>
        <v>12135.3</v>
      </c>
      <c r="G20" s="1547">
        <f>636.5+12215.2</f>
        <v>12851.7</v>
      </c>
      <c r="H20" s="1547">
        <f>636.5+12087.8</f>
        <v>12724.3</v>
      </c>
      <c r="I20" s="1547">
        <v>12724.3</v>
      </c>
      <c r="J20" s="1547">
        <v>12724.3</v>
      </c>
      <c r="K20" s="586" t="s">
        <v>34</v>
      </c>
      <c r="L20" s="22"/>
      <c r="M20" s="22">
        <v>257</v>
      </c>
      <c r="N20" s="22">
        <v>260</v>
      </c>
      <c r="O20" s="22">
        <v>260</v>
      </c>
      <c r="P20" s="22">
        <v>260</v>
      </c>
      <c r="Q20" s="22">
        <v>260</v>
      </c>
    </row>
    <row r="21" spans="1:17" s="20" customFormat="1" ht="21" customHeight="1" x14ac:dyDescent="0.2">
      <c r="A21" s="16"/>
      <c r="B21" s="572"/>
      <c r="C21" s="27">
        <v>10</v>
      </c>
      <c r="D21" s="18"/>
      <c r="E21" s="28" t="s">
        <v>35</v>
      </c>
      <c r="F21" s="1547">
        <f>29233.9+250</f>
        <v>29483.9</v>
      </c>
      <c r="G21" s="1547">
        <v>38784.6</v>
      </c>
      <c r="H21" s="1547">
        <v>40163.599999999999</v>
      </c>
      <c r="I21" s="1547">
        <v>40163.599999999999</v>
      </c>
      <c r="J21" s="1547">
        <f>40163.6+4700</f>
        <v>44863.6</v>
      </c>
      <c r="K21" s="586" t="s">
        <v>36</v>
      </c>
      <c r="L21" s="22"/>
      <c r="M21" s="22">
        <v>59</v>
      </c>
      <c r="N21" s="22">
        <v>59</v>
      </c>
      <c r="O21" s="22">
        <v>59</v>
      </c>
      <c r="P21" s="22">
        <v>59</v>
      </c>
      <c r="Q21" s="22">
        <v>59</v>
      </c>
    </row>
    <row r="22" spans="1:17" s="20" customFormat="1" ht="26.25" customHeight="1" x14ac:dyDescent="0.2">
      <c r="A22" s="16"/>
      <c r="B22" s="572"/>
      <c r="C22" s="27">
        <v>11</v>
      </c>
      <c r="D22" s="18"/>
      <c r="E22" s="28" t="s">
        <v>37</v>
      </c>
      <c r="F22" s="1547">
        <f>113.5+84.4+34500</f>
        <v>34697.9</v>
      </c>
      <c r="G22" s="1547">
        <f>150+68.9+30000</f>
        <v>30218.9</v>
      </c>
      <c r="H22" s="1547">
        <f>150+68.9+30000</f>
        <v>30218.9</v>
      </c>
      <c r="I22" s="1547">
        <f>150+68.9+30000</f>
        <v>30218.9</v>
      </c>
      <c r="J22" s="1547">
        <v>30218.9</v>
      </c>
      <c r="K22" s="29"/>
      <c r="L22" s="22"/>
      <c r="M22" s="22"/>
      <c r="N22" s="22"/>
      <c r="O22" s="22"/>
      <c r="P22" s="22"/>
      <c r="Q22" s="22"/>
    </row>
    <row r="23" spans="1:17" s="20" customFormat="1" ht="119.25" customHeight="1" x14ac:dyDescent="0.2">
      <c r="A23" s="16"/>
      <c r="B23" s="572">
        <v>2</v>
      </c>
      <c r="C23" s="30"/>
      <c r="D23" s="31"/>
      <c r="E23" s="32" t="s">
        <v>2489</v>
      </c>
      <c r="F23" s="1561">
        <f>SUM(F24:F28)</f>
        <v>159994.69999999998</v>
      </c>
      <c r="G23" s="1561">
        <f t="shared" ref="G23:J23" si="1">SUM(G24:G28)</f>
        <v>123899.9</v>
      </c>
      <c r="H23" s="1561">
        <f t="shared" si="1"/>
        <v>124177.3</v>
      </c>
      <c r="I23" s="1561">
        <f t="shared" si="1"/>
        <v>124177.3</v>
      </c>
      <c r="J23" s="1561">
        <f t="shared" si="1"/>
        <v>124177.3</v>
      </c>
      <c r="K23" s="160" t="s">
        <v>38</v>
      </c>
      <c r="L23" s="22"/>
      <c r="M23" s="22"/>
      <c r="N23" s="22"/>
      <c r="O23" s="22"/>
      <c r="P23" s="22"/>
      <c r="Q23" s="22"/>
    </row>
    <row r="24" spans="1:17" s="20" customFormat="1" ht="60" customHeight="1" x14ac:dyDescent="0.2">
      <c r="A24" s="16"/>
      <c r="B24" s="572"/>
      <c r="C24" s="27">
        <v>1</v>
      </c>
      <c r="D24" s="33"/>
      <c r="E24" s="34" t="s">
        <v>39</v>
      </c>
      <c r="F24" s="1547">
        <v>72869.600000000006</v>
      </c>
      <c r="G24" s="1547"/>
      <c r="H24" s="1568">
        <v>50934.7</v>
      </c>
      <c r="I24" s="1547">
        <v>50934.7</v>
      </c>
      <c r="J24" s="1547">
        <v>50934.7</v>
      </c>
      <c r="K24" s="586" t="s">
        <v>40</v>
      </c>
      <c r="L24" s="22"/>
      <c r="M24" s="22">
        <v>10</v>
      </c>
      <c r="N24" s="22">
        <v>10</v>
      </c>
      <c r="O24" s="22">
        <v>10</v>
      </c>
      <c r="P24" s="22">
        <v>10</v>
      </c>
      <c r="Q24" s="22">
        <v>10</v>
      </c>
    </row>
    <row r="25" spans="1:17" s="20" customFormat="1" ht="41.25" customHeight="1" x14ac:dyDescent="0.2">
      <c r="A25" s="16"/>
      <c r="B25" s="572"/>
      <c r="C25" s="27">
        <v>2</v>
      </c>
      <c r="D25" s="33"/>
      <c r="E25" s="34" t="s">
        <v>41</v>
      </c>
      <c r="F25" s="1547">
        <v>75150.899999999994</v>
      </c>
      <c r="G25" s="1547"/>
      <c r="H25" s="1547"/>
      <c r="I25" s="1547"/>
      <c r="J25" s="1547"/>
      <c r="K25" s="586" t="s">
        <v>42</v>
      </c>
      <c r="L25" s="22"/>
      <c r="M25" s="22">
        <v>14</v>
      </c>
      <c r="N25" s="22">
        <v>14</v>
      </c>
      <c r="O25" s="22">
        <v>14</v>
      </c>
      <c r="P25" s="22">
        <v>14</v>
      </c>
      <c r="Q25" s="22">
        <v>14</v>
      </c>
    </row>
    <row r="26" spans="1:17" s="20" customFormat="1" ht="25.5" x14ac:dyDescent="0.2">
      <c r="A26" s="16"/>
      <c r="B26" s="572"/>
      <c r="C26" s="2189">
        <v>3</v>
      </c>
      <c r="D26" s="2196"/>
      <c r="E26" s="2193" t="s">
        <v>43</v>
      </c>
      <c r="F26" s="2186">
        <v>4734.8999999999996</v>
      </c>
      <c r="G26" s="2186">
        <v>123899.9</v>
      </c>
      <c r="H26" s="2186">
        <v>73242.600000000006</v>
      </c>
      <c r="I26" s="2186">
        <v>73242.600000000006</v>
      </c>
      <c r="J26" s="2186">
        <v>73242.600000000006</v>
      </c>
      <c r="K26" s="586" t="s">
        <v>44</v>
      </c>
      <c r="L26" s="22"/>
      <c r="M26" s="22">
        <v>0.13</v>
      </c>
      <c r="N26" s="22"/>
      <c r="O26" s="22"/>
      <c r="P26" s="22"/>
      <c r="Q26" s="22"/>
    </row>
    <row r="27" spans="1:17" s="20" customFormat="1" ht="12.75" x14ac:dyDescent="0.2">
      <c r="A27" s="16"/>
      <c r="B27" s="573"/>
      <c r="C27" s="2190"/>
      <c r="D27" s="2197"/>
      <c r="E27" s="2194"/>
      <c r="F27" s="1789"/>
      <c r="G27" s="1789"/>
      <c r="H27" s="1789"/>
      <c r="I27" s="1789"/>
      <c r="J27" s="1789"/>
      <c r="K27" s="586" t="s">
        <v>45</v>
      </c>
      <c r="L27" s="22"/>
      <c r="M27" s="22">
        <v>1</v>
      </c>
      <c r="N27" s="22">
        <v>1</v>
      </c>
      <c r="O27" s="22">
        <v>1</v>
      </c>
      <c r="P27" s="22">
        <v>1</v>
      </c>
      <c r="Q27" s="22">
        <v>1</v>
      </c>
    </row>
    <row r="28" spans="1:17" s="20" customFormat="1" ht="41.25" customHeight="1" x14ac:dyDescent="0.2">
      <c r="A28" s="16"/>
      <c r="B28" s="36"/>
      <c r="C28" s="27">
        <v>4</v>
      </c>
      <c r="D28" s="37"/>
      <c r="E28" s="32" t="s">
        <v>46</v>
      </c>
      <c r="F28" s="1547">
        <v>7239.3</v>
      </c>
      <c r="G28" s="1547"/>
      <c r="H28" s="1547"/>
      <c r="I28" s="1547"/>
      <c r="J28" s="1547"/>
      <c r="K28" s="586" t="s">
        <v>47</v>
      </c>
      <c r="L28" s="22"/>
      <c r="M28" s="22">
        <v>3</v>
      </c>
      <c r="N28" s="22">
        <v>5</v>
      </c>
      <c r="O28" s="22">
        <v>5</v>
      </c>
      <c r="P28" s="22">
        <v>5</v>
      </c>
      <c r="Q28" s="22">
        <v>5</v>
      </c>
    </row>
    <row r="29" spans="1:17" s="20" customFormat="1" ht="80.25" customHeight="1" x14ac:dyDescent="0.2">
      <c r="A29" s="16"/>
      <c r="B29" s="36">
        <v>3</v>
      </c>
      <c r="C29" s="27"/>
      <c r="D29" s="38"/>
      <c r="E29" s="32" t="s">
        <v>2490</v>
      </c>
      <c r="F29" s="1547">
        <f>SUM(F30:F33)</f>
        <v>359667.3</v>
      </c>
      <c r="G29" s="1547">
        <f t="shared" ref="G29:I29" si="2">SUM(G30:G33)</f>
        <v>419492.9</v>
      </c>
      <c r="H29" s="1547">
        <f t="shared" si="2"/>
        <v>417672.2</v>
      </c>
      <c r="I29" s="1547">
        <f t="shared" si="2"/>
        <v>430630.7</v>
      </c>
      <c r="J29" s="1547">
        <f>SUM(J30:J33)</f>
        <v>432513</v>
      </c>
      <c r="K29" s="160" t="s">
        <v>48</v>
      </c>
      <c r="L29" s="22"/>
      <c r="M29" s="22"/>
      <c r="N29" s="22"/>
      <c r="O29" s="22"/>
      <c r="P29" s="22"/>
      <c r="Q29" s="22"/>
    </row>
    <row r="30" spans="1:17" s="20" customFormat="1" ht="43.5" customHeight="1" x14ac:dyDescent="0.2">
      <c r="A30" s="16"/>
      <c r="B30" s="36"/>
      <c r="C30" s="27">
        <v>1</v>
      </c>
      <c r="D30" s="38"/>
      <c r="E30" s="34" t="s">
        <v>49</v>
      </c>
      <c r="F30" s="1547">
        <v>256524.1</v>
      </c>
      <c r="G30" s="1547">
        <v>194550.9</v>
      </c>
      <c r="H30" s="1547">
        <v>196106.3</v>
      </c>
      <c r="I30" s="1547">
        <f>196106.3+12958.5</f>
        <v>209064.8</v>
      </c>
      <c r="J30" s="1547">
        <f>196106.3+12958.5+1882.3</f>
        <v>210947.09999999998</v>
      </c>
      <c r="K30" s="586" t="s">
        <v>50</v>
      </c>
      <c r="L30" s="22"/>
      <c r="M30" s="22">
        <v>318</v>
      </c>
      <c r="N30" s="22">
        <v>320</v>
      </c>
      <c r="O30" s="22">
        <v>320</v>
      </c>
      <c r="P30" s="22">
        <v>320</v>
      </c>
      <c r="Q30" s="22">
        <v>320</v>
      </c>
    </row>
    <row r="31" spans="1:17" s="20" customFormat="1" ht="12.75" x14ac:dyDescent="0.2">
      <c r="A31" s="16"/>
      <c r="B31" s="2187"/>
      <c r="C31" s="2189">
        <v>2</v>
      </c>
      <c r="D31" s="2191"/>
      <c r="E31" s="2193" t="s">
        <v>51</v>
      </c>
      <c r="F31" s="2186">
        <v>68999.100000000006</v>
      </c>
      <c r="G31" s="2186">
        <f>71803.4+2100</f>
        <v>73903.399999999994</v>
      </c>
      <c r="H31" s="2186">
        <v>72778.5</v>
      </c>
      <c r="I31" s="2186">
        <v>72778.5</v>
      </c>
      <c r="J31" s="2186">
        <v>72778.5</v>
      </c>
      <c r="K31" s="39" t="s">
        <v>52</v>
      </c>
      <c r="L31" s="22"/>
      <c r="M31" s="22">
        <v>94</v>
      </c>
      <c r="N31" s="22">
        <v>94</v>
      </c>
      <c r="O31" s="22">
        <v>94</v>
      </c>
      <c r="P31" s="22">
        <v>94</v>
      </c>
      <c r="Q31" s="22">
        <v>94</v>
      </c>
    </row>
    <row r="32" spans="1:17" s="20" customFormat="1" ht="25.5" x14ac:dyDescent="0.2">
      <c r="A32" s="16"/>
      <c r="B32" s="2188"/>
      <c r="C32" s="2190"/>
      <c r="D32" s="2192"/>
      <c r="E32" s="2194"/>
      <c r="F32" s="1789"/>
      <c r="G32" s="1789"/>
      <c r="H32" s="1789"/>
      <c r="I32" s="1789"/>
      <c r="J32" s="1789"/>
      <c r="K32" s="586" t="s">
        <v>53</v>
      </c>
      <c r="L32" s="22"/>
      <c r="M32" s="22">
        <v>74</v>
      </c>
      <c r="N32" s="22">
        <v>70</v>
      </c>
      <c r="O32" s="22">
        <v>75</v>
      </c>
      <c r="P32" s="22">
        <v>75</v>
      </c>
      <c r="Q32" s="22">
        <v>75</v>
      </c>
    </row>
    <row r="33" spans="1:17" s="20" customFormat="1" ht="46.5" customHeight="1" x14ac:dyDescent="0.2">
      <c r="A33" s="16"/>
      <c r="B33" s="572"/>
      <c r="C33" s="27">
        <v>3</v>
      </c>
      <c r="D33" s="575"/>
      <c r="E33" s="32" t="s">
        <v>46</v>
      </c>
      <c r="F33" s="1547">
        <v>34144.1</v>
      </c>
      <c r="G33" s="1547">
        <v>151038.6</v>
      </c>
      <c r="H33" s="1547">
        <f>1683.2+147104.2</f>
        <v>148787.40000000002</v>
      </c>
      <c r="I33" s="1547">
        <f>1683.2+147104.2</f>
        <v>148787.40000000002</v>
      </c>
      <c r="J33" s="1547">
        <f>1683.2+147104.2</f>
        <v>148787.40000000002</v>
      </c>
      <c r="K33" s="586" t="s">
        <v>54</v>
      </c>
      <c r="L33" s="22"/>
      <c r="M33" s="22">
        <v>4</v>
      </c>
      <c r="N33" s="22">
        <v>6</v>
      </c>
      <c r="O33" s="22">
        <v>6</v>
      </c>
      <c r="P33" s="22">
        <v>6</v>
      </c>
      <c r="Q33" s="22">
        <v>6</v>
      </c>
    </row>
    <row r="34" spans="1:17" s="20" customFormat="1" ht="92.25" customHeight="1" x14ac:dyDescent="0.2">
      <c r="A34" s="16"/>
      <c r="B34" s="572">
        <v>4</v>
      </c>
      <c r="C34" s="27"/>
      <c r="D34" s="575"/>
      <c r="E34" s="32" t="s">
        <v>2491</v>
      </c>
      <c r="F34" s="1547">
        <f>SUM(F35:F39)</f>
        <v>10551.7</v>
      </c>
      <c r="G34" s="1547">
        <f t="shared" ref="G34:J34" si="3">SUM(G35:G39)</f>
        <v>0</v>
      </c>
      <c r="H34" s="1568">
        <f t="shared" si="3"/>
        <v>0</v>
      </c>
      <c r="I34" s="1547">
        <f t="shared" si="3"/>
        <v>0</v>
      </c>
      <c r="J34" s="1547">
        <f t="shared" si="3"/>
        <v>0</v>
      </c>
      <c r="K34" s="160" t="s">
        <v>55</v>
      </c>
      <c r="L34" s="22"/>
      <c r="M34" s="22"/>
      <c r="N34" s="22"/>
      <c r="O34" s="22"/>
      <c r="P34" s="22"/>
      <c r="Q34" s="22"/>
    </row>
    <row r="35" spans="1:17" s="20" customFormat="1" ht="12.75" x14ac:dyDescent="0.2">
      <c r="A35" s="16"/>
      <c r="B35" s="572"/>
      <c r="C35" s="2189">
        <v>1</v>
      </c>
      <c r="D35" s="2191"/>
      <c r="E35" s="2193" t="s">
        <v>56</v>
      </c>
      <c r="F35" s="2186">
        <v>3456</v>
      </c>
      <c r="G35" s="2186"/>
      <c r="H35" s="2186"/>
      <c r="I35" s="2186"/>
      <c r="J35" s="2186"/>
      <c r="K35" s="586" t="s">
        <v>57</v>
      </c>
      <c r="L35" s="22"/>
      <c r="M35" s="22">
        <v>5</v>
      </c>
      <c r="N35" s="22"/>
      <c r="O35" s="22"/>
      <c r="P35" s="22"/>
      <c r="Q35" s="22"/>
    </row>
    <row r="36" spans="1:17" s="20" customFormat="1" ht="12.75" x14ac:dyDescent="0.2">
      <c r="A36" s="16"/>
      <c r="B36" s="17"/>
      <c r="C36" s="2204"/>
      <c r="D36" s="2205"/>
      <c r="E36" s="2206"/>
      <c r="F36" s="1788"/>
      <c r="G36" s="1788"/>
      <c r="H36" s="1788"/>
      <c r="I36" s="1788"/>
      <c r="J36" s="1788"/>
      <c r="K36" s="586" t="s">
        <v>58</v>
      </c>
      <c r="L36" s="22"/>
      <c r="M36" s="22">
        <v>68</v>
      </c>
      <c r="N36" s="22"/>
      <c r="O36" s="22"/>
      <c r="P36" s="22"/>
      <c r="Q36" s="22"/>
    </row>
    <row r="37" spans="1:17" s="20" customFormat="1" ht="12.75" x14ac:dyDescent="0.2">
      <c r="A37" s="16"/>
      <c r="B37" s="573"/>
      <c r="C37" s="2190"/>
      <c r="D37" s="2192"/>
      <c r="E37" s="2194"/>
      <c r="F37" s="1789"/>
      <c r="G37" s="1789"/>
      <c r="H37" s="1789"/>
      <c r="I37" s="1789"/>
      <c r="J37" s="1789"/>
      <c r="K37" s="586" t="s">
        <v>59</v>
      </c>
      <c r="L37" s="22"/>
      <c r="M37" s="22">
        <v>94</v>
      </c>
      <c r="N37" s="22"/>
      <c r="O37" s="22"/>
      <c r="P37" s="22"/>
      <c r="Q37" s="22"/>
    </row>
    <row r="38" spans="1:17" s="20" customFormat="1" ht="12.75" x14ac:dyDescent="0.2">
      <c r="A38" s="16"/>
      <c r="B38" s="572"/>
      <c r="C38" s="2189">
        <v>2</v>
      </c>
      <c r="D38" s="2191"/>
      <c r="E38" s="2193" t="s">
        <v>60</v>
      </c>
      <c r="F38" s="2186">
        <v>7095.7</v>
      </c>
      <c r="G38" s="2186"/>
      <c r="H38" s="2186"/>
      <c r="I38" s="2186"/>
      <c r="J38" s="2186"/>
      <c r="K38" s="586" t="s">
        <v>61</v>
      </c>
      <c r="L38" s="22"/>
      <c r="M38" s="22">
        <v>5</v>
      </c>
      <c r="N38" s="22"/>
      <c r="O38" s="22"/>
      <c r="P38" s="22"/>
      <c r="Q38" s="22"/>
    </row>
    <row r="39" spans="1:17" s="20" customFormat="1" ht="12.75" x14ac:dyDescent="0.2">
      <c r="A39" s="16"/>
      <c r="B39" s="573"/>
      <c r="C39" s="2190"/>
      <c r="D39" s="2192"/>
      <c r="E39" s="2194"/>
      <c r="F39" s="1789"/>
      <c r="G39" s="1789"/>
      <c r="H39" s="1789"/>
      <c r="I39" s="1789"/>
      <c r="J39" s="1789"/>
      <c r="K39" s="586" t="s">
        <v>62</v>
      </c>
      <c r="L39" s="22"/>
      <c r="M39" s="22">
        <v>2</v>
      </c>
      <c r="N39" s="22"/>
      <c r="O39" s="22"/>
      <c r="P39" s="22"/>
      <c r="Q39" s="22"/>
    </row>
    <row r="40" spans="1:17" s="46" customFormat="1" ht="18" customHeight="1" x14ac:dyDescent="0.2">
      <c r="A40" s="45"/>
      <c r="B40" s="2198" t="s">
        <v>2722</v>
      </c>
      <c r="C40" s="2198"/>
      <c r="D40" s="2198"/>
      <c r="E40" s="2198"/>
      <c r="F40" s="1572">
        <f>F13+F23+F29+F34</f>
        <v>777143.2</v>
      </c>
      <c r="G40" s="1572">
        <f>G13+G23+G29+G34</f>
        <v>707025.3</v>
      </c>
      <c r="H40" s="1572">
        <f>H13+H23+H29+H34</f>
        <v>707025.3</v>
      </c>
      <c r="I40" s="1572">
        <f>I13+I23+I29+I34</f>
        <v>719983.8</v>
      </c>
      <c r="J40" s="1572">
        <f>J13+J23+J29+J34</f>
        <v>726566.1</v>
      </c>
      <c r="K40" s="704"/>
      <c r="L40" s="2199"/>
      <c r="M40" s="2199"/>
      <c r="N40" s="2199"/>
      <c r="O40" s="2199"/>
      <c r="P40" s="2199"/>
      <c r="Q40" s="2199"/>
    </row>
    <row r="41" spans="1:17" s="46" customFormat="1" ht="22.5" customHeight="1" x14ac:dyDescent="0.2">
      <c r="A41" s="45"/>
      <c r="B41" s="42" t="s">
        <v>63</v>
      </c>
      <c r="C41" s="570"/>
      <c r="D41" s="570"/>
      <c r="E41" s="570"/>
      <c r="F41" s="1563">
        <f>F40+7639.3</f>
        <v>784782.5</v>
      </c>
      <c r="G41" s="1567">
        <f>G40+6389.4</f>
        <v>713414.70000000007</v>
      </c>
      <c r="H41" s="1563">
        <f>H40+6520.5</f>
        <v>713545.8</v>
      </c>
      <c r="I41" s="1563">
        <f>I40+6683.5</f>
        <v>726667.3</v>
      </c>
      <c r="J41" s="1563">
        <f>J40+6850.5</f>
        <v>733416.6</v>
      </c>
      <c r="K41" s="42"/>
      <c r="L41" s="705"/>
      <c r="M41" s="705"/>
      <c r="N41" s="705"/>
      <c r="O41" s="705"/>
      <c r="P41" s="705"/>
      <c r="Q41" s="705"/>
    </row>
    <row r="42" spans="1:17" s="15" customFormat="1" ht="33" customHeight="1" x14ac:dyDescent="0.2">
      <c r="A42" s="1881" t="s">
        <v>64</v>
      </c>
      <c r="B42" s="2200"/>
      <c r="C42" s="2200"/>
      <c r="D42" s="2200"/>
      <c r="E42" s="2200"/>
      <c r="F42" s="1577"/>
      <c r="G42" s="1577"/>
      <c r="H42" s="1577"/>
      <c r="I42" s="1577"/>
      <c r="J42" s="1577"/>
      <c r="K42" s="47"/>
      <c r="L42" s="48"/>
      <c r="M42" s="48"/>
      <c r="N42" s="48"/>
      <c r="O42" s="48"/>
      <c r="P42" s="48"/>
      <c r="Q42" s="48"/>
    </row>
    <row r="43" spans="1:17" s="51" customFormat="1" ht="38.25" x14ac:dyDescent="0.2">
      <c r="A43" s="49"/>
      <c r="B43" s="50" t="s">
        <v>111</v>
      </c>
      <c r="C43" s="706"/>
      <c r="D43" s="623"/>
      <c r="E43" s="218" t="s">
        <v>65</v>
      </c>
      <c r="F43" s="1547">
        <v>113776.4</v>
      </c>
      <c r="G43" s="1547">
        <v>131049.4</v>
      </c>
      <c r="H43" s="1547">
        <f>104152.2-14151.3+25431.8</f>
        <v>115432.7</v>
      </c>
      <c r="I43" s="1547">
        <v>105232.7</v>
      </c>
      <c r="J43" s="1547">
        <v>106326.5</v>
      </c>
      <c r="K43" s="604"/>
      <c r="L43" s="52"/>
      <c r="M43" s="53"/>
      <c r="N43" s="53"/>
      <c r="O43" s="53"/>
      <c r="P43" s="53"/>
      <c r="Q43" s="53"/>
    </row>
    <row r="44" spans="1:17" s="51" customFormat="1" ht="38.25" customHeight="1" x14ac:dyDescent="0.2">
      <c r="A44" s="49"/>
      <c r="B44" s="54"/>
      <c r="C44" s="706">
        <v>1</v>
      </c>
      <c r="D44" s="623"/>
      <c r="E44" s="231" t="s">
        <v>66</v>
      </c>
      <c r="F44" s="1547">
        <v>2190</v>
      </c>
      <c r="G44" s="1547">
        <v>7062.9</v>
      </c>
      <c r="H44" s="1547">
        <v>5894.6</v>
      </c>
      <c r="I44" s="1547">
        <v>5894.6</v>
      </c>
      <c r="J44" s="1547">
        <v>5894.6</v>
      </c>
      <c r="K44" s="55"/>
      <c r="L44" s="52"/>
      <c r="M44" s="56"/>
      <c r="N44" s="56"/>
      <c r="O44" s="56"/>
      <c r="P44" s="56"/>
      <c r="Q44" s="56"/>
    </row>
    <row r="45" spans="1:17" s="51" customFormat="1" ht="25.5" x14ac:dyDescent="0.2">
      <c r="A45" s="49"/>
      <c r="B45" s="57"/>
      <c r="C45" s="706">
        <v>2</v>
      </c>
      <c r="D45" s="623"/>
      <c r="E45" s="231" t="s">
        <v>67</v>
      </c>
      <c r="F45" s="1563">
        <v>34305.9</v>
      </c>
      <c r="G45" s="1563">
        <v>30000</v>
      </c>
      <c r="H45" s="1563">
        <v>30000</v>
      </c>
      <c r="I45" s="1563">
        <v>30000</v>
      </c>
      <c r="J45" s="1563">
        <v>30000</v>
      </c>
      <c r="K45" s="59"/>
      <c r="L45" s="52"/>
      <c r="M45" s="60"/>
      <c r="N45" s="60"/>
      <c r="O45" s="60"/>
      <c r="P45" s="60"/>
      <c r="Q45" s="60"/>
    </row>
    <row r="46" spans="1:17" s="15" customFormat="1" ht="18" customHeight="1" x14ac:dyDescent="0.2">
      <c r="A46" s="2201" t="s">
        <v>68</v>
      </c>
      <c r="B46" s="2202"/>
      <c r="C46" s="2202"/>
      <c r="D46" s="2202"/>
      <c r="E46" s="2203"/>
      <c r="F46" s="1578">
        <f>F43+F44+F45</f>
        <v>150272.29999999999</v>
      </c>
      <c r="G46" s="1578">
        <f t="shared" ref="G46:J46" si="4">G43+G44+G45</f>
        <v>168112.3</v>
      </c>
      <c r="H46" s="1578">
        <f t="shared" si="4"/>
        <v>151327.29999999999</v>
      </c>
      <c r="I46" s="1578">
        <f t="shared" si="4"/>
        <v>141127.29999999999</v>
      </c>
      <c r="J46" s="1578">
        <f t="shared" si="4"/>
        <v>142221.1</v>
      </c>
      <c r="K46" s="584"/>
      <c r="L46" s="602"/>
      <c r="M46" s="602"/>
      <c r="N46" s="602"/>
      <c r="O46" s="602"/>
      <c r="P46" s="602"/>
      <c r="Q46" s="602"/>
    </row>
    <row r="47" spans="1:17" s="15" customFormat="1" ht="28.5" customHeight="1" x14ac:dyDescent="0.2">
      <c r="A47" s="2219" t="s">
        <v>69</v>
      </c>
      <c r="B47" s="2219"/>
      <c r="C47" s="2219"/>
      <c r="D47" s="2219"/>
      <c r="E47" s="2219"/>
      <c r="F47" s="2219"/>
      <c r="G47" s="2219"/>
      <c r="H47" s="2219"/>
      <c r="I47" s="2219"/>
      <c r="J47" s="2219"/>
      <c r="K47" s="2219"/>
      <c r="L47" s="2219"/>
      <c r="M47" s="2219"/>
      <c r="N47" s="2219"/>
      <c r="O47" s="2219"/>
      <c r="P47" s="2219"/>
      <c r="Q47" s="2220"/>
    </row>
    <row r="48" spans="1:17" s="20" customFormat="1" ht="25.5" x14ac:dyDescent="0.2">
      <c r="A48" s="61"/>
      <c r="B48" s="62"/>
      <c r="C48" s="502">
        <v>1</v>
      </c>
      <c r="D48" s="63"/>
      <c r="E48" s="127" t="s">
        <v>70</v>
      </c>
      <c r="F48" s="1571">
        <v>7952.7</v>
      </c>
      <c r="G48" s="1571">
        <v>7952.7</v>
      </c>
      <c r="H48" s="1571">
        <v>7952.7</v>
      </c>
      <c r="I48" s="1571">
        <v>8104.9</v>
      </c>
      <c r="J48" s="1571">
        <v>8082.2</v>
      </c>
      <c r="K48" s="40" t="s">
        <v>2495</v>
      </c>
      <c r="L48" s="591"/>
      <c r="M48" s="591"/>
      <c r="N48" s="591"/>
      <c r="O48" s="591"/>
      <c r="P48" s="64"/>
      <c r="Q48" s="64"/>
    </row>
    <row r="49" spans="1:23" s="15" customFormat="1" ht="21" customHeight="1" x14ac:dyDescent="0.2">
      <c r="A49" s="2221" t="s">
        <v>68</v>
      </c>
      <c r="B49" s="2222"/>
      <c r="C49" s="2222"/>
      <c r="D49" s="2222"/>
      <c r="E49" s="2223"/>
      <c r="F49" s="1579">
        <v>7952.7</v>
      </c>
      <c r="G49" s="1579">
        <v>7952.7</v>
      </c>
      <c r="H49" s="1579">
        <v>7952.7</v>
      </c>
      <c r="I49" s="1579">
        <v>8104.9</v>
      </c>
      <c r="J49" s="1579">
        <v>8082.2</v>
      </c>
      <c r="K49" s="65"/>
      <c r="L49" s="608"/>
      <c r="M49" s="608"/>
      <c r="N49" s="608"/>
      <c r="O49" s="608"/>
      <c r="P49" s="608"/>
      <c r="Q49" s="608"/>
    </row>
    <row r="50" spans="1:23" s="15" customFormat="1" ht="27.75" customHeight="1" x14ac:dyDescent="0.2">
      <c r="A50" s="1912" t="s">
        <v>71</v>
      </c>
      <c r="B50" s="1913"/>
      <c r="C50" s="1913"/>
      <c r="D50" s="1913"/>
      <c r="E50" s="1913"/>
      <c r="F50" s="1913"/>
      <c r="G50" s="1913"/>
      <c r="H50" s="1913"/>
      <c r="I50" s="1913"/>
      <c r="J50" s="1913"/>
      <c r="K50" s="1913"/>
      <c r="L50" s="1913"/>
      <c r="M50" s="1913"/>
      <c r="N50" s="1913"/>
      <c r="O50" s="1913"/>
      <c r="P50" s="1913"/>
      <c r="Q50" s="2224"/>
    </row>
    <row r="51" spans="1:23" s="51" customFormat="1" ht="12.75" x14ac:dyDescent="0.2">
      <c r="A51" s="49"/>
      <c r="B51" s="2225">
        <v>1</v>
      </c>
      <c r="C51" s="2226"/>
      <c r="D51" s="2226"/>
      <c r="E51" s="2227" t="s">
        <v>2493</v>
      </c>
      <c r="F51" s="2212">
        <v>172223.2</v>
      </c>
      <c r="G51" s="2212">
        <v>201144.6</v>
      </c>
      <c r="H51" s="2212">
        <v>181769.3</v>
      </c>
      <c r="I51" s="2212">
        <v>163385</v>
      </c>
      <c r="J51" s="2212">
        <v>165020.6</v>
      </c>
      <c r="K51" s="2208" t="s">
        <v>72</v>
      </c>
      <c r="L51" s="2214" t="s">
        <v>30</v>
      </c>
      <c r="M51" s="60">
        <v>370</v>
      </c>
      <c r="N51" s="60">
        <v>370</v>
      </c>
      <c r="O51" s="60">
        <v>370</v>
      </c>
      <c r="P51" s="60">
        <v>370</v>
      </c>
      <c r="Q51" s="60">
        <v>370</v>
      </c>
    </row>
    <row r="52" spans="1:23" s="51" customFormat="1" ht="59.25" customHeight="1" x14ac:dyDescent="0.2">
      <c r="A52" s="49"/>
      <c r="B52" s="2225"/>
      <c r="C52" s="2226"/>
      <c r="D52" s="2226"/>
      <c r="E52" s="2227"/>
      <c r="F52" s="2213"/>
      <c r="G52" s="2213"/>
      <c r="H52" s="2213"/>
      <c r="I52" s="2213"/>
      <c r="J52" s="2213"/>
      <c r="K52" s="1739"/>
      <c r="L52" s="2215"/>
      <c r="M52" s="60">
        <v>620</v>
      </c>
      <c r="N52" s="60">
        <v>620</v>
      </c>
      <c r="O52" s="60">
        <v>620</v>
      </c>
      <c r="P52" s="60">
        <v>620</v>
      </c>
      <c r="Q52" s="60">
        <v>620</v>
      </c>
    </row>
    <row r="53" spans="1:23" s="51" customFormat="1" ht="55.5" customHeight="1" x14ac:dyDescent="0.2">
      <c r="A53" s="49"/>
      <c r="B53" s="2225"/>
      <c r="C53" s="706">
        <v>1</v>
      </c>
      <c r="D53" s="623"/>
      <c r="E53" s="231" t="s">
        <v>73</v>
      </c>
      <c r="F53" s="1538">
        <v>2616.1</v>
      </c>
      <c r="G53" s="1538">
        <v>5586.1</v>
      </c>
      <c r="H53" s="1538">
        <v>4786.1000000000004</v>
      </c>
      <c r="I53" s="1538">
        <v>2786.1</v>
      </c>
      <c r="J53" s="1538">
        <v>2786.1</v>
      </c>
      <c r="K53" s="231" t="s">
        <v>74</v>
      </c>
      <c r="L53" s="52" t="s">
        <v>30</v>
      </c>
      <c r="M53" s="66">
        <v>15</v>
      </c>
      <c r="N53" s="66">
        <v>15</v>
      </c>
      <c r="O53" s="66">
        <v>15</v>
      </c>
      <c r="P53" s="66">
        <v>15</v>
      </c>
      <c r="Q53" s="66">
        <v>15</v>
      </c>
    </row>
    <row r="54" spans="1:23" s="51" customFormat="1" ht="38.25" x14ac:dyDescent="0.2">
      <c r="A54" s="49"/>
      <c r="B54" s="2225"/>
      <c r="C54" s="706">
        <v>2</v>
      </c>
      <c r="D54" s="623"/>
      <c r="E54" s="231" t="s">
        <v>2494</v>
      </c>
      <c r="F54" s="1565">
        <v>32494.5</v>
      </c>
      <c r="G54" s="1565">
        <v>30000</v>
      </c>
      <c r="H54" s="1565">
        <v>30000</v>
      </c>
      <c r="I54" s="1565">
        <v>30000</v>
      </c>
      <c r="J54" s="1565">
        <v>30000</v>
      </c>
      <c r="K54" s="231" t="s">
        <v>75</v>
      </c>
      <c r="L54" s="52" t="s">
        <v>30</v>
      </c>
      <c r="M54" s="60">
        <v>138</v>
      </c>
      <c r="N54" s="60">
        <v>138</v>
      </c>
      <c r="O54" s="60">
        <v>138</v>
      </c>
      <c r="P54" s="60">
        <v>138</v>
      </c>
      <c r="Q54" s="60">
        <v>138</v>
      </c>
    </row>
    <row r="55" spans="1:23" s="15" customFormat="1" ht="12.75" x14ac:dyDescent="0.2">
      <c r="A55" s="2216" t="s">
        <v>68</v>
      </c>
      <c r="B55" s="2216"/>
      <c r="C55" s="2216"/>
      <c r="D55" s="2216"/>
      <c r="E55" s="2216"/>
      <c r="F55" s="1580">
        <f>F51+F53+F54</f>
        <v>207333.80000000002</v>
      </c>
      <c r="G55" s="1580">
        <f t="shared" ref="G55:J55" si="5">G51+G53+G54</f>
        <v>236730.7</v>
      </c>
      <c r="H55" s="1580">
        <f t="shared" si="5"/>
        <v>216555.4</v>
      </c>
      <c r="I55" s="1580">
        <f t="shared" si="5"/>
        <v>196171.1</v>
      </c>
      <c r="J55" s="1580">
        <f t="shared" si="5"/>
        <v>197806.7</v>
      </c>
      <c r="K55" s="68"/>
      <c r="L55" s="67"/>
      <c r="M55" s="69"/>
      <c r="N55" s="69"/>
      <c r="O55" s="69"/>
      <c r="P55" s="69"/>
      <c r="Q55" s="70"/>
    </row>
    <row r="56" spans="1:23" s="15" customFormat="1" ht="29.25" customHeight="1" x14ac:dyDescent="0.2">
      <c r="A56" s="2217" t="s">
        <v>76</v>
      </c>
      <c r="B56" s="2217"/>
      <c r="C56" s="2217"/>
      <c r="D56" s="2217"/>
      <c r="E56" s="2217"/>
      <c r="F56" s="2217"/>
      <c r="G56" s="2217"/>
      <c r="H56" s="2217"/>
      <c r="I56" s="2217"/>
      <c r="J56" s="2217"/>
      <c r="K56" s="2217"/>
      <c r="L56" s="2217"/>
      <c r="M56" s="2217"/>
      <c r="N56" s="2217"/>
      <c r="O56" s="2217"/>
      <c r="P56" s="2217"/>
      <c r="Q56" s="2218"/>
      <c r="R56" s="71"/>
      <c r="S56" s="71"/>
      <c r="T56" s="71"/>
      <c r="U56" s="71"/>
      <c r="V56" s="71"/>
      <c r="W56" s="71"/>
    </row>
    <row r="57" spans="1:23" s="51" customFormat="1" ht="43.5" customHeight="1" x14ac:dyDescent="0.2">
      <c r="A57" s="49"/>
      <c r="B57" s="872" t="s">
        <v>111</v>
      </c>
      <c r="C57" s="706"/>
      <c r="D57" s="623"/>
      <c r="E57" s="218" t="s">
        <v>77</v>
      </c>
      <c r="F57" s="1552">
        <v>124157.5</v>
      </c>
      <c r="G57" s="1552">
        <v>124250.7</v>
      </c>
      <c r="H57" s="1552">
        <v>124678.1</v>
      </c>
      <c r="I57" s="1552">
        <v>124678.1</v>
      </c>
      <c r="J57" s="1552">
        <v>124678.1</v>
      </c>
      <c r="K57" s="108" t="s">
        <v>78</v>
      </c>
      <c r="L57" s="52" t="s">
        <v>30</v>
      </c>
      <c r="M57" s="668">
        <v>37</v>
      </c>
      <c r="N57" s="668">
        <v>37</v>
      </c>
      <c r="O57" s="668">
        <v>37</v>
      </c>
      <c r="P57" s="668">
        <v>37</v>
      </c>
      <c r="Q57" s="668"/>
    </row>
    <row r="58" spans="1:23" s="51" customFormat="1" ht="39.75" customHeight="1" x14ac:dyDescent="0.2">
      <c r="A58" s="49"/>
      <c r="B58" s="581"/>
      <c r="C58" s="706"/>
      <c r="D58" s="623"/>
      <c r="E58" s="108" t="s">
        <v>2552</v>
      </c>
      <c r="F58" s="1581">
        <v>158328</v>
      </c>
      <c r="G58" s="1581">
        <v>37005.699999999997</v>
      </c>
      <c r="H58" s="1581">
        <v>48135.7</v>
      </c>
      <c r="I58" s="1581">
        <v>53025.7</v>
      </c>
      <c r="J58" s="1581">
        <v>57976</v>
      </c>
      <c r="K58" s="108" t="s">
        <v>79</v>
      </c>
      <c r="L58" s="52" t="s">
        <v>30</v>
      </c>
      <c r="M58" s="668">
        <v>90</v>
      </c>
      <c r="N58" s="668">
        <v>90</v>
      </c>
      <c r="O58" s="668">
        <v>90</v>
      </c>
      <c r="P58" s="668">
        <v>90</v>
      </c>
      <c r="Q58" s="668"/>
    </row>
    <row r="59" spans="1:23" s="51" customFormat="1" ht="51.75" customHeight="1" x14ac:dyDescent="0.2">
      <c r="A59" s="49"/>
      <c r="B59" s="581"/>
      <c r="C59" s="706"/>
      <c r="D59" s="623"/>
      <c r="E59" s="108" t="s">
        <v>2553</v>
      </c>
      <c r="F59" s="1547">
        <v>2169.6999999999998</v>
      </c>
      <c r="G59" s="1547">
        <v>2957.3</v>
      </c>
      <c r="H59" s="1547">
        <v>2957.3</v>
      </c>
      <c r="I59" s="1547">
        <v>2957.3</v>
      </c>
      <c r="J59" s="1547">
        <v>2957.3</v>
      </c>
      <c r="K59" s="72" t="s">
        <v>80</v>
      </c>
      <c r="L59" s="52" t="s">
        <v>30</v>
      </c>
      <c r="M59" s="668">
        <v>200</v>
      </c>
      <c r="N59" s="668">
        <v>200</v>
      </c>
      <c r="O59" s="668">
        <v>200</v>
      </c>
      <c r="P59" s="668">
        <v>200</v>
      </c>
      <c r="Q59" s="668"/>
    </row>
    <row r="60" spans="1:23" s="51" customFormat="1" ht="72" customHeight="1" x14ac:dyDescent="0.2">
      <c r="A60" s="49"/>
      <c r="B60" s="581"/>
      <c r="C60" s="578"/>
      <c r="D60" s="623"/>
      <c r="E60" s="108" t="s">
        <v>81</v>
      </c>
      <c r="F60" s="1547">
        <v>8110.1</v>
      </c>
      <c r="G60" s="1547">
        <v>8213.7000000000007</v>
      </c>
      <c r="H60" s="1547">
        <v>8496.9</v>
      </c>
      <c r="I60" s="1547">
        <v>8496.9</v>
      </c>
      <c r="J60" s="1547">
        <v>8496.9</v>
      </c>
      <c r="K60" s="108" t="s">
        <v>82</v>
      </c>
      <c r="L60" s="668" t="s">
        <v>83</v>
      </c>
      <c r="M60" s="73">
        <v>2445</v>
      </c>
      <c r="N60" s="73">
        <v>1545</v>
      </c>
      <c r="O60" s="73">
        <v>2215</v>
      </c>
      <c r="P60" s="73">
        <v>2215</v>
      </c>
      <c r="Q60" s="73"/>
    </row>
    <row r="61" spans="1:23" s="51" customFormat="1" ht="39" customHeight="1" x14ac:dyDescent="0.2">
      <c r="A61" s="49"/>
      <c r="B61" s="581"/>
      <c r="C61" s="578"/>
      <c r="D61" s="623"/>
      <c r="E61" s="108" t="s">
        <v>84</v>
      </c>
      <c r="F61" s="1547">
        <v>828.6</v>
      </c>
      <c r="G61" s="1547">
        <v>1238</v>
      </c>
      <c r="H61" s="1547">
        <v>374</v>
      </c>
      <c r="I61" s="1547">
        <v>374</v>
      </c>
      <c r="J61" s="1547">
        <v>374</v>
      </c>
      <c r="K61" s="108" t="s">
        <v>85</v>
      </c>
      <c r="L61" s="52" t="s">
        <v>86</v>
      </c>
      <c r="M61" s="668">
        <v>1</v>
      </c>
      <c r="N61" s="668">
        <v>1</v>
      </c>
      <c r="O61" s="668">
        <v>1</v>
      </c>
      <c r="P61" s="668">
        <v>1</v>
      </c>
      <c r="Q61" s="668"/>
    </row>
    <row r="62" spans="1:23" s="51" customFormat="1" ht="41.25" customHeight="1" x14ac:dyDescent="0.2">
      <c r="A62" s="49"/>
      <c r="B62" s="581"/>
      <c r="C62" s="578"/>
      <c r="D62" s="623"/>
      <c r="E62" s="108" t="s">
        <v>2551</v>
      </c>
      <c r="F62" s="1547">
        <v>472122.5</v>
      </c>
      <c r="G62" s="1547">
        <v>4050</v>
      </c>
      <c r="H62" s="1547">
        <f>4630.8+10981</f>
        <v>15611.8</v>
      </c>
      <c r="I62" s="1547">
        <v>4630.8</v>
      </c>
      <c r="J62" s="1547">
        <v>4630.8</v>
      </c>
      <c r="K62" s="108" t="s">
        <v>87</v>
      </c>
      <c r="L62" s="52" t="s">
        <v>30</v>
      </c>
      <c r="M62" s="74">
        <v>11</v>
      </c>
      <c r="N62" s="668">
        <v>7</v>
      </c>
      <c r="O62" s="668">
        <v>2</v>
      </c>
      <c r="P62" s="668">
        <v>2</v>
      </c>
      <c r="Q62" s="668"/>
    </row>
    <row r="63" spans="1:23" s="51" customFormat="1" ht="51" x14ac:dyDescent="0.2">
      <c r="A63" s="49"/>
      <c r="B63" s="872" t="s">
        <v>131</v>
      </c>
      <c r="C63" s="706"/>
      <c r="D63" s="623"/>
      <c r="E63" s="207" t="s">
        <v>2723</v>
      </c>
      <c r="F63" s="1581">
        <v>19000</v>
      </c>
      <c r="G63" s="1581">
        <v>19000</v>
      </c>
      <c r="H63" s="1581">
        <v>19000</v>
      </c>
      <c r="I63" s="1581">
        <v>19000</v>
      </c>
      <c r="J63" s="1581">
        <v>19000</v>
      </c>
      <c r="K63" s="75"/>
      <c r="L63" s="623"/>
      <c r="M63" s="76"/>
      <c r="N63" s="76"/>
      <c r="O63" s="76"/>
      <c r="P63" s="76"/>
      <c r="Q63" s="76"/>
    </row>
    <row r="64" spans="1:23" s="51" customFormat="1" ht="25.5" x14ac:dyDescent="0.2">
      <c r="A64" s="49"/>
      <c r="B64" s="581"/>
      <c r="C64" s="706">
        <v>1</v>
      </c>
      <c r="D64" s="623"/>
      <c r="E64" s="724" t="s">
        <v>88</v>
      </c>
      <c r="F64" s="1547">
        <v>13193.7</v>
      </c>
      <c r="G64" s="1547">
        <v>8500</v>
      </c>
      <c r="H64" s="1547">
        <v>6000</v>
      </c>
      <c r="I64" s="1547">
        <v>6000</v>
      </c>
      <c r="J64" s="1547">
        <v>6000</v>
      </c>
      <c r="K64" s="108" t="s">
        <v>89</v>
      </c>
      <c r="L64" s="668" t="s">
        <v>16</v>
      </c>
      <c r="M64" s="77">
        <v>0.70799999999999996</v>
      </c>
      <c r="N64" s="78">
        <v>0.44700000000000001</v>
      </c>
      <c r="O64" s="78">
        <v>0.58599999999999997</v>
      </c>
      <c r="P64" s="78">
        <v>0.58599999999999997</v>
      </c>
      <c r="Q64" s="78"/>
    </row>
    <row r="65" spans="1:17" s="51" customFormat="1" ht="25.5" x14ac:dyDescent="0.2">
      <c r="A65" s="49"/>
      <c r="B65" s="581"/>
      <c r="C65" s="706">
        <v>2</v>
      </c>
      <c r="D65" s="623"/>
      <c r="E65" s="221" t="s">
        <v>90</v>
      </c>
      <c r="F65" s="1547">
        <v>5440</v>
      </c>
      <c r="G65" s="1547">
        <v>6000</v>
      </c>
      <c r="H65" s="1547">
        <v>4500</v>
      </c>
      <c r="I65" s="1547"/>
      <c r="J65" s="1547"/>
      <c r="K65" s="108" t="s">
        <v>89</v>
      </c>
      <c r="L65" s="623" t="s">
        <v>16</v>
      </c>
      <c r="M65" s="78">
        <v>0.29199999999999998</v>
      </c>
      <c r="N65" s="78">
        <v>0.316</v>
      </c>
      <c r="O65" s="78">
        <v>0.41399999999999998</v>
      </c>
      <c r="P65" s="78">
        <v>0.41399999999999998</v>
      </c>
      <c r="Q65" s="78"/>
    </row>
    <row r="66" spans="1:17" s="51" customFormat="1" ht="38.25" x14ac:dyDescent="0.2">
      <c r="A66" s="49"/>
      <c r="B66" s="581"/>
      <c r="C66" s="706">
        <v>3</v>
      </c>
      <c r="D66" s="623"/>
      <c r="E66" s="221" t="s">
        <v>91</v>
      </c>
      <c r="F66" s="1547"/>
      <c r="G66" s="1547">
        <v>4500</v>
      </c>
      <c r="H66" s="1547">
        <v>8500</v>
      </c>
      <c r="I66" s="1547">
        <v>8500</v>
      </c>
      <c r="J66" s="1547">
        <v>8500</v>
      </c>
      <c r="K66" s="108" t="s">
        <v>89</v>
      </c>
      <c r="L66" s="623" t="s">
        <v>16</v>
      </c>
      <c r="M66" s="78"/>
      <c r="N66" s="78">
        <v>0.23699999999999999</v>
      </c>
      <c r="O66" s="78"/>
      <c r="P66" s="78"/>
      <c r="Q66" s="78"/>
    </row>
    <row r="67" spans="1:17" s="51" customFormat="1" ht="12.75" x14ac:dyDescent="0.2">
      <c r="A67" s="49"/>
      <c r="B67" s="581"/>
      <c r="C67" s="706">
        <v>4</v>
      </c>
      <c r="D67" s="623"/>
      <c r="E67" s="108" t="s">
        <v>92</v>
      </c>
      <c r="F67" s="1581">
        <v>1079.4000000000001</v>
      </c>
      <c r="G67" s="1581">
        <v>10945</v>
      </c>
      <c r="H67" s="1581">
        <v>10352.6</v>
      </c>
      <c r="I67" s="1581">
        <v>10352.6</v>
      </c>
      <c r="J67" s="1581">
        <v>10352.6</v>
      </c>
      <c r="K67" s="606" t="s">
        <v>93</v>
      </c>
      <c r="L67" s="668" t="s">
        <v>16</v>
      </c>
      <c r="M67" s="79">
        <v>1</v>
      </c>
      <c r="N67" s="79">
        <v>1</v>
      </c>
      <c r="O67" s="79">
        <v>1</v>
      </c>
      <c r="P67" s="79">
        <v>1</v>
      </c>
      <c r="Q67" s="79"/>
    </row>
    <row r="68" spans="1:17" s="51" customFormat="1" ht="12.75" x14ac:dyDescent="0.2">
      <c r="A68" s="49"/>
      <c r="B68" s="2160"/>
      <c r="C68" s="2160">
        <v>5</v>
      </c>
      <c r="D68" s="2207"/>
      <c r="E68" s="1845" t="s">
        <v>94</v>
      </c>
      <c r="F68" s="1551"/>
      <c r="G68" s="1551"/>
      <c r="H68" s="1551"/>
      <c r="I68" s="1551"/>
      <c r="J68" s="1551"/>
      <c r="K68" s="725"/>
      <c r="L68" s="585"/>
      <c r="M68" s="585"/>
      <c r="N68" s="585"/>
      <c r="O68" s="585"/>
      <c r="P68" s="585"/>
      <c r="Q68" s="585"/>
    </row>
    <row r="69" spans="1:17" s="51" customFormat="1" ht="12.75" x14ac:dyDescent="0.2">
      <c r="A69" s="49"/>
      <c r="B69" s="2160"/>
      <c r="C69" s="2160"/>
      <c r="D69" s="1979"/>
      <c r="E69" s="1845"/>
      <c r="F69" s="1547">
        <v>146242.70000000001</v>
      </c>
      <c r="G69" s="1547">
        <v>153270.70000000001</v>
      </c>
      <c r="H69" s="1547">
        <v>147616.1</v>
      </c>
      <c r="I69" s="1547">
        <v>147616.1</v>
      </c>
      <c r="J69" s="1547">
        <v>147616.1</v>
      </c>
      <c r="K69" s="2208" t="s">
        <v>95</v>
      </c>
      <c r="L69" s="52" t="s">
        <v>16</v>
      </c>
      <c r="M69" s="80">
        <v>0.189</v>
      </c>
      <c r="N69" s="80">
        <v>0.245</v>
      </c>
      <c r="O69" s="80">
        <v>0.24399999999999999</v>
      </c>
      <c r="P69" s="80">
        <v>0.24399999999999999</v>
      </c>
      <c r="Q69" s="80"/>
    </row>
    <row r="70" spans="1:17" s="51" customFormat="1" ht="12.75" x14ac:dyDescent="0.2">
      <c r="A70" s="49"/>
      <c r="B70" s="2160"/>
      <c r="C70" s="2160"/>
      <c r="D70" s="1979"/>
      <c r="E70" s="1845"/>
      <c r="F70" s="1547">
        <v>69685.100000000006</v>
      </c>
      <c r="G70" s="1547">
        <v>84778.7</v>
      </c>
      <c r="H70" s="1547">
        <v>74842</v>
      </c>
      <c r="I70" s="1547">
        <v>81737.399999999994</v>
      </c>
      <c r="J70" s="1547">
        <v>81737.399999999994</v>
      </c>
      <c r="K70" s="2209"/>
      <c r="L70" s="52" t="s">
        <v>16</v>
      </c>
      <c r="M70" s="80">
        <v>0.42099999999999999</v>
      </c>
      <c r="N70" s="80">
        <v>0.47599999999999998</v>
      </c>
      <c r="O70" s="80">
        <v>0.49299999999999999</v>
      </c>
      <c r="P70" s="80">
        <v>0.49299999999999999</v>
      </c>
      <c r="Q70" s="80"/>
    </row>
    <row r="71" spans="1:17" s="51" customFormat="1" ht="12.75" x14ac:dyDescent="0.2">
      <c r="A71" s="49"/>
      <c r="B71" s="2160"/>
      <c r="C71" s="2160"/>
      <c r="D71" s="1979"/>
      <c r="E71" s="1845"/>
      <c r="F71" s="1547">
        <v>7524.9000000000005</v>
      </c>
      <c r="G71" s="1547">
        <v>12929.8</v>
      </c>
      <c r="H71" s="1547">
        <v>12705</v>
      </c>
      <c r="I71" s="1547">
        <v>12705</v>
      </c>
      <c r="J71" s="1547">
        <v>12705</v>
      </c>
      <c r="K71" s="2209"/>
      <c r="L71" s="52" t="s">
        <v>16</v>
      </c>
      <c r="M71" s="80">
        <v>8.2000000000000003E-2</v>
      </c>
      <c r="N71" s="80">
        <v>0.44900000000000001</v>
      </c>
      <c r="O71" s="80">
        <v>0.45700000000000002</v>
      </c>
      <c r="P71" s="80">
        <v>0.45700000000000002</v>
      </c>
      <c r="Q71" s="80"/>
    </row>
    <row r="72" spans="1:17" s="51" customFormat="1" ht="12.75" x14ac:dyDescent="0.2">
      <c r="A72" s="49"/>
      <c r="B72" s="2160"/>
      <c r="C72" s="2160"/>
      <c r="D72" s="1979"/>
      <c r="E72" s="1845"/>
      <c r="F72" s="1547">
        <v>4127</v>
      </c>
      <c r="G72" s="1547">
        <v>4133</v>
      </c>
      <c r="H72" s="1547">
        <v>4243</v>
      </c>
      <c r="I72" s="1547">
        <v>4243</v>
      </c>
      <c r="J72" s="1547">
        <v>4243</v>
      </c>
      <c r="K72" s="2209"/>
      <c r="L72" s="52" t="s">
        <v>16</v>
      </c>
      <c r="M72" s="80">
        <v>0.27400000000000002</v>
      </c>
      <c r="N72" s="80">
        <v>0.26700000000000002</v>
      </c>
      <c r="O72" s="80">
        <v>0.28599999999999998</v>
      </c>
      <c r="P72" s="80">
        <v>0.28599999999999998</v>
      </c>
      <c r="Q72" s="80"/>
    </row>
    <row r="73" spans="1:17" s="51" customFormat="1" ht="12.75" x14ac:dyDescent="0.2">
      <c r="A73" s="49"/>
      <c r="B73" s="2160"/>
      <c r="C73" s="2160"/>
      <c r="D73" s="1979"/>
      <c r="E73" s="1845"/>
      <c r="F73" s="1547">
        <v>39195.600000000006</v>
      </c>
      <c r="G73" s="1547">
        <v>45425.1</v>
      </c>
      <c r="H73" s="1547">
        <v>51266.5</v>
      </c>
      <c r="I73" s="1547">
        <v>51266.5</v>
      </c>
      <c r="J73" s="1547">
        <v>51266.5</v>
      </c>
      <c r="K73" s="2209"/>
      <c r="L73" s="52" t="s">
        <v>16</v>
      </c>
      <c r="M73" s="80">
        <v>0.55100000000000005</v>
      </c>
      <c r="N73" s="80">
        <v>0.56100000000000005</v>
      </c>
      <c r="O73" s="80">
        <v>0.64400000000000002</v>
      </c>
      <c r="P73" s="80">
        <v>0.64400000000000002</v>
      </c>
      <c r="Q73" s="80"/>
    </row>
    <row r="74" spans="1:17" s="51" customFormat="1" ht="12.75" x14ac:dyDescent="0.2">
      <c r="A74" s="49"/>
      <c r="B74" s="2160"/>
      <c r="C74" s="2160"/>
      <c r="D74" s="1856"/>
      <c r="E74" s="1845"/>
      <c r="F74" s="1547">
        <v>12220.8</v>
      </c>
      <c r="G74" s="1547">
        <v>13353.2</v>
      </c>
      <c r="H74" s="1547">
        <v>13718.2</v>
      </c>
      <c r="I74" s="1547">
        <v>13718.2</v>
      </c>
      <c r="J74" s="1547">
        <v>13718.2</v>
      </c>
      <c r="K74" s="1739"/>
      <c r="L74" s="52" t="s">
        <v>16</v>
      </c>
      <c r="M74" s="80">
        <v>0.14699999999999999</v>
      </c>
      <c r="N74" s="80">
        <v>0.27</v>
      </c>
      <c r="O74" s="80">
        <v>0.33400000000000002</v>
      </c>
      <c r="P74" s="80">
        <v>0.33400000000000002</v>
      </c>
      <c r="Q74" s="80"/>
    </row>
    <row r="75" spans="1:17" s="51" customFormat="1" ht="25.5" x14ac:dyDescent="0.2">
      <c r="A75" s="49"/>
      <c r="B75" s="2210"/>
      <c r="C75" s="2160">
        <v>6</v>
      </c>
      <c r="D75" s="2207"/>
      <c r="E75" s="2211" t="s">
        <v>96</v>
      </c>
      <c r="F75" s="1547">
        <v>91280.5</v>
      </c>
      <c r="G75" s="1547">
        <v>91665.1</v>
      </c>
      <c r="H75" s="1547">
        <v>87666.8</v>
      </c>
      <c r="I75" s="1547">
        <v>87666.8</v>
      </c>
      <c r="J75" s="1547">
        <v>87666.8</v>
      </c>
      <c r="K75" s="231" t="s">
        <v>97</v>
      </c>
      <c r="L75" s="52" t="s">
        <v>30</v>
      </c>
      <c r="M75" s="654">
        <v>157</v>
      </c>
      <c r="N75" s="654">
        <v>141</v>
      </c>
      <c r="O75" s="654">
        <v>110</v>
      </c>
      <c r="P75" s="654">
        <v>110</v>
      </c>
      <c r="Q75" s="654"/>
    </row>
    <row r="76" spans="1:17" s="51" customFormat="1" ht="12.75" x14ac:dyDescent="0.2">
      <c r="A76" s="49"/>
      <c r="B76" s="2210"/>
      <c r="C76" s="2160"/>
      <c r="D76" s="1979"/>
      <c r="E76" s="2211"/>
      <c r="F76" s="1547"/>
      <c r="G76" s="1547"/>
      <c r="H76" s="1547"/>
      <c r="I76" s="1547"/>
      <c r="J76" s="1547"/>
      <c r="K76" s="726" t="s">
        <v>98</v>
      </c>
      <c r="L76" s="52" t="s">
        <v>30</v>
      </c>
      <c r="M76" s="623">
        <v>29</v>
      </c>
      <c r="N76" s="623">
        <v>33</v>
      </c>
      <c r="O76" s="623">
        <v>30</v>
      </c>
      <c r="P76" s="623">
        <v>30</v>
      </c>
      <c r="Q76" s="623"/>
    </row>
    <row r="77" spans="1:17" s="51" customFormat="1" ht="12.75" x14ac:dyDescent="0.2">
      <c r="A77" s="49"/>
      <c r="B77" s="2210"/>
      <c r="C77" s="2160"/>
      <c r="D77" s="1979"/>
      <c r="E77" s="2211"/>
      <c r="F77" s="1547"/>
      <c r="G77" s="1547"/>
      <c r="H77" s="1547"/>
      <c r="I77" s="1547"/>
      <c r="J77" s="1547"/>
      <c r="K77" s="726" t="s">
        <v>99</v>
      </c>
      <c r="L77" s="52" t="s">
        <v>30</v>
      </c>
      <c r="M77" s="623">
        <v>18</v>
      </c>
      <c r="N77" s="623">
        <v>22</v>
      </c>
      <c r="O77" s="623">
        <v>19</v>
      </c>
      <c r="P77" s="623">
        <v>19</v>
      </c>
      <c r="Q77" s="623"/>
    </row>
    <row r="78" spans="1:17" s="51" customFormat="1" ht="12.75" x14ac:dyDescent="0.2">
      <c r="A78" s="49"/>
      <c r="B78" s="2210"/>
      <c r="C78" s="2160"/>
      <c r="D78" s="1979"/>
      <c r="E78" s="2211"/>
      <c r="F78" s="1547"/>
      <c r="G78" s="1547"/>
      <c r="H78" s="1547"/>
      <c r="I78" s="1547"/>
      <c r="J78" s="1547"/>
      <c r="K78" s="726" t="s">
        <v>100</v>
      </c>
      <c r="L78" s="52" t="s">
        <v>30</v>
      </c>
      <c r="M78" s="623">
        <v>8</v>
      </c>
      <c r="N78" s="623">
        <v>8</v>
      </c>
      <c r="O78" s="623">
        <v>7</v>
      </c>
      <c r="P78" s="623">
        <v>7</v>
      </c>
      <c r="Q78" s="623"/>
    </row>
    <row r="79" spans="1:17" s="51" customFormat="1" ht="12.75" x14ac:dyDescent="0.2">
      <c r="A79" s="49"/>
      <c r="B79" s="2210"/>
      <c r="C79" s="2160"/>
      <c r="D79" s="1979"/>
      <c r="E79" s="2211"/>
      <c r="F79" s="1547"/>
      <c r="G79" s="1547"/>
      <c r="H79" s="1547"/>
      <c r="I79" s="1547"/>
      <c r="J79" s="1547"/>
      <c r="K79" s="726" t="s">
        <v>101</v>
      </c>
      <c r="L79" s="52" t="s">
        <v>30</v>
      </c>
      <c r="M79" s="623">
        <v>102</v>
      </c>
      <c r="N79" s="623">
        <v>78</v>
      </c>
      <c r="O79" s="623">
        <v>54</v>
      </c>
      <c r="P79" s="623">
        <v>54</v>
      </c>
      <c r="Q79" s="623"/>
    </row>
    <row r="80" spans="1:17" s="51" customFormat="1" ht="25.5" x14ac:dyDescent="0.2">
      <c r="A80" s="49"/>
      <c r="B80" s="2210"/>
      <c r="C80" s="2160"/>
      <c r="D80" s="1979"/>
      <c r="E80" s="2211"/>
      <c r="F80" s="1547"/>
      <c r="G80" s="1547"/>
      <c r="H80" s="1547"/>
      <c r="I80" s="1547"/>
      <c r="J80" s="1547"/>
      <c r="K80" s="727" t="s">
        <v>102</v>
      </c>
      <c r="L80" s="52" t="s">
        <v>30</v>
      </c>
      <c r="M80" s="654">
        <v>21</v>
      </c>
      <c r="N80" s="654">
        <v>27</v>
      </c>
      <c r="O80" s="654">
        <v>33</v>
      </c>
      <c r="P80" s="654">
        <v>33</v>
      </c>
      <c r="Q80" s="654"/>
    </row>
    <row r="81" spans="1:17" s="51" customFormat="1" ht="12.75" x14ac:dyDescent="0.2">
      <c r="A81" s="49"/>
      <c r="B81" s="2210"/>
      <c r="C81" s="2160"/>
      <c r="D81" s="1979"/>
      <c r="E81" s="2211"/>
      <c r="F81" s="1547"/>
      <c r="G81" s="1547"/>
      <c r="H81" s="1547"/>
      <c r="I81" s="1547"/>
      <c r="J81" s="1547"/>
      <c r="K81" s="726" t="s">
        <v>103</v>
      </c>
      <c r="L81" s="52" t="s">
        <v>30</v>
      </c>
      <c r="M81" s="623">
        <v>21</v>
      </c>
      <c r="N81" s="623">
        <v>7</v>
      </c>
      <c r="O81" s="623">
        <v>9</v>
      </c>
      <c r="P81" s="623">
        <v>9</v>
      </c>
      <c r="Q81" s="623"/>
    </row>
    <row r="82" spans="1:17" s="51" customFormat="1" ht="12.75" x14ac:dyDescent="0.2">
      <c r="A82" s="49"/>
      <c r="B82" s="2210"/>
      <c r="C82" s="2160"/>
      <c r="D82" s="1979"/>
      <c r="E82" s="2211"/>
      <c r="F82" s="1547"/>
      <c r="G82" s="1547"/>
      <c r="H82" s="1547"/>
      <c r="I82" s="1547"/>
      <c r="J82" s="1547"/>
      <c r="K82" s="726" t="s">
        <v>104</v>
      </c>
      <c r="L82" s="52" t="s">
        <v>30</v>
      </c>
      <c r="M82" s="623"/>
      <c r="N82" s="623"/>
      <c r="O82" s="623"/>
      <c r="P82" s="623"/>
      <c r="Q82" s="623"/>
    </row>
    <row r="83" spans="1:17" s="51" customFormat="1" ht="12.75" x14ac:dyDescent="0.2">
      <c r="A83" s="49"/>
      <c r="B83" s="2210"/>
      <c r="C83" s="2160"/>
      <c r="D83" s="1856"/>
      <c r="E83" s="2211"/>
      <c r="F83" s="1547"/>
      <c r="G83" s="1547"/>
      <c r="H83" s="1547"/>
      <c r="I83" s="1547"/>
      <c r="J83" s="1547"/>
      <c r="K83" s="726" t="s">
        <v>105</v>
      </c>
      <c r="L83" s="52" t="s">
        <v>30</v>
      </c>
      <c r="M83" s="623"/>
      <c r="N83" s="623">
        <v>20</v>
      </c>
      <c r="O83" s="623">
        <v>24</v>
      </c>
      <c r="P83" s="623">
        <v>24</v>
      </c>
      <c r="Q83" s="623"/>
    </row>
    <row r="84" spans="1:17" s="51" customFormat="1" ht="12.75" x14ac:dyDescent="0.2">
      <c r="A84" s="49"/>
      <c r="B84" s="2210"/>
      <c r="C84" s="2160">
        <v>7</v>
      </c>
      <c r="D84" s="2207"/>
      <c r="E84" s="2235" t="s">
        <v>106</v>
      </c>
      <c r="F84" s="1547">
        <v>5987.4</v>
      </c>
      <c r="G84" s="1547">
        <v>7155.8</v>
      </c>
      <c r="H84" s="1547">
        <v>7155.8</v>
      </c>
      <c r="I84" s="1547">
        <v>7155.8</v>
      </c>
      <c r="J84" s="1547">
        <v>7155.8</v>
      </c>
      <c r="K84" s="728"/>
      <c r="L84" s="623"/>
      <c r="M84" s="76"/>
      <c r="N84" s="76"/>
      <c r="O84" s="76"/>
      <c r="P84" s="76"/>
      <c r="Q84" s="76"/>
    </row>
    <row r="85" spans="1:17" s="51" customFormat="1" ht="12.75" x14ac:dyDescent="0.2">
      <c r="A85" s="49"/>
      <c r="B85" s="2210"/>
      <c r="C85" s="2160"/>
      <c r="D85" s="1856"/>
      <c r="E85" s="2235"/>
      <c r="F85" s="1582"/>
      <c r="G85" s="1582"/>
      <c r="H85" s="1582"/>
      <c r="I85" s="1582"/>
      <c r="J85" s="1582"/>
      <c r="K85" s="490" t="s">
        <v>107</v>
      </c>
      <c r="L85" s="623" t="s">
        <v>86</v>
      </c>
      <c r="M85" s="623">
        <v>294</v>
      </c>
      <c r="N85" s="623">
        <v>260</v>
      </c>
      <c r="O85" s="623">
        <v>298</v>
      </c>
      <c r="P85" s="623">
        <v>298</v>
      </c>
      <c r="Q85" s="623"/>
    </row>
    <row r="86" spans="1:17" s="51" customFormat="1" ht="12.75" x14ac:dyDescent="0.2">
      <c r="A86" s="49"/>
      <c r="B86" s="2210"/>
      <c r="C86" s="2160">
        <v>8</v>
      </c>
      <c r="D86" s="2207"/>
      <c r="E86" s="2235" t="s">
        <v>108</v>
      </c>
      <c r="F86" s="1547">
        <v>32568.800000000003</v>
      </c>
      <c r="G86" s="1547">
        <v>34561</v>
      </c>
      <c r="H86" s="1547">
        <v>33409.4</v>
      </c>
      <c r="I86" s="1547">
        <v>33409.4</v>
      </c>
      <c r="J86" s="1547">
        <v>33409.4</v>
      </c>
      <c r="K86" s="728"/>
      <c r="L86" s="623"/>
      <c r="M86" s="76"/>
      <c r="N86" s="76"/>
      <c r="O86" s="76"/>
      <c r="P86" s="76"/>
      <c r="Q86" s="76"/>
    </row>
    <row r="87" spans="1:17" s="51" customFormat="1" ht="12.75" x14ac:dyDescent="0.2">
      <c r="A87" s="49"/>
      <c r="B87" s="2210"/>
      <c r="C87" s="2160"/>
      <c r="D87" s="1856"/>
      <c r="E87" s="2235"/>
      <c r="F87" s="1582"/>
      <c r="G87" s="1582"/>
      <c r="H87" s="1582"/>
      <c r="I87" s="1582"/>
      <c r="J87" s="1582"/>
      <c r="K87" s="108" t="s">
        <v>109</v>
      </c>
      <c r="L87" s="623" t="s">
        <v>30</v>
      </c>
      <c r="M87" s="623">
        <v>4</v>
      </c>
      <c r="N87" s="623">
        <v>6</v>
      </c>
      <c r="O87" s="623">
        <v>5</v>
      </c>
      <c r="P87" s="623">
        <v>5</v>
      </c>
      <c r="Q87" s="623"/>
    </row>
    <row r="88" spans="1:17" s="15" customFormat="1" ht="12.75" x14ac:dyDescent="0.2">
      <c r="A88" s="2216" t="s">
        <v>68</v>
      </c>
      <c r="B88" s="2216"/>
      <c r="C88" s="2216"/>
      <c r="D88" s="2216"/>
      <c r="E88" s="2216"/>
      <c r="F88" s="1583">
        <v>1194262.3</v>
      </c>
      <c r="G88" s="1583">
        <v>654932.79999999993</v>
      </c>
      <c r="H88" s="1583">
        <v>662229.19999999995</v>
      </c>
      <c r="I88" s="1583">
        <v>658533.6</v>
      </c>
      <c r="J88" s="1583">
        <v>663483.9</v>
      </c>
      <c r="K88" s="82"/>
      <c r="L88" s="82"/>
      <c r="M88" s="82"/>
      <c r="N88" s="82"/>
      <c r="O88" s="82"/>
      <c r="P88" s="82"/>
      <c r="Q88" s="82"/>
    </row>
    <row r="89" spans="1:17" s="15" customFormat="1" ht="20.25" customHeight="1" x14ac:dyDescent="0.2">
      <c r="A89" s="2219" t="s">
        <v>110</v>
      </c>
      <c r="B89" s="2219"/>
      <c r="C89" s="2219"/>
      <c r="D89" s="2219"/>
      <c r="E89" s="2219"/>
      <c r="F89" s="2219"/>
      <c r="G89" s="2219"/>
      <c r="H89" s="2219"/>
      <c r="I89" s="2219"/>
      <c r="J89" s="2219"/>
      <c r="K89" s="2219"/>
      <c r="L89" s="2219"/>
      <c r="M89" s="2219"/>
      <c r="N89" s="2219"/>
      <c r="O89" s="2219"/>
      <c r="P89" s="2219"/>
      <c r="Q89" s="2220"/>
    </row>
    <row r="90" spans="1:17" s="20" customFormat="1" ht="61.5" customHeight="1" x14ac:dyDescent="0.2">
      <c r="A90" s="61"/>
      <c r="B90" s="83" t="s">
        <v>111</v>
      </c>
      <c r="C90" s="83"/>
      <c r="D90" s="83" t="s">
        <v>112</v>
      </c>
      <c r="E90" s="84" t="s">
        <v>2724</v>
      </c>
      <c r="F90" s="1584">
        <v>0</v>
      </c>
      <c r="G90" s="1584">
        <v>0</v>
      </c>
      <c r="H90" s="1584">
        <v>0</v>
      </c>
      <c r="I90" s="1584">
        <v>0</v>
      </c>
      <c r="J90" s="1584">
        <v>0</v>
      </c>
      <c r="K90" s="85" t="s">
        <v>113</v>
      </c>
      <c r="L90" s="86" t="s">
        <v>16</v>
      </c>
      <c r="M90" s="86">
        <v>68.2</v>
      </c>
      <c r="N90" s="86">
        <v>69.599999999999994</v>
      </c>
      <c r="O90" s="86">
        <v>69.599999999999994</v>
      </c>
      <c r="P90" s="86">
        <v>69.599999999999994</v>
      </c>
      <c r="Q90" s="86">
        <v>69.599999999999994</v>
      </c>
    </row>
    <row r="91" spans="1:17" s="20" customFormat="1" ht="41.25" customHeight="1" x14ac:dyDescent="0.2">
      <c r="A91" s="61"/>
      <c r="B91" s="87"/>
      <c r="C91" s="87" t="s">
        <v>114</v>
      </c>
      <c r="D91" s="87" t="s">
        <v>112</v>
      </c>
      <c r="E91" s="604" t="s">
        <v>17</v>
      </c>
      <c r="F91" s="1537"/>
      <c r="G91" s="1537"/>
      <c r="H91" s="1537"/>
      <c r="I91" s="1537"/>
      <c r="J91" s="1537"/>
      <c r="K91" s="604" t="s">
        <v>2554</v>
      </c>
      <c r="L91" s="88" t="s">
        <v>115</v>
      </c>
      <c r="M91" s="89">
        <v>0</v>
      </c>
      <c r="N91" s="89">
        <v>0</v>
      </c>
      <c r="O91" s="89">
        <v>0</v>
      </c>
      <c r="P91" s="89">
        <v>0</v>
      </c>
      <c r="Q91" s="89">
        <v>0</v>
      </c>
    </row>
    <row r="92" spans="1:17" s="20" customFormat="1" ht="33" customHeight="1" x14ac:dyDescent="0.2">
      <c r="A92" s="61"/>
      <c r="B92" s="87"/>
      <c r="C92" s="87" t="s">
        <v>116</v>
      </c>
      <c r="D92" s="87" t="s">
        <v>112</v>
      </c>
      <c r="E92" s="604" t="s">
        <v>117</v>
      </c>
      <c r="F92" s="1537"/>
      <c r="G92" s="1537"/>
      <c r="H92" s="1537"/>
      <c r="I92" s="1537"/>
      <c r="J92" s="1537"/>
      <c r="K92" s="604" t="s">
        <v>118</v>
      </c>
      <c r="L92" s="88" t="s">
        <v>16</v>
      </c>
      <c r="M92" s="88">
        <v>0</v>
      </c>
      <c r="N92" s="88">
        <v>0</v>
      </c>
      <c r="O92" s="90">
        <v>0</v>
      </c>
      <c r="P92" s="90">
        <v>0</v>
      </c>
      <c r="Q92" s="90">
        <v>0</v>
      </c>
    </row>
    <row r="93" spans="1:17" s="20" customFormat="1" ht="25.5" x14ac:dyDescent="0.2">
      <c r="A93" s="61"/>
      <c r="B93" s="87"/>
      <c r="C93" s="87" t="s">
        <v>119</v>
      </c>
      <c r="D93" s="87" t="s">
        <v>112</v>
      </c>
      <c r="E93" s="2041" t="s">
        <v>120</v>
      </c>
      <c r="F93" s="1537"/>
      <c r="G93" s="1537"/>
      <c r="H93" s="1537"/>
      <c r="I93" s="1537"/>
      <c r="J93" s="1537"/>
      <c r="K93" s="91" t="s">
        <v>121</v>
      </c>
      <c r="L93" s="88" t="s">
        <v>122</v>
      </c>
      <c r="M93" s="88">
        <v>20</v>
      </c>
      <c r="N93" s="88">
        <v>20</v>
      </c>
      <c r="O93" s="88">
        <v>20</v>
      </c>
      <c r="P93" s="88">
        <v>20</v>
      </c>
      <c r="Q93" s="88">
        <v>20</v>
      </c>
    </row>
    <row r="94" spans="1:17" s="20" customFormat="1" ht="35.25" customHeight="1" x14ac:dyDescent="0.2">
      <c r="A94" s="61"/>
      <c r="B94" s="87"/>
      <c r="C94" s="87"/>
      <c r="D94" s="87"/>
      <c r="E94" s="2041"/>
      <c r="F94" s="1537"/>
      <c r="G94" s="1537"/>
      <c r="H94" s="1537"/>
      <c r="I94" s="1537"/>
      <c r="J94" s="1537"/>
      <c r="K94" s="91" t="s">
        <v>123</v>
      </c>
      <c r="L94" s="88" t="s">
        <v>122</v>
      </c>
      <c r="M94" s="88">
        <v>3</v>
      </c>
      <c r="N94" s="88">
        <v>3</v>
      </c>
      <c r="O94" s="88">
        <v>3</v>
      </c>
      <c r="P94" s="88">
        <v>3</v>
      </c>
      <c r="Q94" s="88">
        <v>3</v>
      </c>
    </row>
    <row r="95" spans="1:17" s="20" customFormat="1" ht="22.5" customHeight="1" x14ac:dyDescent="0.2">
      <c r="A95" s="61"/>
      <c r="B95" s="87"/>
      <c r="C95" s="87" t="s">
        <v>124</v>
      </c>
      <c r="D95" s="87" t="s">
        <v>112</v>
      </c>
      <c r="E95" s="586" t="s">
        <v>125</v>
      </c>
      <c r="F95" s="1537"/>
      <c r="G95" s="1537"/>
      <c r="H95" s="1537"/>
      <c r="I95" s="1537"/>
      <c r="J95" s="1537"/>
      <c r="K95" s="604" t="s">
        <v>126</v>
      </c>
      <c r="L95" s="88" t="s">
        <v>122</v>
      </c>
      <c r="M95" s="88" t="s">
        <v>127</v>
      </c>
      <c r="N95" s="88" t="s">
        <v>127</v>
      </c>
      <c r="O95" s="88" t="s">
        <v>127</v>
      </c>
      <c r="P95" s="88" t="s">
        <v>127</v>
      </c>
      <c r="Q95" s="88" t="s">
        <v>127</v>
      </c>
    </row>
    <row r="96" spans="1:17" s="20" customFormat="1" ht="42.75" customHeight="1" x14ac:dyDescent="0.2">
      <c r="A96" s="61"/>
      <c r="B96" s="87"/>
      <c r="C96" s="87" t="s">
        <v>128</v>
      </c>
      <c r="D96" s="87" t="s">
        <v>112</v>
      </c>
      <c r="E96" s="604" t="s">
        <v>129</v>
      </c>
      <c r="F96" s="1537"/>
      <c r="G96" s="1537"/>
      <c r="H96" s="1537"/>
      <c r="I96" s="1537"/>
      <c r="J96" s="1537"/>
      <c r="K96" s="604" t="s">
        <v>130</v>
      </c>
      <c r="L96" s="88" t="s">
        <v>16</v>
      </c>
      <c r="M96" s="88">
        <v>30</v>
      </c>
      <c r="N96" s="88">
        <v>30</v>
      </c>
      <c r="O96" s="88">
        <v>30</v>
      </c>
      <c r="P96" s="88">
        <v>30</v>
      </c>
      <c r="Q96" s="88">
        <v>30</v>
      </c>
    </row>
    <row r="97" spans="1:17" s="20" customFormat="1" ht="56.25" customHeight="1" x14ac:dyDescent="0.2">
      <c r="A97" s="61"/>
      <c r="B97" s="92" t="s">
        <v>131</v>
      </c>
      <c r="C97" s="92"/>
      <c r="D97" s="92" t="s">
        <v>112</v>
      </c>
      <c r="E97" s="84" t="s">
        <v>2725</v>
      </c>
      <c r="F97" s="1584">
        <v>133833.4</v>
      </c>
      <c r="G97" s="1584">
        <v>151754</v>
      </c>
      <c r="H97" s="1584">
        <v>151754</v>
      </c>
      <c r="I97" s="1584">
        <v>146520.20000000001</v>
      </c>
      <c r="J97" s="1584">
        <v>146520.6</v>
      </c>
      <c r="K97" s="93" t="s">
        <v>132</v>
      </c>
      <c r="L97" s="88" t="s">
        <v>16</v>
      </c>
      <c r="M97" s="88">
        <v>174</v>
      </c>
      <c r="N97" s="88">
        <v>0</v>
      </c>
      <c r="O97" s="88">
        <v>0</v>
      </c>
      <c r="P97" s="88">
        <v>0</v>
      </c>
      <c r="Q97" s="88">
        <v>0</v>
      </c>
    </row>
    <row r="98" spans="1:17" s="20" customFormat="1" ht="32.25" customHeight="1" x14ac:dyDescent="0.2">
      <c r="A98" s="61"/>
      <c r="B98" s="94"/>
      <c r="C98" s="94" t="s">
        <v>114</v>
      </c>
      <c r="D98" s="94" t="s">
        <v>112</v>
      </c>
      <c r="E98" s="604" t="s">
        <v>133</v>
      </c>
      <c r="F98" s="1538">
        <v>133833.4</v>
      </c>
      <c r="G98" s="1538">
        <v>151754</v>
      </c>
      <c r="H98" s="1538">
        <v>151754</v>
      </c>
      <c r="I98" s="1538">
        <v>146520.20000000001</v>
      </c>
      <c r="J98" s="1538">
        <v>146520.6</v>
      </c>
      <c r="K98" s="604" t="s">
        <v>134</v>
      </c>
      <c r="L98" s="88" t="s">
        <v>122</v>
      </c>
      <c r="M98" s="95">
        <v>650</v>
      </c>
      <c r="N98" s="96" t="s">
        <v>135</v>
      </c>
      <c r="O98" s="96" t="s">
        <v>135</v>
      </c>
      <c r="P98" s="96" t="s">
        <v>136</v>
      </c>
      <c r="Q98" s="96" t="s">
        <v>136</v>
      </c>
    </row>
    <row r="99" spans="1:17" s="20" customFormat="1" ht="25.5" x14ac:dyDescent="0.2">
      <c r="A99" s="61"/>
      <c r="B99" s="94"/>
      <c r="C99" s="94" t="s">
        <v>116</v>
      </c>
      <c r="D99" s="94" t="s">
        <v>112</v>
      </c>
      <c r="E99" s="604" t="s">
        <v>137</v>
      </c>
      <c r="F99" s="1538"/>
      <c r="G99" s="1538"/>
      <c r="H99" s="1585"/>
      <c r="I99" s="1585"/>
      <c r="J99" s="1585"/>
      <c r="K99" s="97" t="s">
        <v>138</v>
      </c>
      <c r="L99" s="95"/>
      <c r="M99" s="95" t="s">
        <v>139</v>
      </c>
      <c r="N99" s="95" t="s">
        <v>139</v>
      </c>
      <c r="O99" s="95" t="s">
        <v>139</v>
      </c>
      <c r="P99" s="95" t="s">
        <v>139</v>
      </c>
      <c r="Q99" s="95" t="s">
        <v>139</v>
      </c>
    </row>
    <row r="100" spans="1:17" s="20" customFormat="1" ht="25.5" x14ac:dyDescent="0.2">
      <c r="A100" s="61"/>
      <c r="B100" s="94"/>
      <c r="C100" s="94" t="s">
        <v>119</v>
      </c>
      <c r="D100" s="94" t="s">
        <v>112</v>
      </c>
      <c r="E100" s="604" t="s">
        <v>140</v>
      </c>
      <c r="F100" s="1538"/>
      <c r="G100" s="1586"/>
      <c r="H100" s="1586"/>
      <c r="I100" s="1586"/>
      <c r="J100" s="1586"/>
      <c r="K100" s="97" t="s">
        <v>141</v>
      </c>
      <c r="L100" s="95" t="s">
        <v>16</v>
      </c>
      <c r="M100" s="95">
        <v>100</v>
      </c>
      <c r="N100" s="95">
        <v>100</v>
      </c>
      <c r="O100" s="95">
        <v>100</v>
      </c>
      <c r="P100" s="95">
        <v>100</v>
      </c>
      <c r="Q100" s="95">
        <v>100</v>
      </c>
    </row>
    <row r="101" spans="1:17" s="20" customFormat="1" ht="25.5" x14ac:dyDescent="0.2">
      <c r="A101" s="61"/>
      <c r="B101" s="94"/>
      <c r="C101" s="94" t="s">
        <v>124</v>
      </c>
      <c r="D101" s="94" t="s">
        <v>112</v>
      </c>
      <c r="E101" s="604" t="s">
        <v>142</v>
      </c>
      <c r="F101" s="1538"/>
      <c r="G101" s="1586"/>
      <c r="H101" s="1587"/>
      <c r="I101" s="1587"/>
      <c r="J101" s="1587"/>
      <c r="K101" s="97" t="s">
        <v>143</v>
      </c>
      <c r="L101" s="95" t="s">
        <v>16</v>
      </c>
      <c r="M101" s="95">
        <v>100</v>
      </c>
      <c r="N101" s="95">
        <v>100</v>
      </c>
      <c r="O101" s="95">
        <v>100</v>
      </c>
      <c r="P101" s="95">
        <v>100</v>
      </c>
      <c r="Q101" s="95">
        <v>100</v>
      </c>
    </row>
    <row r="102" spans="1:17" s="20" customFormat="1" ht="38.25" x14ac:dyDescent="0.2">
      <c r="A102" s="61"/>
      <c r="B102" s="94"/>
      <c r="C102" s="94" t="s">
        <v>128</v>
      </c>
      <c r="D102" s="94" t="s">
        <v>112</v>
      </c>
      <c r="E102" s="97" t="s">
        <v>144</v>
      </c>
      <c r="F102" s="1538"/>
      <c r="G102" s="1586"/>
      <c r="H102" s="1587"/>
      <c r="I102" s="1587"/>
      <c r="J102" s="1587"/>
      <c r="K102" s="97" t="s">
        <v>145</v>
      </c>
      <c r="L102" s="98" t="s">
        <v>115</v>
      </c>
      <c r="M102" s="95">
        <v>30</v>
      </c>
      <c r="N102" s="95">
        <v>30</v>
      </c>
      <c r="O102" s="95">
        <v>30</v>
      </c>
      <c r="P102" s="95">
        <v>30</v>
      </c>
      <c r="Q102" s="95">
        <v>30</v>
      </c>
    </row>
    <row r="103" spans="1:17" s="20" customFormat="1" ht="12.75" x14ac:dyDescent="0.2">
      <c r="A103" s="61"/>
      <c r="B103" s="94"/>
      <c r="C103" s="94" t="s">
        <v>146</v>
      </c>
      <c r="D103" s="94" t="s">
        <v>112</v>
      </c>
      <c r="E103" s="99" t="s">
        <v>147</v>
      </c>
      <c r="F103" s="1538"/>
      <c r="G103" s="1586"/>
      <c r="H103" s="1587"/>
      <c r="I103" s="1587"/>
      <c r="J103" s="1587"/>
      <c r="K103" s="100" t="s">
        <v>148</v>
      </c>
      <c r="L103" s="98" t="s">
        <v>122</v>
      </c>
      <c r="M103" s="95">
        <v>14</v>
      </c>
      <c r="N103" s="95">
        <v>14</v>
      </c>
      <c r="O103" s="95"/>
      <c r="P103" s="95"/>
      <c r="Q103" s="95"/>
    </row>
    <row r="104" spans="1:17" s="20" customFormat="1" ht="12.75" x14ac:dyDescent="0.2">
      <c r="A104" s="61"/>
      <c r="B104" s="94"/>
      <c r="C104" s="94" t="s">
        <v>149</v>
      </c>
      <c r="D104" s="94" t="s">
        <v>112</v>
      </c>
      <c r="E104" s="100" t="s">
        <v>150</v>
      </c>
      <c r="F104" s="1538"/>
      <c r="G104" s="1586"/>
      <c r="H104" s="1587"/>
      <c r="I104" s="1587"/>
      <c r="J104" s="1587"/>
      <c r="K104" s="99" t="s">
        <v>151</v>
      </c>
      <c r="L104" s="98" t="s">
        <v>122</v>
      </c>
      <c r="M104" s="95">
        <v>278</v>
      </c>
      <c r="N104" s="95">
        <v>280</v>
      </c>
      <c r="O104" s="95"/>
      <c r="P104" s="95"/>
      <c r="Q104" s="95"/>
    </row>
    <row r="105" spans="1:17" s="20" customFormat="1" ht="12.75" x14ac:dyDescent="0.2">
      <c r="A105" s="61"/>
      <c r="B105" s="94"/>
      <c r="C105" s="94" t="s">
        <v>152</v>
      </c>
      <c r="D105" s="94" t="s">
        <v>112</v>
      </c>
      <c r="E105" s="100" t="s">
        <v>153</v>
      </c>
      <c r="F105" s="1538"/>
      <c r="G105" s="1586"/>
      <c r="H105" s="1587"/>
      <c r="I105" s="1587"/>
      <c r="J105" s="1587"/>
      <c r="K105" s="100" t="s">
        <v>154</v>
      </c>
      <c r="L105" s="98" t="s">
        <v>122</v>
      </c>
      <c r="M105" s="95">
        <v>88</v>
      </c>
      <c r="N105" s="95">
        <v>90</v>
      </c>
      <c r="O105" s="95"/>
      <c r="P105" s="95"/>
      <c r="Q105" s="95"/>
    </row>
    <row r="106" spans="1:17" s="20" customFormat="1" ht="51" x14ac:dyDescent="0.2">
      <c r="A106" s="61"/>
      <c r="B106" s="749" t="s">
        <v>155</v>
      </c>
      <c r="C106" s="94"/>
      <c r="D106" s="94"/>
      <c r="E106" s="101" t="s">
        <v>2352</v>
      </c>
      <c r="F106" s="1588">
        <v>0</v>
      </c>
      <c r="G106" s="1588">
        <v>0</v>
      </c>
      <c r="H106" s="1588">
        <v>0</v>
      </c>
      <c r="I106" s="1588">
        <v>0</v>
      </c>
      <c r="J106" s="1588">
        <v>0</v>
      </c>
      <c r="K106" s="102" t="s">
        <v>156</v>
      </c>
      <c r="L106" s="22" t="s">
        <v>157</v>
      </c>
      <c r="M106" s="95">
        <v>0</v>
      </c>
      <c r="N106" s="95">
        <v>0</v>
      </c>
      <c r="O106" s="95"/>
      <c r="P106" s="95"/>
      <c r="Q106" s="95"/>
    </row>
    <row r="107" spans="1:17" s="20" customFormat="1" ht="38.25" x14ac:dyDescent="0.2">
      <c r="A107" s="61"/>
      <c r="B107" s="103"/>
      <c r="C107" s="103" t="s">
        <v>114</v>
      </c>
      <c r="D107" s="103" t="s">
        <v>112</v>
      </c>
      <c r="E107" s="104" t="s">
        <v>158</v>
      </c>
      <c r="F107" s="1538"/>
      <c r="G107" s="1586"/>
      <c r="H107" s="1587"/>
      <c r="I107" s="1587"/>
      <c r="J107" s="1587"/>
      <c r="K107" s="604" t="s">
        <v>159</v>
      </c>
      <c r="L107" s="22" t="s">
        <v>160</v>
      </c>
      <c r="M107" s="95">
        <v>0</v>
      </c>
      <c r="N107" s="95">
        <v>0</v>
      </c>
      <c r="O107" s="95"/>
      <c r="P107" s="95"/>
      <c r="Q107" s="95"/>
    </row>
    <row r="108" spans="1:17" s="20" customFormat="1" ht="38.25" x14ac:dyDescent="0.2">
      <c r="A108" s="61"/>
      <c r="B108" s="103"/>
      <c r="C108" s="103" t="s">
        <v>116</v>
      </c>
      <c r="D108" s="103"/>
      <c r="E108" s="104" t="s">
        <v>161</v>
      </c>
      <c r="F108" s="1538"/>
      <c r="G108" s="1586"/>
      <c r="H108" s="1587"/>
      <c r="I108" s="1587"/>
      <c r="J108" s="1587"/>
      <c r="K108" s="604" t="s">
        <v>162</v>
      </c>
      <c r="L108" s="22" t="s">
        <v>163</v>
      </c>
      <c r="M108" s="105">
        <v>43295</v>
      </c>
      <c r="N108" s="95"/>
      <c r="O108" s="95"/>
      <c r="P108" s="95"/>
      <c r="Q108" s="95"/>
    </row>
    <row r="109" spans="1:17" s="20" customFormat="1" ht="38.25" x14ac:dyDescent="0.2">
      <c r="A109" s="61"/>
      <c r="B109" s="749" t="s">
        <v>164</v>
      </c>
      <c r="C109" s="94"/>
      <c r="D109" s="94"/>
      <c r="E109" s="101" t="s">
        <v>165</v>
      </c>
      <c r="F109" s="1588">
        <v>0</v>
      </c>
      <c r="G109" s="1588">
        <v>0</v>
      </c>
      <c r="H109" s="1588">
        <v>0</v>
      </c>
      <c r="I109" s="1588">
        <v>0</v>
      </c>
      <c r="J109" s="1588">
        <v>0</v>
      </c>
      <c r="K109" s="102" t="s">
        <v>166</v>
      </c>
      <c r="L109" s="88" t="s">
        <v>16</v>
      </c>
      <c r="M109" s="106">
        <v>0</v>
      </c>
      <c r="N109" s="106">
        <v>0</v>
      </c>
      <c r="O109" s="95"/>
      <c r="P109" s="95"/>
      <c r="Q109" s="95"/>
    </row>
    <row r="110" spans="1:17" s="20" customFormat="1" ht="12.75" x14ac:dyDescent="0.2">
      <c r="A110" s="61"/>
      <c r="B110" s="103"/>
      <c r="C110" s="103" t="s">
        <v>114</v>
      </c>
      <c r="D110" s="103" t="s">
        <v>112</v>
      </c>
      <c r="E110" s="104" t="s">
        <v>167</v>
      </c>
      <c r="F110" s="1538"/>
      <c r="G110" s="1586"/>
      <c r="H110" s="1587"/>
      <c r="I110" s="1587"/>
      <c r="J110" s="1587"/>
      <c r="K110" s="604" t="s">
        <v>168</v>
      </c>
      <c r="L110" s="95" t="s">
        <v>122</v>
      </c>
      <c r="M110" s="107">
        <v>1500</v>
      </c>
      <c r="N110" s="107">
        <v>1550</v>
      </c>
      <c r="O110" s="95"/>
      <c r="P110" s="95"/>
      <c r="Q110" s="95"/>
    </row>
    <row r="111" spans="1:17" s="20" customFormat="1" ht="12.75" x14ac:dyDescent="0.2">
      <c r="A111" s="61"/>
      <c r="B111" s="103"/>
      <c r="C111" s="103" t="s">
        <v>114</v>
      </c>
      <c r="D111" s="103" t="s">
        <v>112</v>
      </c>
      <c r="E111" s="104" t="s">
        <v>169</v>
      </c>
      <c r="F111" s="1538"/>
      <c r="G111" s="1586"/>
      <c r="H111" s="1587"/>
      <c r="I111" s="1587"/>
      <c r="J111" s="1587"/>
      <c r="K111" s="604"/>
      <c r="L111" s="95"/>
      <c r="M111" s="107"/>
      <c r="N111" s="107"/>
      <c r="O111" s="95"/>
      <c r="P111" s="95"/>
      <c r="Q111" s="95"/>
    </row>
    <row r="112" spans="1:17" s="20" customFormat="1" ht="25.5" x14ac:dyDescent="0.2">
      <c r="A112" s="61"/>
      <c r="B112" s="103"/>
      <c r="C112" s="103" t="s">
        <v>116</v>
      </c>
      <c r="D112" s="103" t="s">
        <v>112</v>
      </c>
      <c r="E112" s="104" t="s">
        <v>170</v>
      </c>
      <c r="F112" s="1538"/>
      <c r="G112" s="1586"/>
      <c r="H112" s="1587"/>
      <c r="I112" s="1587"/>
      <c r="J112" s="1587"/>
      <c r="K112" s="604" t="s">
        <v>171</v>
      </c>
      <c r="L112" s="95" t="s">
        <v>122</v>
      </c>
      <c r="M112" s="108">
        <v>14000</v>
      </c>
      <c r="N112" s="108">
        <v>14000</v>
      </c>
      <c r="O112" s="95"/>
      <c r="P112" s="95"/>
      <c r="Q112" s="95"/>
    </row>
    <row r="113" spans="1:17" s="20" customFormat="1" ht="25.5" x14ac:dyDescent="0.2">
      <c r="A113" s="61"/>
      <c r="B113" s="103"/>
      <c r="C113" s="103" t="s">
        <v>119</v>
      </c>
      <c r="D113" s="103" t="s">
        <v>112</v>
      </c>
      <c r="E113" s="104" t="s">
        <v>172</v>
      </c>
      <c r="F113" s="1538"/>
      <c r="G113" s="1586"/>
      <c r="H113" s="1587"/>
      <c r="I113" s="1587"/>
      <c r="J113" s="1587"/>
      <c r="K113" s="604" t="s">
        <v>173</v>
      </c>
      <c r="L113" s="95" t="s">
        <v>122</v>
      </c>
      <c r="M113" s="42">
        <v>0</v>
      </c>
      <c r="N113" s="42">
        <v>0</v>
      </c>
      <c r="O113" s="95"/>
      <c r="P113" s="95"/>
      <c r="Q113" s="95"/>
    </row>
    <row r="114" spans="1:17" s="20" customFormat="1" ht="25.5" x14ac:dyDescent="0.2">
      <c r="A114" s="61"/>
      <c r="B114" s="103"/>
      <c r="C114" s="103" t="s">
        <v>124</v>
      </c>
      <c r="D114" s="103" t="s">
        <v>112</v>
      </c>
      <c r="E114" s="104" t="s">
        <v>174</v>
      </c>
      <c r="F114" s="1538"/>
      <c r="G114" s="1586"/>
      <c r="H114" s="1587"/>
      <c r="I114" s="1587"/>
      <c r="J114" s="1587"/>
      <c r="K114" s="604" t="s">
        <v>175</v>
      </c>
      <c r="L114" s="95" t="s">
        <v>122</v>
      </c>
      <c r="M114" s="109" t="s">
        <v>176</v>
      </c>
      <c r="N114" s="109" t="s">
        <v>176</v>
      </c>
      <c r="O114" s="95"/>
      <c r="P114" s="95"/>
      <c r="Q114" s="95"/>
    </row>
    <row r="115" spans="1:17" s="20" customFormat="1" ht="25.5" x14ac:dyDescent="0.2">
      <c r="A115" s="61"/>
      <c r="B115" s="103"/>
      <c r="C115" s="103" t="s">
        <v>128</v>
      </c>
      <c r="D115" s="103" t="s">
        <v>112</v>
      </c>
      <c r="E115" s="104" t="s">
        <v>177</v>
      </c>
      <c r="F115" s="1538"/>
      <c r="G115" s="1586"/>
      <c r="H115" s="1587"/>
      <c r="I115" s="1587"/>
      <c r="J115" s="1587"/>
      <c r="K115" s="604" t="s">
        <v>178</v>
      </c>
      <c r="L115" s="95" t="s">
        <v>122</v>
      </c>
      <c r="M115" s="42">
        <v>0</v>
      </c>
      <c r="N115" s="42">
        <v>0</v>
      </c>
      <c r="O115" s="95"/>
      <c r="P115" s="95"/>
      <c r="Q115" s="95"/>
    </row>
    <row r="116" spans="1:17" s="20" customFormat="1" ht="12.75" x14ac:dyDescent="0.2">
      <c r="A116" s="61"/>
      <c r="B116" s="92"/>
      <c r="C116" s="92"/>
      <c r="D116" s="92"/>
      <c r="E116" s="92"/>
      <c r="F116" s="1589"/>
      <c r="G116" s="1589"/>
      <c r="H116" s="1589"/>
      <c r="I116" s="1589"/>
      <c r="J116" s="1589"/>
      <c r="K116" s="92"/>
      <c r="L116" s="106"/>
      <c r="M116" s="106"/>
      <c r="N116" s="106"/>
      <c r="O116" s="106"/>
      <c r="P116" s="106"/>
      <c r="Q116" s="106"/>
    </row>
    <row r="117" spans="1:17" s="46" customFormat="1" ht="30" customHeight="1" x14ac:dyDescent="0.2">
      <c r="A117" s="110"/>
      <c r="B117" s="2492" t="s">
        <v>179</v>
      </c>
      <c r="C117" s="2493"/>
      <c r="D117" s="2493"/>
      <c r="E117" s="2494"/>
      <c r="F117" s="1590">
        <v>133833.4</v>
      </c>
      <c r="G117" s="1590">
        <v>151754</v>
      </c>
      <c r="H117" s="1590">
        <v>151754</v>
      </c>
      <c r="I117" s="1590">
        <v>146520.20000000001</v>
      </c>
      <c r="J117" s="1590">
        <v>146520.6</v>
      </c>
      <c r="K117" s="112"/>
      <c r="L117" s="690"/>
      <c r="M117" s="690"/>
      <c r="N117" s="690"/>
      <c r="O117" s="690"/>
      <c r="P117" s="690"/>
      <c r="Q117" s="690"/>
    </row>
    <row r="118" spans="1:17" s="15" customFormat="1" ht="30.75" customHeight="1" x14ac:dyDescent="0.2">
      <c r="A118" s="2231" t="s">
        <v>180</v>
      </c>
      <c r="B118" s="2232"/>
      <c r="C118" s="2232"/>
      <c r="D118" s="2232"/>
      <c r="E118" s="2232"/>
      <c r="F118" s="2232"/>
      <c r="G118" s="2232"/>
      <c r="H118" s="2232"/>
      <c r="I118" s="2232"/>
      <c r="J118" s="2232"/>
      <c r="K118" s="2232"/>
      <c r="L118" s="2232"/>
      <c r="M118" s="2232"/>
      <c r="N118" s="2232"/>
      <c r="O118" s="2232"/>
      <c r="P118" s="2232"/>
      <c r="Q118" s="2233"/>
    </row>
    <row r="119" spans="1:17" s="20" customFormat="1" ht="51" x14ac:dyDescent="0.2">
      <c r="A119" s="61"/>
      <c r="B119" s="87" t="s">
        <v>111</v>
      </c>
      <c r="C119" s="87"/>
      <c r="D119" s="87" t="s">
        <v>112</v>
      </c>
      <c r="E119" s="606" t="s">
        <v>2727</v>
      </c>
      <c r="F119" s="1591">
        <v>13851.099999999999</v>
      </c>
      <c r="G119" s="1591">
        <v>11899.3</v>
      </c>
      <c r="H119" s="1591">
        <v>11448.1</v>
      </c>
      <c r="I119" s="1591">
        <v>11448.1</v>
      </c>
      <c r="J119" s="1591">
        <v>11448.1</v>
      </c>
      <c r="K119" s="604" t="s">
        <v>181</v>
      </c>
      <c r="L119" s="95" t="s">
        <v>16</v>
      </c>
      <c r="M119" s="604">
        <v>4.9000000000000004</v>
      </c>
      <c r="N119" s="604">
        <v>4.9000000000000004</v>
      </c>
      <c r="O119" s="604">
        <v>4.9000000000000004</v>
      </c>
      <c r="P119" s="604">
        <v>4.9000000000000004</v>
      </c>
      <c r="Q119" s="604">
        <v>4.9000000000000004</v>
      </c>
    </row>
    <row r="120" spans="1:17" s="20" customFormat="1" ht="25.5" x14ac:dyDescent="0.2">
      <c r="A120" s="61"/>
      <c r="B120" s="87"/>
      <c r="C120" s="87" t="s">
        <v>114</v>
      </c>
      <c r="D120" s="87" t="s">
        <v>112</v>
      </c>
      <c r="E120" s="604" t="s">
        <v>182</v>
      </c>
      <c r="F120" s="1340">
        <v>3016.5</v>
      </c>
      <c r="G120" s="1340">
        <v>3727.8</v>
      </c>
      <c r="H120" s="1340">
        <v>3399.2</v>
      </c>
      <c r="I120" s="1340">
        <v>3399.2</v>
      </c>
      <c r="J120" s="1340">
        <v>3399.2</v>
      </c>
      <c r="K120" s="604" t="s">
        <v>183</v>
      </c>
      <c r="L120" s="95" t="s">
        <v>19</v>
      </c>
      <c r="M120" s="668">
        <v>0</v>
      </c>
      <c r="N120" s="668">
        <v>0</v>
      </c>
      <c r="O120" s="668">
        <v>0</v>
      </c>
      <c r="P120" s="668">
        <v>0</v>
      </c>
      <c r="Q120" s="668">
        <v>0</v>
      </c>
    </row>
    <row r="121" spans="1:17" s="20" customFormat="1" ht="36" customHeight="1" x14ac:dyDescent="0.2">
      <c r="A121" s="61"/>
      <c r="B121" s="87"/>
      <c r="C121" s="87" t="s">
        <v>116</v>
      </c>
      <c r="D121" s="87" t="s">
        <v>112</v>
      </c>
      <c r="E121" s="604" t="s">
        <v>184</v>
      </c>
      <c r="F121" s="1340">
        <v>2316.6999999999998</v>
      </c>
      <c r="G121" s="1340">
        <v>2646.5</v>
      </c>
      <c r="H121" s="1340">
        <v>2790.3</v>
      </c>
      <c r="I121" s="1340">
        <v>2790.3</v>
      </c>
      <c r="J121" s="1340">
        <v>2790.3</v>
      </c>
      <c r="K121" s="604" t="s">
        <v>185</v>
      </c>
      <c r="L121" s="95" t="s">
        <v>16</v>
      </c>
      <c r="M121" s="668">
        <v>100</v>
      </c>
      <c r="N121" s="668">
        <v>100</v>
      </c>
      <c r="O121" s="668">
        <v>100</v>
      </c>
      <c r="P121" s="668">
        <v>100</v>
      </c>
      <c r="Q121" s="668">
        <v>100</v>
      </c>
    </row>
    <row r="122" spans="1:17" s="20" customFormat="1" ht="35.25" customHeight="1" x14ac:dyDescent="0.2">
      <c r="A122" s="61"/>
      <c r="B122" s="87"/>
      <c r="C122" s="87" t="s">
        <v>119</v>
      </c>
      <c r="D122" s="87" t="s">
        <v>112</v>
      </c>
      <c r="E122" s="604" t="s">
        <v>117</v>
      </c>
      <c r="F122" s="1340">
        <v>824.1</v>
      </c>
      <c r="G122" s="1340">
        <v>1676.6</v>
      </c>
      <c r="H122" s="1340">
        <v>1772.6</v>
      </c>
      <c r="I122" s="1340">
        <v>1772.6</v>
      </c>
      <c r="J122" s="1340">
        <v>1772.6</v>
      </c>
      <c r="K122" s="604" t="s">
        <v>2555</v>
      </c>
      <c r="L122" s="95" t="s">
        <v>16</v>
      </c>
      <c r="M122" s="668" t="s">
        <v>186</v>
      </c>
      <c r="N122" s="668" t="s">
        <v>186</v>
      </c>
      <c r="O122" s="668" t="s">
        <v>186</v>
      </c>
      <c r="P122" s="668">
        <v>100</v>
      </c>
      <c r="Q122" s="668">
        <v>100</v>
      </c>
    </row>
    <row r="123" spans="1:17" s="20" customFormat="1" ht="12.75" x14ac:dyDescent="0.2">
      <c r="A123" s="61"/>
      <c r="B123" s="87"/>
      <c r="C123" s="87" t="s">
        <v>124</v>
      </c>
      <c r="D123" s="87" t="s">
        <v>112</v>
      </c>
      <c r="E123" s="604" t="s">
        <v>28</v>
      </c>
      <c r="F123" s="1340">
        <v>2792.1</v>
      </c>
      <c r="G123" s="1340"/>
      <c r="H123" s="1340"/>
      <c r="I123" s="1340"/>
      <c r="J123" s="1340"/>
      <c r="K123" s="606"/>
      <c r="L123" s="95" t="s">
        <v>160</v>
      </c>
      <c r="M123" s="668" t="s">
        <v>186</v>
      </c>
      <c r="N123" s="668" t="s">
        <v>186</v>
      </c>
      <c r="O123" s="668">
        <v>2</v>
      </c>
      <c r="P123" s="668">
        <v>2</v>
      </c>
      <c r="Q123" s="668">
        <v>2</v>
      </c>
    </row>
    <row r="124" spans="1:17" s="20" customFormat="1" ht="45" customHeight="1" x14ac:dyDescent="0.2">
      <c r="A124" s="61"/>
      <c r="B124" s="87"/>
      <c r="C124" s="87" t="s">
        <v>128</v>
      </c>
      <c r="D124" s="87" t="s">
        <v>112</v>
      </c>
      <c r="E124" s="604" t="s">
        <v>187</v>
      </c>
      <c r="F124" s="1340">
        <v>4901.7</v>
      </c>
      <c r="G124" s="1340">
        <v>3848.4</v>
      </c>
      <c r="H124" s="1340">
        <v>3486</v>
      </c>
      <c r="I124" s="1340">
        <v>3486</v>
      </c>
      <c r="J124" s="1340">
        <v>3486</v>
      </c>
      <c r="K124" s="604" t="s">
        <v>188</v>
      </c>
      <c r="L124" s="95" t="s">
        <v>16</v>
      </c>
      <c r="M124" s="668">
        <v>24</v>
      </c>
      <c r="N124" s="668">
        <v>24</v>
      </c>
      <c r="O124" s="668">
        <v>22.4</v>
      </c>
      <c r="P124" s="668">
        <v>22.4</v>
      </c>
      <c r="Q124" s="668">
        <v>22.4</v>
      </c>
    </row>
    <row r="125" spans="1:17" s="20" customFormat="1" ht="84" customHeight="1" x14ac:dyDescent="0.2">
      <c r="A125" s="61"/>
      <c r="B125" s="103" t="s">
        <v>131</v>
      </c>
      <c r="C125" s="103"/>
      <c r="D125" s="103" t="s">
        <v>112</v>
      </c>
      <c r="E125" s="698" t="s">
        <v>2726</v>
      </c>
      <c r="F125" s="1591">
        <v>32206.799999999999</v>
      </c>
      <c r="G125" s="1591">
        <v>37704.999999999993</v>
      </c>
      <c r="H125" s="1591">
        <v>38208.199999999997</v>
      </c>
      <c r="I125" s="1591">
        <v>38208.199999999997</v>
      </c>
      <c r="J125" s="1591">
        <v>38208.199999999997</v>
      </c>
      <c r="K125" s="729" t="s">
        <v>189</v>
      </c>
      <c r="L125" s="604" t="s">
        <v>122</v>
      </c>
      <c r="M125" s="604">
        <v>23</v>
      </c>
      <c r="N125" s="604">
        <v>23</v>
      </c>
      <c r="O125" s="604">
        <v>23</v>
      </c>
      <c r="P125" s="604">
        <v>23</v>
      </c>
      <c r="Q125" s="604">
        <v>23</v>
      </c>
    </row>
    <row r="126" spans="1:17" s="20" customFormat="1" ht="25.5" x14ac:dyDescent="0.2">
      <c r="A126" s="61"/>
      <c r="B126" s="94"/>
      <c r="C126" s="94" t="s">
        <v>114</v>
      </c>
      <c r="D126" s="94" t="s">
        <v>112</v>
      </c>
      <c r="E126" s="606" t="s">
        <v>190</v>
      </c>
      <c r="F126" s="1587">
        <v>1089.2</v>
      </c>
      <c r="G126" s="1587">
        <v>18548</v>
      </c>
      <c r="H126" s="1592">
        <v>18479.400000000001</v>
      </c>
      <c r="I126" s="1592">
        <v>18479.400000000001</v>
      </c>
      <c r="J126" s="1592">
        <v>18479.400000000001</v>
      </c>
      <c r="K126" s="606" t="s">
        <v>191</v>
      </c>
      <c r="L126" s="604" t="s">
        <v>122</v>
      </c>
      <c r="M126" s="668" t="s">
        <v>192</v>
      </c>
      <c r="N126" s="668" t="s">
        <v>193</v>
      </c>
      <c r="O126" s="668" t="s">
        <v>194</v>
      </c>
      <c r="P126" s="668" t="s">
        <v>194</v>
      </c>
      <c r="Q126" s="668" t="s">
        <v>194</v>
      </c>
    </row>
    <row r="127" spans="1:17" s="20" customFormat="1" ht="25.5" x14ac:dyDescent="0.2">
      <c r="A127" s="61"/>
      <c r="B127" s="94"/>
      <c r="C127" s="94" t="s">
        <v>116</v>
      </c>
      <c r="D127" s="94" t="s">
        <v>112</v>
      </c>
      <c r="E127" s="606" t="s">
        <v>195</v>
      </c>
      <c r="F127" s="1340">
        <v>29585.5</v>
      </c>
      <c r="G127" s="1340">
        <v>15978.5</v>
      </c>
      <c r="H127" s="1340">
        <v>17252.400000000001</v>
      </c>
      <c r="I127" s="1340">
        <v>17252.400000000001</v>
      </c>
      <c r="J127" s="1340">
        <v>17252.400000000001</v>
      </c>
      <c r="K127" s="606" t="s">
        <v>191</v>
      </c>
      <c r="L127" s="604" t="s">
        <v>122</v>
      </c>
      <c r="M127" s="668">
        <v>1</v>
      </c>
      <c r="N127" s="668">
        <v>1</v>
      </c>
      <c r="O127" s="668">
        <v>1</v>
      </c>
      <c r="P127" s="668">
        <v>1</v>
      </c>
      <c r="Q127" s="668">
        <v>1</v>
      </c>
    </row>
    <row r="128" spans="1:17" s="20" customFormat="1" ht="25.5" x14ac:dyDescent="0.2">
      <c r="A128" s="61"/>
      <c r="B128" s="94"/>
      <c r="C128" s="94" t="s">
        <v>119</v>
      </c>
      <c r="D128" s="94" t="s">
        <v>112</v>
      </c>
      <c r="E128" s="606" t="s">
        <v>196</v>
      </c>
      <c r="F128" s="1340"/>
      <c r="G128" s="1340">
        <v>748.2</v>
      </c>
      <c r="H128" s="1340">
        <v>796.2</v>
      </c>
      <c r="I128" s="1340">
        <v>796.2</v>
      </c>
      <c r="J128" s="1340">
        <v>796.2</v>
      </c>
      <c r="K128" s="606" t="s">
        <v>197</v>
      </c>
      <c r="L128" s="604" t="s">
        <v>122</v>
      </c>
      <c r="M128" s="668">
        <v>0</v>
      </c>
      <c r="N128" s="668">
        <v>0</v>
      </c>
      <c r="O128" s="668">
        <v>1</v>
      </c>
      <c r="P128" s="668">
        <v>0</v>
      </c>
      <c r="Q128" s="668">
        <v>0</v>
      </c>
    </row>
    <row r="129" spans="1:17" s="20" customFormat="1" ht="112.5" customHeight="1" x14ac:dyDescent="0.2">
      <c r="A129" s="61"/>
      <c r="B129" s="94"/>
      <c r="C129" s="94" t="s">
        <v>124</v>
      </c>
      <c r="D129" s="94" t="s">
        <v>112</v>
      </c>
      <c r="E129" s="606" t="s">
        <v>198</v>
      </c>
      <c r="F129" s="1340"/>
      <c r="G129" s="1340">
        <v>216.6</v>
      </c>
      <c r="H129" s="1340">
        <v>216.6</v>
      </c>
      <c r="I129" s="1340">
        <v>216.6</v>
      </c>
      <c r="J129" s="1340">
        <v>216.6</v>
      </c>
      <c r="K129" s="606" t="s">
        <v>199</v>
      </c>
      <c r="L129" s="604" t="s">
        <v>122</v>
      </c>
      <c r="M129" s="668">
        <v>0</v>
      </c>
      <c r="N129" s="668">
        <v>0</v>
      </c>
      <c r="O129" s="668">
        <v>0</v>
      </c>
      <c r="P129" s="668">
        <v>10</v>
      </c>
      <c r="Q129" s="668">
        <v>10</v>
      </c>
    </row>
    <row r="130" spans="1:17" s="20" customFormat="1" ht="25.5" x14ac:dyDescent="0.2">
      <c r="A130" s="61"/>
      <c r="B130" s="94"/>
      <c r="C130" s="94" t="s">
        <v>128</v>
      </c>
      <c r="D130" s="94" t="s">
        <v>112</v>
      </c>
      <c r="E130" s="606" t="s">
        <v>200</v>
      </c>
      <c r="F130" s="1340">
        <v>1532.1</v>
      </c>
      <c r="G130" s="1340">
        <v>2113.6999999999998</v>
      </c>
      <c r="H130" s="1340">
        <v>1363.6</v>
      </c>
      <c r="I130" s="1340">
        <v>1363.6</v>
      </c>
      <c r="J130" s="1340">
        <v>1363.6</v>
      </c>
      <c r="K130" s="606" t="s">
        <v>201</v>
      </c>
      <c r="L130" s="604" t="s">
        <v>122</v>
      </c>
      <c r="M130" s="668">
        <v>0</v>
      </c>
      <c r="N130" s="668">
        <v>0</v>
      </c>
      <c r="O130" s="668">
        <v>3</v>
      </c>
      <c r="P130" s="668">
        <v>3</v>
      </c>
      <c r="Q130" s="668">
        <v>3</v>
      </c>
    </row>
    <row r="131" spans="1:17" s="20" customFormat="1" ht="25.5" x14ac:dyDescent="0.2">
      <c r="A131" s="61"/>
      <c r="B131" s="94"/>
      <c r="C131" s="94" t="s">
        <v>202</v>
      </c>
      <c r="D131" s="94" t="s">
        <v>112</v>
      </c>
      <c r="E131" s="606" t="s">
        <v>203</v>
      </c>
      <c r="F131" s="1592"/>
      <c r="G131" s="1340"/>
      <c r="H131" s="1340"/>
      <c r="I131" s="1340"/>
      <c r="J131" s="1340"/>
      <c r="K131" s="606" t="s">
        <v>204</v>
      </c>
      <c r="L131" s="604" t="s">
        <v>122</v>
      </c>
      <c r="M131" s="701">
        <v>0</v>
      </c>
      <c r="N131" s="701">
        <v>0</v>
      </c>
      <c r="O131" s="701">
        <v>0</v>
      </c>
      <c r="P131" s="701">
        <v>0</v>
      </c>
      <c r="Q131" s="701">
        <v>0</v>
      </c>
    </row>
    <row r="132" spans="1:17" s="20" customFormat="1" ht="25.5" x14ac:dyDescent="0.2">
      <c r="A132" s="61"/>
      <c r="B132" s="94"/>
      <c r="C132" s="94" t="s">
        <v>149</v>
      </c>
      <c r="D132" s="94" t="s">
        <v>112</v>
      </c>
      <c r="E132" s="606" t="s">
        <v>205</v>
      </c>
      <c r="F132" s="1592"/>
      <c r="G132" s="1592">
        <v>100</v>
      </c>
      <c r="H132" s="1340">
        <v>100</v>
      </c>
      <c r="I132" s="1340">
        <v>100</v>
      </c>
      <c r="J132" s="1340">
        <v>100</v>
      </c>
      <c r="K132" s="606" t="s">
        <v>206</v>
      </c>
      <c r="L132" s="668" t="s">
        <v>207</v>
      </c>
      <c r="M132" s="668" t="s">
        <v>208</v>
      </c>
      <c r="N132" s="668" t="s">
        <v>208</v>
      </c>
      <c r="O132" s="668" t="s">
        <v>209</v>
      </c>
      <c r="P132" s="668" t="s">
        <v>209</v>
      </c>
      <c r="Q132" s="668" t="s">
        <v>209</v>
      </c>
    </row>
    <row r="133" spans="1:17" s="20" customFormat="1" ht="65.25" customHeight="1" x14ac:dyDescent="0.2">
      <c r="A133" s="61"/>
      <c r="B133" s="103" t="s">
        <v>155</v>
      </c>
      <c r="C133" s="103"/>
      <c r="D133" s="103" t="s">
        <v>112</v>
      </c>
      <c r="E133" s="730" t="s">
        <v>2728</v>
      </c>
      <c r="F133" s="1593">
        <v>503.5</v>
      </c>
      <c r="G133" s="1593">
        <v>938.3</v>
      </c>
      <c r="H133" s="1594">
        <v>886.3</v>
      </c>
      <c r="I133" s="1594">
        <v>886.3</v>
      </c>
      <c r="J133" s="1594">
        <v>886.3</v>
      </c>
      <c r="K133" s="730" t="s">
        <v>210</v>
      </c>
      <c r="L133" s="668" t="s">
        <v>207</v>
      </c>
      <c r="M133" s="668" t="s">
        <v>207</v>
      </c>
      <c r="N133" s="668" t="s">
        <v>209</v>
      </c>
      <c r="O133" s="668" t="s">
        <v>209</v>
      </c>
      <c r="P133" s="668" t="s">
        <v>209</v>
      </c>
      <c r="Q133" s="668" t="s">
        <v>209</v>
      </c>
    </row>
    <row r="134" spans="1:17" s="20" customFormat="1" ht="25.5" x14ac:dyDescent="0.2">
      <c r="A134" s="61"/>
      <c r="B134" s="103"/>
      <c r="C134" s="103" t="s">
        <v>114</v>
      </c>
      <c r="D134" s="103" t="s">
        <v>112</v>
      </c>
      <c r="E134" s="697" t="s">
        <v>125</v>
      </c>
      <c r="F134" s="1587">
        <v>103.5</v>
      </c>
      <c r="G134" s="1587">
        <v>888.3</v>
      </c>
      <c r="H134" s="1587">
        <v>836.3</v>
      </c>
      <c r="I134" s="1587">
        <v>836.3</v>
      </c>
      <c r="J134" s="1587">
        <v>836.3</v>
      </c>
      <c r="K134" s="606" t="s">
        <v>211</v>
      </c>
      <c r="L134" s="701" t="s">
        <v>122</v>
      </c>
      <c r="M134" s="701">
        <v>23</v>
      </c>
      <c r="N134" s="701">
        <v>23</v>
      </c>
      <c r="O134" s="701">
        <v>23</v>
      </c>
      <c r="P134" s="701">
        <v>23</v>
      </c>
      <c r="Q134" s="701">
        <v>23</v>
      </c>
    </row>
    <row r="135" spans="1:17" s="20" customFormat="1" ht="38.25" x14ac:dyDescent="0.2">
      <c r="A135" s="61"/>
      <c r="B135" s="103"/>
      <c r="C135" s="103" t="s">
        <v>116</v>
      </c>
      <c r="D135" s="103"/>
      <c r="E135" s="606" t="s">
        <v>212</v>
      </c>
      <c r="F135" s="1587">
        <v>400</v>
      </c>
      <c r="G135" s="1587"/>
      <c r="H135" s="1587"/>
      <c r="I135" s="1587"/>
      <c r="J135" s="1587"/>
      <c r="K135" s="606" t="s">
        <v>213</v>
      </c>
      <c r="L135" s="668" t="s">
        <v>122</v>
      </c>
      <c r="M135" s="668">
        <v>23</v>
      </c>
      <c r="N135" s="668">
        <v>23</v>
      </c>
      <c r="O135" s="668">
        <v>23</v>
      </c>
      <c r="P135" s="668">
        <v>20</v>
      </c>
      <c r="Q135" s="668">
        <v>20</v>
      </c>
    </row>
    <row r="136" spans="1:17" s="20" customFormat="1" ht="25.5" x14ac:dyDescent="0.2">
      <c r="A136" s="61"/>
      <c r="B136" s="103"/>
      <c r="C136" s="103" t="s">
        <v>119</v>
      </c>
      <c r="D136" s="103"/>
      <c r="E136" s="606" t="s">
        <v>214</v>
      </c>
      <c r="F136" s="1587"/>
      <c r="G136" s="1587"/>
      <c r="H136" s="1587"/>
      <c r="I136" s="1587"/>
      <c r="J136" s="1587"/>
      <c r="K136" s="606" t="s">
        <v>215</v>
      </c>
      <c r="L136" s="668" t="s">
        <v>122</v>
      </c>
      <c r="M136" s="668">
        <v>23</v>
      </c>
      <c r="N136" s="668">
        <v>23</v>
      </c>
      <c r="O136" s="668">
        <v>23</v>
      </c>
      <c r="P136" s="668">
        <v>20</v>
      </c>
      <c r="Q136" s="668">
        <v>20</v>
      </c>
    </row>
    <row r="137" spans="1:17" s="20" customFormat="1" ht="33.75" customHeight="1" x14ac:dyDescent="0.2">
      <c r="A137" s="61"/>
      <c r="B137" s="103"/>
      <c r="C137" s="103" t="s">
        <v>124</v>
      </c>
      <c r="D137" s="103"/>
      <c r="E137" s="606" t="s">
        <v>2729</v>
      </c>
      <c r="F137" s="1587"/>
      <c r="G137" s="1587">
        <v>50</v>
      </c>
      <c r="H137" s="1587">
        <v>50</v>
      </c>
      <c r="I137" s="1587">
        <v>50</v>
      </c>
      <c r="J137" s="1587">
        <v>50</v>
      </c>
      <c r="K137" s="606" t="s">
        <v>2556</v>
      </c>
      <c r="L137" s="668" t="s">
        <v>207</v>
      </c>
      <c r="M137" s="668" t="s">
        <v>208</v>
      </c>
      <c r="N137" s="668" t="s">
        <v>208</v>
      </c>
      <c r="O137" s="668" t="s">
        <v>209</v>
      </c>
      <c r="P137" s="668" t="s">
        <v>209</v>
      </c>
      <c r="Q137" s="668" t="s">
        <v>209</v>
      </c>
    </row>
    <row r="138" spans="1:17" ht="24.75" customHeight="1" x14ac:dyDescent="0.2">
      <c r="A138" s="2216" t="s">
        <v>68</v>
      </c>
      <c r="B138" s="2234"/>
      <c r="C138" s="2234"/>
      <c r="D138" s="2234"/>
      <c r="E138" s="2234"/>
      <c r="F138" s="1595">
        <v>46561.399999999994</v>
      </c>
      <c r="G138" s="1595">
        <v>50542.599999999991</v>
      </c>
      <c r="H138" s="1595">
        <v>50542.6</v>
      </c>
      <c r="I138" s="1595">
        <v>50542.6</v>
      </c>
      <c r="J138" s="1595">
        <v>50542.6</v>
      </c>
      <c r="K138" s="114"/>
      <c r="L138" s="115"/>
      <c r="M138" s="115"/>
      <c r="N138" s="115"/>
      <c r="O138" s="115"/>
      <c r="P138" s="115"/>
      <c r="Q138" s="115"/>
    </row>
    <row r="139" spans="1:17" s="15" customFormat="1" ht="28.5" customHeight="1" x14ac:dyDescent="0.2">
      <c r="A139" s="2228" t="s">
        <v>216</v>
      </c>
      <c r="B139" s="2228"/>
      <c r="C139" s="2228"/>
      <c r="D139" s="2228"/>
      <c r="E139" s="2228"/>
      <c r="F139" s="2228"/>
      <c r="G139" s="2228"/>
      <c r="H139" s="2228"/>
      <c r="I139" s="2228"/>
      <c r="J139" s="2228"/>
      <c r="K139" s="2228"/>
      <c r="L139" s="2228"/>
      <c r="M139" s="2228"/>
      <c r="N139" s="2228"/>
      <c r="O139" s="2228"/>
      <c r="P139" s="2228"/>
      <c r="Q139" s="2228"/>
    </row>
    <row r="140" spans="1:17" s="20" customFormat="1" ht="57" customHeight="1" x14ac:dyDescent="0.2">
      <c r="A140" s="61"/>
      <c r="B140" s="87" t="s">
        <v>111</v>
      </c>
      <c r="C140" s="693"/>
      <c r="D140" s="693"/>
      <c r="E140" s="698" t="s">
        <v>2730</v>
      </c>
      <c r="F140" s="1340">
        <v>19667.5</v>
      </c>
      <c r="G140" s="1340">
        <v>14277.5</v>
      </c>
      <c r="H140" s="1340">
        <f>H141</f>
        <v>14227.5</v>
      </c>
      <c r="I140" s="1340">
        <v>15609.1</v>
      </c>
      <c r="J140" s="1340">
        <v>15214.1</v>
      </c>
      <c r="K140" s="698" t="s">
        <v>217</v>
      </c>
      <c r="L140" s="22" t="s">
        <v>16</v>
      </c>
      <c r="M140" s="668">
        <v>4.9000000000000004</v>
      </c>
      <c r="N140" s="668">
        <v>4.9000000000000004</v>
      </c>
      <c r="O140" s="668">
        <v>4.9000000000000004</v>
      </c>
      <c r="P140" s="668">
        <v>4.9000000000000004</v>
      </c>
      <c r="Q140" s="668">
        <v>4.9000000000000004</v>
      </c>
    </row>
    <row r="141" spans="1:17" s="20" customFormat="1" ht="30" customHeight="1" x14ac:dyDescent="0.2">
      <c r="A141" s="61"/>
      <c r="B141" s="87"/>
      <c r="C141" s="693" t="s">
        <v>114</v>
      </c>
      <c r="D141" s="693"/>
      <c r="E141" s="604" t="s">
        <v>218</v>
      </c>
      <c r="F141" s="1339">
        <v>19667.5</v>
      </c>
      <c r="G141" s="1339">
        <v>14277.5</v>
      </c>
      <c r="H141" s="1340">
        <v>14227.5</v>
      </c>
      <c r="I141" s="1340">
        <v>15609.1</v>
      </c>
      <c r="J141" s="1340">
        <v>15214.1</v>
      </c>
      <c r="K141" s="604" t="s">
        <v>2557</v>
      </c>
      <c r="L141" s="22" t="s">
        <v>160</v>
      </c>
      <c r="M141" s="668">
        <v>0</v>
      </c>
      <c r="N141" s="668">
        <v>0</v>
      </c>
      <c r="O141" s="668">
        <v>0</v>
      </c>
      <c r="P141" s="668">
        <v>0</v>
      </c>
      <c r="Q141" s="668">
        <v>0</v>
      </c>
    </row>
    <row r="142" spans="1:17" s="20" customFormat="1" ht="29.25" customHeight="1" x14ac:dyDescent="0.2">
      <c r="A142" s="61"/>
      <c r="B142" s="87"/>
      <c r="C142" s="693" t="s">
        <v>116</v>
      </c>
      <c r="D142" s="693"/>
      <c r="E142" s="604" t="s">
        <v>219</v>
      </c>
      <c r="F142" s="1339"/>
      <c r="G142" s="1339"/>
      <c r="H142" s="1340"/>
      <c r="I142" s="1340"/>
      <c r="J142" s="1340"/>
      <c r="K142" s="604" t="s">
        <v>2558</v>
      </c>
      <c r="L142" s="22" t="s">
        <v>16</v>
      </c>
      <c r="M142" s="668"/>
      <c r="N142" s="668"/>
      <c r="O142" s="668"/>
      <c r="P142" s="668"/>
      <c r="Q142" s="668"/>
    </row>
    <row r="143" spans="1:17" s="20" customFormat="1" ht="12.75" x14ac:dyDescent="0.2">
      <c r="A143" s="61"/>
      <c r="B143" s="87"/>
      <c r="C143" s="693" t="s">
        <v>119</v>
      </c>
      <c r="D143" s="693"/>
      <c r="E143" s="604" t="s">
        <v>220</v>
      </c>
      <c r="F143" s="1339"/>
      <c r="G143" s="1339"/>
      <c r="H143" s="1340"/>
      <c r="I143" s="1340"/>
      <c r="J143" s="1340"/>
      <c r="K143" s="604" t="s">
        <v>221</v>
      </c>
      <c r="L143" s="22" t="s">
        <v>16</v>
      </c>
      <c r="M143" s="668"/>
      <c r="N143" s="668"/>
      <c r="O143" s="668"/>
      <c r="P143" s="668"/>
      <c r="Q143" s="668"/>
    </row>
    <row r="144" spans="1:17" s="20" customFormat="1" ht="12.75" x14ac:dyDescent="0.2">
      <c r="A144" s="61"/>
      <c r="B144" s="87"/>
      <c r="C144" s="693" t="s">
        <v>124</v>
      </c>
      <c r="D144" s="693"/>
      <c r="E144" s="604" t="s">
        <v>222</v>
      </c>
      <c r="F144" s="1339"/>
      <c r="G144" s="1339"/>
      <c r="H144" s="1340"/>
      <c r="I144" s="1340"/>
      <c r="J144" s="1340"/>
      <c r="K144" s="604" t="s">
        <v>223</v>
      </c>
      <c r="L144" s="22" t="s">
        <v>160</v>
      </c>
      <c r="M144" s="668"/>
      <c r="N144" s="668"/>
      <c r="O144" s="668"/>
      <c r="P144" s="668"/>
      <c r="Q144" s="668"/>
    </row>
    <row r="145" spans="1:17" s="20" customFormat="1" ht="60.75" customHeight="1" x14ac:dyDescent="0.2">
      <c r="A145" s="61"/>
      <c r="B145" s="87" t="s">
        <v>131</v>
      </c>
      <c r="C145" s="87"/>
      <c r="D145" s="87" t="s">
        <v>112</v>
      </c>
      <c r="E145" s="698" t="s">
        <v>2732</v>
      </c>
      <c r="F145" s="1340">
        <v>1414.8</v>
      </c>
      <c r="G145" s="1340">
        <v>8076.3</v>
      </c>
      <c r="H145" s="1340">
        <f>H146+H147+H148</f>
        <v>8076.3</v>
      </c>
      <c r="I145" s="1340">
        <v>14144.4</v>
      </c>
      <c r="J145" s="1340">
        <v>14199.4</v>
      </c>
      <c r="K145" s="698" t="s">
        <v>224</v>
      </c>
      <c r="L145" s="668" t="s">
        <v>225</v>
      </c>
      <c r="M145" s="668">
        <v>1500</v>
      </c>
      <c r="N145" s="668">
        <v>2000</v>
      </c>
      <c r="O145" s="668">
        <v>2200</v>
      </c>
      <c r="P145" s="668">
        <v>2300</v>
      </c>
      <c r="Q145" s="668">
        <v>2500</v>
      </c>
    </row>
    <row r="146" spans="1:17" s="20" customFormat="1" ht="25.5" x14ac:dyDescent="0.2">
      <c r="A146" s="61"/>
      <c r="B146" s="87"/>
      <c r="C146" s="87" t="s">
        <v>114</v>
      </c>
      <c r="D146" s="87" t="s">
        <v>112</v>
      </c>
      <c r="E146" s="698" t="s">
        <v>226</v>
      </c>
      <c r="F146" s="1339">
        <v>1414.8</v>
      </c>
      <c r="G146" s="1339">
        <v>8076.3</v>
      </c>
      <c r="H146" s="1340">
        <v>8076.3</v>
      </c>
      <c r="I146" s="1340">
        <v>9766.7000000000007</v>
      </c>
      <c r="J146" s="1340">
        <v>9661.7000000000007</v>
      </c>
      <c r="K146" s="698" t="s">
        <v>227</v>
      </c>
      <c r="L146" s="2229" t="s">
        <v>30</v>
      </c>
      <c r="M146" s="2229">
        <v>1500</v>
      </c>
      <c r="N146" s="2229">
        <v>2000</v>
      </c>
      <c r="O146" s="2229">
        <v>2200</v>
      </c>
      <c r="P146" s="2229">
        <v>2300</v>
      </c>
      <c r="Q146" s="2229">
        <v>2500</v>
      </c>
    </row>
    <row r="147" spans="1:17" s="20" customFormat="1" ht="25.5" x14ac:dyDescent="0.2">
      <c r="A147" s="61"/>
      <c r="B147" s="87"/>
      <c r="C147" s="87" t="s">
        <v>116</v>
      </c>
      <c r="D147" s="87" t="s">
        <v>112</v>
      </c>
      <c r="E147" s="698" t="s">
        <v>228</v>
      </c>
      <c r="F147" s="1596"/>
      <c r="G147" s="1596"/>
      <c r="H147" s="1340"/>
      <c r="I147" s="1340">
        <v>334</v>
      </c>
      <c r="J147" s="1340">
        <v>334</v>
      </c>
      <c r="K147" s="698"/>
      <c r="L147" s="2230"/>
      <c r="M147" s="2230"/>
      <c r="N147" s="2230"/>
      <c r="O147" s="2230"/>
      <c r="P147" s="2230"/>
      <c r="Q147" s="2230"/>
    </row>
    <row r="148" spans="1:17" s="20" customFormat="1" ht="54.75" customHeight="1" x14ac:dyDescent="0.2">
      <c r="A148" s="61"/>
      <c r="B148" s="103"/>
      <c r="C148" s="103" t="s">
        <v>119</v>
      </c>
      <c r="D148" s="103" t="s">
        <v>112</v>
      </c>
      <c r="E148" s="698" t="s">
        <v>229</v>
      </c>
      <c r="F148" s="1339"/>
      <c r="G148" s="1339"/>
      <c r="H148" s="1340"/>
      <c r="I148" s="1340">
        <v>320</v>
      </c>
      <c r="J148" s="1340">
        <v>320</v>
      </c>
      <c r="K148" s="698" t="s">
        <v>230</v>
      </c>
      <c r="L148" s="75" t="s">
        <v>231</v>
      </c>
      <c r="M148" s="732">
        <v>5</v>
      </c>
      <c r="N148" s="75">
        <v>20</v>
      </c>
      <c r="O148" s="75">
        <v>30</v>
      </c>
      <c r="P148" s="75">
        <v>30</v>
      </c>
      <c r="Q148" s="75">
        <v>30</v>
      </c>
    </row>
    <row r="149" spans="1:17" s="20" customFormat="1" ht="51" x14ac:dyDescent="0.2">
      <c r="A149" s="61"/>
      <c r="B149" s="696" t="s">
        <v>155</v>
      </c>
      <c r="C149" s="427"/>
      <c r="D149" s="427"/>
      <c r="E149" s="698" t="s">
        <v>2731</v>
      </c>
      <c r="F149" s="1547">
        <v>0</v>
      </c>
      <c r="G149" s="1547">
        <v>0</v>
      </c>
      <c r="H149" s="1547">
        <v>0</v>
      </c>
      <c r="I149" s="1547">
        <v>0</v>
      </c>
      <c r="J149" s="1547">
        <v>0</v>
      </c>
      <c r="K149" s="733" t="s">
        <v>232</v>
      </c>
      <c r="L149" s="734" t="s">
        <v>160</v>
      </c>
      <c r="M149" s="735">
        <v>0</v>
      </c>
      <c r="N149" s="736">
        <v>0</v>
      </c>
      <c r="O149" s="737">
        <v>0</v>
      </c>
      <c r="P149" s="736">
        <v>0</v>
      </c>
      <c r="Q149" s="736">
        <v>0</v>
      </c>
    </row>
    <row r="150" spans="1:17" s="20" customFormat="1" ht="12.75" x14ac:dyDescent="0.2">
      <c r="A150" s="61"/>
      <c r="B150" s="2236"/>
      <c r="C150" s="2236" t="s">
        <v>114</v>
      </c>
      <c r="D150" s="2236"/>
      <c r="E150" s="2237" t="s">
        <v>233</v>
      </c>
      <c r="F150" s="1547"/>
      <c r="G150" s="1547"/>
      <c r="H150" s="1547"/>
      <c r="I150" s="1547"/>
      <c r="J150" s="1547"/>
      <c r="K150" s="604" t="s">
        <v>234</v>
      </c>
      <c r="L150" s="416" t="s">
        <v>235</v>
      </c>
      <c r="M150" s="735"/>
      <c r="N150" s="736"/>
      <c r="O150" s="737"/>
      <c r="P150" s="736"/>
      <c r="Q150" s="736"/>
    </row>
    <row r="151" spans="1:17" s="20" customFormat="1" ht="12.75" x14ac:dyDescent="0.2">
      <c r="A151" s="61"/>
      <c r="B151" s="1793"/>
      <c r="C151" s="1793"/>
      <c r="D151" s="1793"/>
      <c r="E151" s="2237"/>
      <c r="F151" s="1547"/>
      <c r="G151" s="1547"/>
      <c r="H151" s="1547"/>
      <c r="I151" s="1547"/>
      <c r="J151" s="1547"/>
      <c r="K151" s="698" t="s">
        <v>236</v>
      </c>
      <c r="L151" s="416" t="s">
        <v>115</v>
      </c>
      <c r="M151" s="735"/>
      <c r="N151" s="736"/>
      <c r="O151" s="737"/>
      <c r="P151" s="736"/>
      <c r="Q151" s="736"/>
    </row>
    <row r="152" spans="1:17" s="20" customFormat="1" ht="12.75" x14ac:dyDescent="0.2">
      <c r="A152" s="61"/>
      <c r="B152" s="696"/>
      <c r="C152" s="696" t="s">
        <v>116</v>
      </c>
      <c r="D152" s="696"/>
      <c r="E152" s="698" t="s">
        <v>237</v>
      </c>
      <c r="F152" s="1547"/>
      <c r="G152" s="1547"/>
      <c r="H152" s="1547"/>
      <c r="I152" s="1547"/>
      <c r="J152" s="1547"/>
      <c r="K152" s="698" t="s">
        <v>238</v>
      </c>
      <c r="L152" s="416" t="s">
        <v>115</v>
      </c>
      <c r="M152" s="735"/>
      <c r="N152" s="736"/>
      <c r="O152" s="737"/>
      <c r="P152" s="736"/>
      <c r="Q152" s="736"/>
    </row>
    <row r="153" spans="1:17" s="20" customFormat="1" ht="38.25" x14ac:dyDescent="0.2">
      <c r="A153" s="61"/>
      <c r="B153" s="696" t="s">
        <v>164</v>
      </c>
      <c r="C153" s="696"/>
      <c r="D153" s="696"/>
      <c r="E153" s="698" t="s">
        <v>2733</v>
      </c>
      <c r="F153" s="1547">
        <v>0</v>
      </c>
      <c r="G153" s="1547">
        <v>0</v>
      </c>
      <c r="H153" s="1547">
        <v>0</v>
      </c>
      <c r="I153" s="1547">
        <v>0</v>
      </c>
      <c r="J153" s="1547">
        <v>0</v>
      </c>
      <c r="K153" s="733" t="s">
        <v>239</v>
      </c>
      <c r="L153" s="22" t="s">
        <v>160</v>
      </c>
      <c r="M153" s="735"/>
      <c r="N153" s="736"/>
      <c r="O153" s="737"/>
      <c r="P153" s="736"/>
      <c r="Q153" s="736"/>
    </row>
    <row r="154" spans="1:17" s="20" customFormat="1" ht="12.75" x14ac:dyDescent="0.2">
      <c r="A154" s="61"/>
      <c r="B154" s="2236"/>
      <c r="C154" s="2236" t="s">
        <v>114</v>
      </c>
      <c r="D154" s="2236"/>
      <c r="E154" s="2237" t="s">
        <v>240</v>
      </c>
      <c r="F154" s="2186">
        <v>0</v>
      </c>
      <c r="G154" s="2186"/>
      <c r="H154" s="2186"/>
      <c r="I154" s="2186"/>
      <c r="J154" s="2186"/>
      <c r="K154" s="604" t="s">
        <v>241</v>
      </c>
      <c r="L154" s="416" t="s">
        <v>16</v>
      </c>
      <c r="M154" s="42">
        <v>100</v>
      </c>
      <c r="N154" s="42"/>
      <c r="O154" s="737"/>
      <c r="P154" s="736"/>
      <c r="Q154" s="736"/>
    </row>
    <row r="155" spans="1:17" s="20" customFormat="1" ht="12.75" x14ac:dyDescent="0.2">
      <c r="A155" s="61"/>
      <c r="B155" s="1793"/>
      <c r="C155" s="1793"/>
      <c r="D155" s="1793"/>
      <c r="E155" s="2237"/>
      <c r="F155" s="1789"/>
      <c r="G155" s="1789"/>
      <c r="H155" s="1789"/>
      <c r="I155" s="1789"/>
      <c r="J155" s="1789"/>
      <c r="K155" s="604" t="s">
        <v>242</v>
      </c>
      <c r="L155" s="416" t="s">
        <v>16</v>
      </c>
      <c r="M155" s="42">
        <v>100</v>
      </c>
      <c r="N155" s="42"/>
      <c r="O155" s="737"/>
      <c r="P155" s="736"/>
      <c r="Q155" s="736"/>
    </row>
    <row r="156" spans="1:17" s="20" customFormat="1" ht="12.75" x14ac:dyDescent="0.2">
      <c r="A156" s="61"/>
      <c r="B156" s="696"/>
      <c r="C156" s="696" t="s">
        <v>116</v>
      </c>
      <c r="D156" s="696"/>
      <c r="E156" s="698" t="s">
        <v>243</v>
      </c>
      <c r="F156" s="1547"/>
      <c r="G156" s="1547"/>
      <c r="H156" s="1547"/>
      <c r="I156" s="1547"/>
      <c r="J156" s="1547"/>
      <c r="K156" s="604" t="s">
        <v>244</v>
      </c>
      <c r="L156" s="416" t="s">
        <v>207</v>
      </c>
      <c r="M156" s="42" t="s">
        <v>139</v>
      </c>
      <c r="N156" s="42"/>
      <c r="O156" s="737"/>
      <c r="P156" s="736"/>
      <c r="Q156" s="736"/>
    </row>
    <row r="157" spans="1:17" s="20" customFormat="1" ht="25.5" x14ac:dyDescent="0.2">
      <c r="A157" s="61"/>
      <c r="B157" s="696"/>
      <c r="C157" s="696" t="s">
        <v>119</v>
      </c>
      <c r="D157" s="696"/>
      <c r="E157" s="698" t="s">
        <v>245</v>
      </c>
      <c r="F157" s="1547"/>
      <c r="G157" s="1547"/>
      <c r="H157" s="1547"/>
      <c r="I157" s="1547"/>
      <c r="J157" s="1547"/>
      <c r="K157" s="604" t="s">
        <v>246</v>
      </c>
      <c r="L157" s="416" t="s">
        <v>16</v>
      </c>
      <c r="M157" s="42">
        <v>850</v>
      </c>
      <c r="N157" s="738"/>
      <c r="O157" s="737"/>
      <c r="P157" s="736"/>
      <c r="Q157" s="736"/>
    </row>
    <row r="158" spans="1:17" s="20" customFormat="1" ht="12.75" x14ac:dyDescent="0.2">
      <c r="A158" s="61"/>
      <c r="B158" s="696"/>
      <c r="C158" s="696" t="s">
        <v>124</v>
      </c>
      <c r="D158" s="696"/>
      <c r="E158" s="698" t="s">
        <v>247</v>
      </c>
      <c r="F158" s="1547"/>
      <c r="G158" s="1547"/>
      <c r="H158" s="1547"/>
      <c r="I158" s="1547"/>
      <c r="J158" s="1547"/>
      <c r="K158" s="698" t="s">
        <v>248</v>
      </c>
      <c r="L158" s="416" t="s">
        <v>249</v>
      </c>
      <c r="M158" s="42"/>
      <c r="N158" s="738"/>
      <c r="O158" s="737"/>
      <c r="P158" s="736"/>
      <c r="Q158" s="736"/>
    </row>
    <row r="159" spans="1:17" s="20" customFormat="1" ht="25.5" x14ac:dyDescent="0.2">
      <c r="A159" s="61"/>
      <c r="B159" s="696"/>
      <c r="C159" s="696" t="s">
        <v>128</v>
      </c>
      <c r="D159" s="696"/>
      <c r="E159" s="604" t="s">
        <v>2559</v>
      </c>
      <c r="F159" s="1547"/>
      <c r="G159" s="1547"/>
      <c r="H159" s="1547"/>
      <c r="I159" s="1547"/>
      <c r="J159" s="1547"/>
      <c r="K159" s="604" t="s">
        <v>250</v>
      </c>
      <c r="L159" s="416" t="s">
        <v>160</v>
      </c>
      <c r="M159" s="42">
        <v>1</v>
      </c>
      <c r="N159" s="738"/>
      <c r="O159" s="737"/>
      <c r="P159" s="736"/>
      <c r="Q159" s="736"/>
    </row>
    <row r="160" spans="1:17" s="20" customFormat="1" ht="12.75" x14ac:dyDescent="0.2">
      <c r="A160" s="61"/>
      <c r="B160" s="696"/>
      <c r="C160" s="696" t="s">
        <v>202</v>
      </c>
      <c r="D160" s="696"/>
      <c r="E160" s="698" t="s">
        <v>251</v>
      </c>
      <c r="F160" s="1547"/>
      <c r="G160" s="1547"/>
      <c r="H160" s="1547"/>
      <c r="I160" s="1547"/>
      <c r="J160" s="1547"/>
      <c r="K160" s="698" t="s">
        <v>252</v>
      </c>
      <c r="L160" s="416" t="s">
        <v>16</v>
      </c>
      <c r="M160" s="42">
        <v>50</v>
      </c>
      <c r="N160" s="738"/>
      <c r="O160" s="737"/>
      <c r="P160" s="736"/>
      <c r="Q160" s="736"/>
    </row>
    <row r="161" spans="1:17" s="20" customFormat="1" ht="12.75" x14ac:dyDescent="0.2">
      <c r="A161" s="61"/>
      <c r="B161" s="696"/>
      <c r="C161" s="696" t="s">
        <v>202</v>
      </c>
      <c r="D161" s="696"/>
      <c r="E161" s="698" t="s">
        <v>251</v>
      </c>
      <c r="F161" s="1547"/>
      <c r="G161" s="1547"/>
      <c r="H161" s="1547"/>
      <c r="I161" s="1547"/>
      <c r="J161" s="1547"/>
      <c r="K161" s="698" t="s">
        <v>252</v>
      </c>
      <c r="L161" s="416" t="s">
        <v>16</v>
      </c>
      <c r="M161" s="42">
        <v>50</v>
      </c>
      <c r="N161" s="738"/>
      <c r="O161" s="737"/>
      <c r="P161" s="736"/>
      <c r="Q161" s="736"/>
    </row>
    <row r="162" spans="1:17" s="20" customFormat="1" ht="66.75" customHeight="1" x14ac:dyDescent="0.2">
      <c r="A162" s="61"/>
      <c r="B162" s="696" t="s">
        <v>253</v>
      </c>
      <c r="C162" s="696"/>
      <c r="D162" s="696"/>
      <c r="E162" s="698" t="s">
        <v>2734</v>
      </c>
      <c r="F162" s="1547"/>
      <c r="G162" s="1547">
        <v>0</v>
      </c>
      <c r="H162" s="1547">
        <v>0</v>
      </c>
      <c r="I162" s="1547">
        <v>0</v>
      </c>
      <c r="J162" s="1547">
        <v>0</v>
      </c>
      <c r="K162" s="698" t="s">
        <v>254</v>
      </c>
      <c r="L162" s="22" t="s">
        <v>115</v>
      </c>
      <c r="M162" s="22"/>
      <c r="N162" s="22"/>
      <c r="O162" s="737"/>
      <c r="P162" s="736"/>
      <c r="Q162" s="736"/>
    </row>
    <row r="163" spans="1:17" s="20" customFormat="1" ht="12.75" x14ac:dyDescent="0.2">
      <c r="A163" s="61"/>
      <c r="B163" s="693"/>
      <c r="C163" s="693" t="s">
        <v>114</v>
      </c>
      <c r="D163" s="693"/>
      <c r="E163" s="739" t="s">
        <v>255</v>
      </c>
      <c r="F163" s="1597"/>
      <c r="G163" s="1597"/>
      <c r="H163" s="1597"/>
      <c r="I163" s="1597"/>
      <c r="J163" s="1597"/>
      <c r="K163" s="604" t="s">
        <v>254</v>
      </c>
      <c r="L163" s="416" t="s">
        <v>30</v>
      </c>
      <c r="M163" s="42">
        <v>291</v>
      </c>
      <c r="N163" s="42"/>
      <c r="O163" s="737"/>
      <c r="P163" s="736"/>
      <c r="Q163" s="736"/>
    </row>
    <row r="164" spans="1:17" ht="32.25" customHeight="1" x14ac:dyDescent="0.2">
      <c r="A164" s="2216" t="s">
        <v>68</v>
      </c>
      <c r="B164" s="2216"/>
      <c r="C164" s="2216"/>
      <c r="D164" s="2216"/>
      <c r="E164" s="2252"/>
      <c r="F164" s="1580">
        <v>21082.3</v>
      </c>
      <c r="G164" s="1580">
        <v>22353.8</v>
      </c>
      <c r="H164" s="1580">
        <v>22353.8</v>
      </c>
      <c r="I164" s="1580">
        <v>26029.800000000003</v>
      </c>
      <c r="J164" s="1580">
        <v>25529.800000000003</v>
      </c>
      <c r="K164" s="116"/>
      <c r="L164" s="117"/>
      <c r="M164" s="615"/>
      <c r="N164" s="615"/>
      <c r="O164" s="117"/>
      <c r="P164" s="117"/>
      <c r="Q164" s="117"/>
    </row>
    <row r="165" spans="1:17" s="15" customFormat="1" ht="24" customHeight="1" x14ac:dyDescent="0.2">
      <c r="A165" s="2239" t="s">
        <v>256</v>
      </c>
      <c r="B165" s="2239"/>
      <c r="C165" s="2239"/>
      <c r="D165" s="2239"/>
      <c r="E165" s="2239"/>
      <c r="F165" s="2240"/>
      <c r="G165" s="2240"/>
      <c r="H165" s="2240"/>
      <c r="I165" s="2240"/>
      <c r="J165" s="2240"/>
      <c r="K165" s="2239"/>
      <c r="L165" s="2239"/>
      <c r="M165" s="2239"/>
      <c r="N165" s="2239"/>
      <c r="O165" s="2239"/>
      <c r="P165" s="2239"/>
      <c r="Q165" s="2239"/>
    </row>
    <row r="166" spans="1:17" s="20" customFormat="1" ht="51" x14ac:dyDescent="0.2">
      <c r="A166" s="61"/>
      <c r="B166" s="83" t="s">
        <v>111</v>
      </c>
      <c r="C166" s="83"/>
      <c r="D166" s="83" t="s">
        <v>112</v>
      </c>
      <c r="E166" s="160" t="s">
        <v>2512</v>
      </c>
      <c r="F166" s="1584">
        <f>SUM(F167:F174)</f>
        <v>145665.20000000001</v>
      </c>
      <c r="G166" s="1584">
        <f t="shared" ref="G166:J166" si="6">SUM(G167:G174)</f>
        <v>108878.7</v>
      </c>
      <c r="H166" s="1591">
        <f>H167+H168</f>
        <v>113838</v>
      </c>
      <c r="I166" s="1584">
        <f t="shared" si="6"/>
        <v>105901.5</v>
      </c>
      <c r="J166" s="1584">
        <f t="shared" si="6"/>
        <v>105901.5</v>
      </c>
      <c r="K166" s="160" t="s">
        <v>2496</v>
      </c>
      <c r="L166" s="86" t="s">
        <v>16</v>
      </c>
      <c r="M166" s="86">
        <v>100</v>
      </c>
      <c r="N166" s="86">
        <v>100</v>
      </c>
      <c r="O166" s="86">
        <v>100</v>
      </c>
      <c r="P166" s="86">
        <v>100</v>
      </c>
      <c r="Q166" s="86">
        <v>100</v>
      </c>
    </row>
    <row r="167" spans="1:17" s="20" customFormat="1" ht="12.75" x14ac:dyDescent="0.2">
      <c r="A167" s="61"/>
      <c r="B167" s="87"/>
      <c r="C167" s="87" t="s">
        <v>114</v>
      </c>
      <c r="D167" s="87" t="s">
        <v>112</v>
      </c>
      <c r="E167" s="729" t="s">
        <v>257</v>
      </c>
      <c r="F167" s="1537">
        <v>47979.4</v>
      </c>
      <c r="G167" s="1537">
        <v>43370.6</v>
      </c>
      <c r="H167" s="1591">
        <v>44197.4</v>
      </c>
      <c r="I167" s="1537">
        <v>53784.3</v>
      </c>
      <c r="J167" s="1537">
        <v>53784.3</v>
      </c>
      <c r="K167" s="2253" t="s">
        <v>2497</v>
      </c>
      <c r="L167" s="88" t="s">
        <v>16</v>
      </c>
      <c r="M167" s="88">
        <v>100</v>
      </c>
      <c r="N167" s="88">
        <v>100</v>
      </c>
      <c r="O167" s="88">
        <v>100</v>
      </c>
      <c r="P167" s="88">
        <v>100</v>
      </c>
      <c r="Q167" s="88">
        <v>100</v>
      </c>
    </row>
    <row r="168" spans="1:17" s="20" customFormat="1" ht="12.75" x14ac:dyDescent="0.2">
      <c r="A168" s="61"/>
      <c r="B168" s="87"/>
      <c r="C168" s="87" t="s">
        <v>116</v>
      </c>
      <c r="D168" s="87" t="s">
        <v>112</v>
      </c>
      <c r="E168" s="729" t="s">
        <v>258</v>
      </c>
      <c r="F168" s="1537">
        <v>97685.8</v>
      </c>
      <c r="G168" s="1537">
        <v>65508.1</v>
      </c>
      <c r="H168" s="1591">
        <v>69640.599999999991</v>
      </c>
      <c r="I168" s="1537">
        <v>52117.2</v>
      </c>
      <c r="J168" s="1537">
        <v>52117.2</v>
      </c>
      <c r="K168" s="2254"/>
      <c r="L168" s="88" t="s">
        <v>16</v>
      </c>
      <c r="M168" s="88">
        <v>100</v>
      </c>
      <c r="N168" s="88">
        <v>100</v>
      </c>
      <c r="O168" s="88">
        <v>100</v>
      </c>
      <c r="P168" s="88">
        <v>100</v>
      </c>
      <c r="Q168" s="88">
        <v>100</v>
      </c>
    </row>
    <row r="169" spans="1:17" s="20" customFormat="1" ht="25.5" x14ac:dyDescent="0.2">
      <c r="A169" s="61"/>
      <c r="B169" s="87"/>
      <c r="C169" s="87" t="s">
        <v>116</v>
      </c>
      <c r="D169" s="87" t="s">
        <v>112</v>
      </c>
      <c r="E169" s="729" t="s">
        <v>259</v>
      </c>
      <c r="F169" s="1537"/>
      <c r="G169" s="1537"/>
      <c r="H169" s="1591"/>
      <c r="I169" s="1537"/>
      <c r="J169" s="1537"/>
      <c r="K169" s="729" t="s">
        <v>2498</v>
      </c>
      <c r="L169" s="88" t="s">
        <v>16</v>
      </c>
      <c r="M169" s="88">
        <v>100</v>
      </c>
      <c r="N169" s="88"/>
      <c r="O169" s="88"/>
      <c r="P169" s="88"/>
      <c r="Q169" s="88"/>
    </row>
    <row r="170" spans="1:17" s="20" customFormat="1" ht="12.75" x14ac:dyDescent="0.2">
      <c r="A170" s="61"/>
      <c r="B170" s="87"/>
      <c r="C170" s="87" t="s">
        <v>119</v>
      </c>
      <c r="D170" s="87" t="s">
        <v>112</v>
      </c>
      <c r="E170" s="729" t="s">
        <v>23</v>
      </c>
      <c r="F170" s="1537"/>
      <c r="G170" s="1537"/>
      <c r="H170" s="1591"/>
      <c r="I170" s="1537"/>
      <c r="J170" s="1537"/>
      <c r="K170" s="740" t="s">
        <v>260</v>
      </c>
      <c r="L170" s="88" t="s">
        <v>16</v>
      </c>
      <c r="M170" s="88">
        <v>0</v>
      </c>
      <c r="N170" s="90"/>
      <c r="O170" s="88"/>
      <c r="P170" s="88"/>
      <c r="Q170" s="88"/>
    </row>
    <row r="171" spans="1:17" s="20" customFormat="1" ht="25.5" x14ac:dyDescent="0.2">
      <c r="A171" s="61"/>
      <c r="B171" s="87"/>
      <c r="C171" s="87" t="s">
        <v>124</v>
      </c>
      <c r="D171" s="87" t="s">
        <v>112</v>
      </c>
      <c r="E171" s="729" t="s">
        <v>25</v>
      </c>
      <c r="F171" s="1537"/>
      <c r="G171" s="1537"/>
      <c r="H171" s="1591"/>
      <c r="I171" s="1537"/>
      <c r="J171" s="1537"/>
      <c r="K171" s="740" t="s">
        <v>261</v>
      </c>
      <c r="L171" s="88" t="s">
        <v>262</v>
      </c>
      <c r="M171" s="88">
        <v>20</v>
      </c>
      <c r="N171" s="88"/>
      <c r="O171" s="88"/>
      <c r="P171" s="88"/>
      <c r="Q171" s="88"/>
    </row>
    <row r="172" spans="1:17" s="20" customFormat="1" ht="12.75" x14ac:dyDescent="0.2">
      <c r="A172" s="61"/>
      <c r="B172" s="87"/>
      <c r="C172" s="87" t="s">
        <v>128</v>
      </c>
      <c r="D172" s="87" t="s">
        <v>112</v>
      </c>
      <c r="E172" s="729" t="s">
        <v>263</v>
      </c>
      <c r="F172" s="1537"/>
      <c r="G172" s="1537"/>
      <c r="H172" s="1591"/>
      <c r="I172" s="1537"/>
      <c r="J172" s="1537"/>
      <c r="K172" s="729" t="s">
        <v>264</v>
      </c>
      <c r="L172" s="88" t="s">
        <v>265</v>
      </c>
      <c r="M172" s="88">
        <v>3</v>
      </c>
      <c r="N172" s="88"/>
      <c r="O172" s="88"/>
      <c r="P172" s="88"/>
      <c r="Q172" s="88"/>
    </row>
    <row r="173" spans="1:17" s="20" customFormat="1" ht="25.5" x14ac:dyDescent="0.2">
      <c r="A173" s="61"/>
      <c r="B173" s="87"/>
      <c r="C173" s="87" t="s">
        <v>202</v>
      </c>
      <c r="D173" s="87" t="s">
        <v>112</v>
      </c>
      <c r="E173" s="100" t="s">
        <v>266</v>
      </c>
      <c r="F173" s="1537"/>
      <c r="G173" s="1537"/>
      <c r="H173" s="1591"/>
      <c r="I173" s="1537"/>
      <c r="J173" s="1537"/>
      <c r="K173" s="606" t="s">
        <v>267</v>
      </c>
      <c r="L173" s="88" t="s">
        <v>16</v>
      </c>
      <c r="M173" s="88" t="s">
        <v>268</v>
      </c>
      <c r="N173" s="88"/>
      <c r="O173" s="88"/>
      <c r="P173" s="88"/>
      <c r="Q173" s="88"/>
    </row>
    <row r="174" spans="1:17" s="20" customFormat="1" ht="38.25" x14ac:dyDescent="0.2">
      <c r="A174" s="61"/>
      <c r="B174" s="87"/>
      <c r="C174" s="87" t="s">
        <v>149</v>
      </c>
      <c r="D174" s="87" t="s">
        <v>112</v>
      </c>
      <c r="E174" s="100" t="s">
        <v>269</v>
      </c>
      <c r="F174" s="1537"/>
      <c r="G174" s="1537"/>
      <c r="H174" s="1591"/>
      <c r="I174" s="1537"/>
      <c r="J174" s="1537"/>
      <c r="K174" s="729" t="s">
        <v>2499</v>
      </c>
      <c r="L174" s="88" t="s">
        <v>16</v>
      </c>
      <c r="M174" s="88">
        <v>30</v>
      </c>
      <c r="N174" s="88"/>
      <c r="O174" s="88"/>
      <c r="P174" s="88"/>
      <c r="Q174" s="88"/>
    </row>
    <row r="175" spans="1:17" s="20" customFormat="1" ht="74.25" customHeight="1" x14ac:dyDescent="0.2">
      <c r="A175" s="61"/>
      <c r="B175" s="92" t="s">
        <v>131</v>
      </c>
      <c r="C175" s="92"/>
      <c r="D175" s="92" t="s">
        <v>112</v>
      </c>
      <c r="E175" s="160" t="s">
        <v>2735</v>
      </c>
      <c r="F175" s="1584">
        <f>SUM(F176:F191)</f>
        <v>997951.9</v>
      </c>
      <c r="G175" s="1584">
        <f>SUM(G176:G191)</f>
        <v>1407287.5</v>
      </c>
      <c r="H175" s="1591">
        <f>SUM(H176:H191)</f>
        <v>962469.9</v>
      </c>
      <c r="I175" s="1584">
        <f t="shared" ref="I175:J175" si="7">SUM(I176:I191)</f>
        <v>2900002.4</v>
      </c>
      <c r="J175" s="1584">
        <f t="shared" si="7"/>
        <v>2659491.0000000005</v>
      </c>
      <c r="K175" s="93" t="s">
        <v>2500</v>
      </c>
      <c r="L175" s="88" t="s">
        <v>270</v>
      </c>
      <c r="M175" s="741">
        <v>3.7</v>
      </c>
      <c r="N175" s="741">
        <v>3.9</v>
      </c>
      <c r="O175" s="741">
        <v>4.0999999999999996</v>
      </c>
      <c r="P175" s="741">
        <v>4.2</v>
      </c>
      <c r="Q175" s="741">
        <v>4.4000000000000004</v>
      </c>
    </row>
    <row r="176" spans="1:17" s="20" customFormat="1" ht="25.5" x14ac:dyDescent="0.2">
      <c r="A176" s="61"/>
      <c r="B176" s="103"/>
      <c r="C176" s="103" t="s">
        <v>114</v>
      </c>
      <c r="D176" s="103" t="s">
        <v>112</v>
      </c>
      <c r="E176" s="604" t="s">
        <v>2560</v>
      </c>
      <c r="F176" s="1537">
        <v>5422.4</v>
      </c>
      <c r="G176" s="1537">
        <v>4170.3999999999996</v>
      </c>
      <c r="H176" s="1598">
        <v>4170.3999999999996</v>
      </c>
      <c r="I176" s="1598">
        <v>5594.8</v>
      </c>
      <c r="J176" s="1598">
        <v>5594.8</v>
      </c>
      <c r="K176" s="604" t="s">
        <v>2501</v>
      </c>
      <c r="L176" s="88" t="s">
        <v>16</v>
      </c>
      <c r="M176" s="88">
        <v>100</v>
      </c>
      <c r="N176" s="88">
        <v>100</v>
      </c>
      <c r="O176" s="88">
        <v>100</v>
      </c>
      <c r="P176" s="88">
        <v>100</v>
      </c>
      <c r="Q176" s="88">
        <v>100</v>
      </c>
    </row>
    <row r="177" spans="1:17" s="20" customFormat="1" ht="12.75" x14ac:dyDescent="0.2">
      <c r="A177" s="61"/>
      <c r="B177" s="103"/>
      <c r="C177" s="103" t="s">
        <v>116</v>
      </c>
      <c r="D177" s="103" t="s">
        <v>112</v>
      </c>
      <c r="E177" s="604" t="s">
        <v>271</v>
      </c>
      <c r="F177" s="1537">
        <v>27000</v>
      </c>
      <c r="G177" s="1537">
        <v>32000</v>
      </c>
      <c r="H177" s="1598"/>
      <c r="I177" s="1598">
        <v>43041</v>
      </c>
      <c r="J177" s="1598">
        <v>0</v>
      </c>
      <c r="K177" s="2244" t="s">
        <v>2502</v>
      </c>
      <c r="L177" s="88" t="s">
        <v>265</v>
      </c>
      <c r="M177" s="436">
        <v>3</v>
      </c>
      <c r="N177" s="436">
        <v>18</v>
      </c>
      <c r="O177" s="436">
        <v>36</v>
      </c>
      <c r="P177" s="436">
        <v>54</v>
      </c>
      <c r="Q177" s="436">
        <v>72</v>
      </c>
    </row>
    <row r="178" spans="1:17" s="20" customFormat="1" ht="12.75" x14ac:dyDescent="0.2">
      <c r="A178" s="61"/>
      <c r="B178" s="103"/>
      <c r="C178" s="103" t="s">
        <v>119</v>
      </c>
      <c r="D178" s="103" t="s">
        <v>112</v>
      </c>
      <c r="E178" s="604" t="s">
        <v>272</v>
      </c>
      <c r="F178" s="1537">
        <v>6000</v>
      </c>
      <c r="G178" s="1599">
        <v>0</v>
      </c>
      <c r="H178" s="1598"/>
      <c r="I178" s="1598">
        <v>0</v>
      </c>
      <c r="J178" s="1598">
        <v>0</v>
      </c>
      <c r="K178" s="2245"/>
      <c r="L178" s="88" t="s">
        <v>265</v>
      </c>
      <c r="M178" s="436">
        <v>0</v>
      </c>
      <c r="N178" s="436">
        <v>20</v>
      </c>
      <c r="O178" s="436">
        <v>60</v>
      </c>
      <c r="P178" s="436">
        <v>100</v>
      </c>
      <c r="Q178" s="436">
        <v>100</v>
      </c>
    </row>
    <row r="179" spans="1:17" s="20" customFormat="1" ht="12.75" x14ac:dyDescent="0.2">
      <c r="A179" s="61"/>
      <c r="B179" s="103"/>
      <c r="C179" s="103" t="s">
        <v>124</v>
      </c>
      <c r="D179" s="103" t="s">
        <v>112</v>
      </c>
      <c r="E179" s="604" t="s">
        <v>273</v>
      </c>
      <c r="F179" s="1537">
        <v>8500</v>
      </c>
      <c r="G179" s="1599">
        <v>23081</v>
      </c>
      <c r="H179" s="1598"/>
      <c r="I179" s="1598">
        <v>8320.5</v>
      </c>
      <c r="J179" s="1598">
        <v>0</v>
      </c>
      <c r="K179" s="2246"/>
      <c r="L179" s="88" t="s">
        <v>265</v>
      </c>
      <c r="M179" s="436">
        <v>0</v>
      </c>
      <c r="N179" s="436">
        <v>1</v>
      </c>
      <c r="O179" s="436">
        <v>18</v>
      </c>
      <c r="P179" s="436">
        <v>36</v>
      </c>
      <c r="Q179" s="436">
        <v>54</v>
      </c>
    </row>
    <row r="180" spans="1:17" s="20" customFormat="1" ht="25.5" x14ac:dyDescent="0.2">
      <c r="A180" s="61"/>
      <c r="B180" s="103"/>
      <c r="C180" s="103" t="s">
        <v>128</v>
      </c>
      <c r="D180" s="103" t="s">
        <v>112</v>
      </c>
      <c r="E180" s="604" t="s">
        <v>274</v>
      </c>
      <c r="F180" s="1537">
        <v>58265.4</v>
      </c>
      <c r="G180" s="1599">
        <v>79404.100000000006</v>
      </c>
      <c r="H180" s="1598">
        <v>26933.3</v>
      </c>
      <c r="I180" s="1598">
        <v>46933.3</v>
      </c>
      <c r="J180" s="1598">
        <v>46933.3</v>
      </c>
      <c r="K180" s="604" t="s">
        <v>275</v>
      </c>
      <c r="L180" s="88" t="s">
        <v>265</v>
      </c>
      <c r="M180" s="88">
        <v>34</v>
      </c>
      <c r="N180" s="88">
        <v>70</v>
      </c>
      <c r="O180" s="88">
        <v>72</v>
      </c>
      <c r="P180" s="88">
        <v>72</v>
      </c>
      <c r="Q180" s="88">
        <v>72</v>
      </c>
    </row>
    <row r="181" spans="1:17" s="20" customFormat="1" ht="38.25" x14ac:dyDescent="0.2">
      <c r="A181" s="61"/>
      <c r="B181" s="103"/>
      <c r="C181" s="103" t="s">
        <v>202</v>
      </c>
      <c r="D181" s="103" t="s">
        <v>112</v>
      </c>
      <c r="E181" s="604" t="s">
        <v>2503</v>
      </c>
      <c r="F181" s="1537">
        <v>6121.7</v>
      </c>
      <c r="G181" s="1599">
        <v>5360.6</v>
      </c>
      <c r="H181" s="1598">
        <v>5360.6</v>
      </c>
      <c r="I181" s="1598">
        <v>9840.5</v>
      </c>
      <c r="J181" s="1598">
        <v>5540.5</v>
      </c>
      <c r="K181" s="604" t="s">
        <v>2504</v>
      </c>
      <c r="L181" s="88" t="s">
        <v>16</v>
      </c>
      <c r="M181" s="743">
        <v>100</v>
      </c>
      <c r="N181" s="743">
        <v>100</v>
      </c>
      <c r="O181" s="743">
        <v>100</v>
      </c>
      <c r="P181" s="743">
        <v>100</v>
      </c>
      <c r="Q181" s="743">
        <v>100</v>
      </c>
    </row>
    <row r="182" spans="1:17" s="20" customFormat="1" ht="25.5" x14ac:dyDescent="0.2">
      <c r="A182" s="61"/>
      <c r="B182" s="103"/>
      <c r="C182" s="103" t="s">
        <v>149</v>
      </c>
      <c r="D182" s="103"/>
      <c r="E182" s="604" t="s">
        <v>276</v>
      </c>
      <c r="F182" s="1537">
        <v>112031.3</v>
      </c>
      <c r="G182" s="1599">
        <v>35000</v>
      </c>
      <c r="H182" s="1598"/>
      <c r="I182" s="1598">
        <v>8000</v>
      </c>
      <c r="J182" s="1598">
        <v>50000</v>
      </c>
      <c r="K182" s="604" t="s">
        <v>277</v>
      </c>
      <c r="L182" s="88" t="s">
        <v>265</v>
      </c>
      <c r="M182" s="743">
        <v>77</v>
      </c>
      <c r="N182" s="743">
        <v>134</v>
      </c>
      <c r="O182" s="743">
        <v>181</v>
      </c>
      <c r="P182" s="743">
        <v>181</v>
      </c>
      <c r="Q182" s="743">
        <v>181</v>
      </c>
    </row>
    <row r="183" spans="1:17" s="20" customFormat="1" ht="63.75" x14ac:dyDescent="0.2">
      <c r="A183" s="61"/>
      <c r="B183" s="103"/>
      <c r="C183" s="103" t="s">
        <v>152</v>
      </c>
      <c r="D183" s="103" t="s">
        <v>112</v>
      </c>
      <c r="E183" s="604" t="s">
        <v>278</v>
      </c>
      <c r="F183" s="1599">
        <v>491817.5</v>
      </c>
      <c r="G183" s="1599">
        <v>587485.1</v>
      </c>
      <c r="H183" s="1598">
        <v>353814.6</v>
      </c>
      <c r="I183" s="1598">
        <v>2076063.8</v>
      </c>
      <c r="J183" s="1598">
        <v>2101718.5</v>
      </c>
      <c r="K183" s="604" t="s">
        <v>2505</v>
      </c>
      <c r="L183" s="88" t="s">
        <v>265</v>
      </c>
      <c r="M183" s="88">
        <v>30</v>
      </c>
      <c r="N183" s="88">
        <v>38</v>
      </c>
      <c r="O183" s="88">
        <v>46</v>
      </c>
      <c r="P183" s="88">
        <v>54</v>
      </c>
      <c r="Q183" s="88">
        <v>62</v>
      </c>
    </row>
    <row r="184" spans="1:17" s="20" customFormat="1" ht="25.5" x14ac:dyDescent="0.2">
      <c r="A184" s="61"/>
      <c r="B184" s="103"/>
      <c r="C184" s="103" t="s">
        <v>279</v>
      </c>
      <c r="D184" s="103" t="s">
        <v>112</v>
      </c>
      <c r="E184" s="604" t="s">
        <v>280</v>
      </c>
      <c r="F184" s="1537">
        <v>4773.2</v>
      </c>
      <c r="G184" s="1599">
        <v>1250</v>
      </c>
      <c r="H184" s="1598">
        <v>650</v>
      </c>
      <c r="I184" s="1598">
        <v>1250</v>
      </c>
      <c r="J184" s="1598">
        <v>2150</v>
      </c>
      <c r="K184" s="604" t="s">
        <v>2506</v>
      </c>
      <c r="L184" s="88" t="s">
        <v>265</v>
      </c>
      <c r="M184" s="87" t="s">
        <v>281</v>
      </c>
      <c r="N184" s="87" t="s">
        <v>282</v>
      </c>
      <c r="O184" s="87" t="s">
        <v>283</v>
      </c>
      <c r="P184" s="87" t="s">
        <v>283</v>
      </c>
      <c r="Q184" s="87" t="s">
        <v>283</v>
      </c>
    </row>
    <row r="185" spans="1:17" s="20" customFormat="1" ht="25.5" x14ac:dyDescent="0.2">
      <c r="A185" s="61"/>
      <c r="B185" s="103"/>
      <c r="C185" s="103" t="s">
        <v>284</v>
      </c>
      <c r="D185" s="103" t="s">
        <v>112</v>
      </c>
      <c r="E185" s="604" t="s">
        <v>285</v>
      </c>
      <c r="F185" s="1537">
        <v>67410.8</v>
      </c>
      <c r="G185" s="1599">
        <v>67410.8</v>
      </c>
      <c r="H185" s="1598">
        <v>53178.2</v>
      </c>
      <c r="I185" s="1598">
        <v>135697.29999999999</v>
      </c>
      <c r="J185" s="1598">
        <v>135497.29999999999</v>
      </c>
      <c r="K185" s="604" t="s">
        <v>2507</v>
      </c>
      <c r="L185" s="88" t="s">
        <v>16</v>
      </c>
      <c r="M185" s="743">
        <v>0</v>
      </c>
      <c r="N185" s="743">
        <v>10</v>
      </c>
      <c r="O185" s="743">
        <v>30</v>
      </c>
      <c r="P185" s="743">
        <v>80</v>
      </c>
      <c r="Q185" s="743">
        <v>100</v>
      </c>
    </row>
    <row r="186" spans="1:17" s="20" customFormat="1" ht="25.5" x14ac:dyDescent="0.2">
      <c r="A186" s="61"/>
      <c r="B186" s="103"/>
      <c r="C186" s="103" t="s">
        <v>286</v>
      </c>
      <c r="D186" s="103" t="s">
        <v>112</v>
      </c>
      <c r="E186" s="604" t="s">
        <v>287</v>
      </c>
      <c r="F186" s="1538">
        <v>73207.7</v>
      </c>
      <c r="G186" s="1586">
        <v>102753.4</v>
      </c>
      <c r="H186" s="1585">
        <v>82279.3</v>
      </c>
      <c r="I186" s="1585">
        <v>344847.2</v>
      </c>
      <c r="J186" s="1585">
        <v>260247.2</v>
      </c>
      <c r="K186" s="604" t="s">
        <v>2508</v>
      </c>
      <c r="L186" s="88" t="s">
        <v>16</v>
      </c>
      <c r="M186" s="743">
        <v>42.4</v>
      </c>
      <c r="N186" s="743">
        <v>43</v>
      </c>
      <c r="O186" s="743">
        <v>44</v>
      </c>
      <c r="P186" s="743">
        <v>45</v>
      </c>
      <c r="Q186" s="743">
        <v>46</v>
      </c>
    </row>
    <row r="187" spans="1:17" s="20" customFormat="1" ht="25.5" x14ac:dyDescent="0.2">
      <c r="A187" s="61"/>
      <c r="B187" s="103"/>
      <c r="C187" s="103" t="s">
        <v>288</v>
      </c>
      <c r="D187" s="103" t="s">
        <v>112</v>
      </c>
      <c r="E187" s="604" t="s">
        <v>289</v>
      </c>
      <c r="F187" s="1537">
        <v>137401.9</v>
      </c>
      <c r="G187" s="1599">
        <v>423449.9</v>
      </c>
      <c r="H187" s="1598">
        <f>417444.5+18639</f>
        <v>436083.5</v>
      </c>
      <c r="I187" s="1598">
        <v>26387.599999999999</v>
      </c>
      <c r="J187" s="1598">
        <v>26387.200000000001</v>
      </c>
      <c r="K187" s="604" t="s">
        <v>290</v>
      </c>
      <c r="L187" s="88" t="s">
        <v>16</v>
      </c>
      <c r="M187" s="88">
        <v>19.100000000000001</v>
      </c>
      <c r="N187" s="88">
        <v>15</v>
      </c>
      <c r="O187" s="88">
        <v>11</v>
      </c>
      <c r="P187" s="88">
        <v>9</v>
      </c>
      <c r="Q187" s="88">
        <v>2</v>
      </c>
    </row>
    <row r="188" spans="1:17" s="20" customFormat="1" ht="25.5" x14ac:dyDescent="0.2">
      <c r="A188" s="61"/>
      <c r="B188" s="103"/>
      <c r="C188" s="103" t="s">
        <v>291</v>
      </c>
      <c r="D188" s="103" t="s">
        <v>112</v>
      </c>
      <c r="E188" s="604" t="s">
        <v>292</v>
      </c>
      <c r="F188" s="1537"/>
      <c r="G188" s="1599"/>
      <c r="H188" s="1598"/>
      <c r="I188" s="1598">
        <v>0</v>
      </c>
      <c r="J188" s="1598">
        <v>0</v>
      </c>
      <c r="K188" s="604" t="s">
        <v>2509</v>
      </c>
      <c r="L188" s="88" t="s">
        <v>16</v>
      </c>
      <c r="M188" s="88">
        <v>60</v>
      </c>
      <c r="N188" s="88">
        <v>96</v>
      </c>
      <c r="O188" s="88">
        <v>100</v>
      </c>
      <c r="P188" s="88">
        <v>100</v>
      </c>
      <c r="Q188" s="88">
        <v>100</v>
      </c>
    </row>
    <row r="189" spans="1:17" s="20" customFormat="1" ht="25.5" x14ac:dyDescent="0.2">
      <c r="A189" s="61"/>
      <c r="B189" s="103"/>
      <c r="C189" s="103" t="s">
        <v>293</v>
      </c>
      <c r="D189" s="103" t="s">
        <v>112</v>
      </c>
      <c r="E189" s="604" t="s">
        <v>294</v>
      </c>
      <c r="F189" s="1537"/>
      <c r="G189" s="1599"/>
      <c r="H189" s="1598">
        <v>0</v>
      </c>
      <c r="I189" s="1598">
        <v>20000</v>
      </c>
      <c r="J189" s="1598">
        <v>3500</v>
      </c>
      <c r="K189" s="604" t="s">
        <v>2510</v>
      </c>
      <c r="L189" s="88" t="s">
        <v>16</v>
      </c>
      <c r="M189" s="88">
        <v>0</v>
      </c>
      <c r="N189" s="88">
        <v>100</v>
      </c>
      <c r="O189" s="88">
        <v>100</v>
      </c>
      <c r="P189" s="88">
        <v>100</v>
      </c>
      <c r="Q189" s="88">
        <v>100</v>
      </c>
    </row>
    <row r="190" spans="1:17" s="20" customFormat="1" ht="25.5" x14ac:dyDescent="0.2">
      <c r="A190" s="61"/>
      <c r="B190" s="103"/>
      <c r="C190" s="103" t="s">
        <v>295</v>
      </c>
      <c r="D190" s="103" t="s">
        <v>112</v>
      </c>
      <c r="E190" s="604" t="s">
        <v>296</v>
      </c>
      <c r="F190" s="1537"/>
      <c r="G190" s="1599">
        <v>30000</v>
      </c>
      <c r="H190" s="1598"/>
      <c r="I190" s="1598">
        <v>34500</v>
      </c>
      <c r="J190" s="1598">
        <v>6000</v>
      </c>
      <c r="K190" s="604" t="s">
        <v>2511</v>
      </c>
      <c r="L190" s="88" t="s">
        <v>16</v>
      </c>
      <c r="M190" s="743">
        <v>0</v>
      </c>
      <c r="N190" s="743">
        <v>10</v>
      </c>
      <c r="O190" s="743">
        <v>30</v>
      </c>
      <c r="P190" s="743">
        <v>80</v>
      </c>
      <c r="Q190" s="743">
        <v>100</v>
      </c>
    </row>
    <row r="191" spans="1:17" s="20" customFormat="1" ht="25.5" x14ac:dyDescent="0.2">
      <c r="A191" s="61"/>
      <c r="B191" s="103"/>
      <c r="C191" s="103" t="s">
        <v>297</v>
      </c>
      <c r="D191" s="103" t="s">
        <v>112</v>
      </c>
      <c r="E191" s="604" t="s">
        <v>298</v>
      </c>
      <c r="F191" s="1537"/>
      <c r="G191" s="1599">
        <v>15922.2</v>
      </c>
      <c r="H191" s="1598"/>
      <c r="I191" s="1585">
        <v>139526.39999999999</v>
      </c>
      <c r="J191" s="1585">
        <v>15922.2</v>
      </c>
      <c r="K191" s="604" t="s">
        <v>299</v>
      </c>
      <c r="L191" s="88" t="s">
        <v>265</v>
      </c>
      <c r="M191" s="106">
        <v>0</v>
      </c>
      <c r="N191" s="106">
        <v>0</v>
      </c>
      <c r="O191" s="106">
        <v>2</v>
      </c>
      <c r="P191" s="106">
        <v>5</v>
      </c>
      <c r="Q191" s="106">
        <v>8</v>
      </c>
    </row>
    <row r="192" spans="1:17" s="20" customFormat="1" ht="63.75" x14ac:dyDescent="0.2">
      <c r="A192" s="61"/>
      <c r="B192" s="744" t="s">
        <v>155</v>
      </c>
      <c r="C192" s="744"/>
      <c r="D192" s="744"/>
      <c r="E192" s="745" t="s">
        <v>2736</v>
      </c>
      <c r="F192" s="1600">
        <v>0</v>
      </c>
      <c r="G192" s="1601">
        <v>0</v>
      </c>
      <c r="H192" s="1591">
        <v>0</v>
      </c>
      <c r="I192" s="1602">
        <v>0</v>
      </c>
      <c r="J192" s="1602"/>
      <c r="K192" s="746"/>
      <c r="L192" s="86" t="s">
        <v>16</v>
      </c>
      <c r="M192" s="747">
        <v>0</v>
      </c>
      <c r="N192" s="747"/>
      <c r="O192" s="747"/>
      <c r="P192" s="747"/>
      <c r="Q192" s="747"/>
    </row>
    <row r="193" spans="1:17" s="20" customFormat="1" ht="25.5" x14ac:dyDescent="0.2">
      <c r="A193" s="61"/>
      <c r="B193" s="748"/>
      <c r="C193" s="94" t="s">
        <v>114</v>
      </c>
      <c r="D193" s="94"/>
      <c r="E193" s="729" t="s">
        <v>300</v>
      </c>
      <c r="F193" s="1603"/>
      <c r="G193" s="1604"/>
      <c r="H193" s="1594"/>
      <c r="I193" s="1605"/>
      <c r="J193" s="1605"/>
      <c r="K193" s="729" t="s">
        <v>301</v>
      </c>
      <c r="L193" s="95" t="s">
        <v>16</v>
      </c>
      <c r="M193" s="106"/>
      <c r="N193" s="106"/>
      <c r="O193" s="106"/>
      <c r="P193" s="106"/>
      <c r="Q193" s="106"/>
    </row>
    <row r="194" spans="1:17" s="20" customFormat="1" ht="12.75" x14ac:dyDescent="0.2">
      <c r="A194" s="61"/>
      <c r="B194" s="748"/>
      <c r="C194" s="94" t="s">
        <v>116</v>
      </c>
      <c r="D194" s="94"/>
      <c r="E194" s="730" t="s">
        <v>302</v>
      </c>
      <c r="F194" s="1603"/>
      <c r="G194" s="1604"/>
      <c r="H194" s="1594"/>
      <c r="I194" s="1605"/>
      <c r="J194" s="1605"/>
      <c r="K194" s="2247" t="s">
        <v>303</v>
      </c>
      <c r="L194" s="2248" t="s">
        <v>265</v>
      </c>
      <c r="M194" s="106"/>
      <c r="N194" s="106"/>
      <c r="O194" s="106"/>
      <c r="P194" s="106"/>
      <c r="Q194" s="106"/>
    </row>
    <row r="195" spans="1:17" s="20" customFormat="1" ht="12.75" x14ac:dyDescent="0.2">
      <c r="A195" s="61"/>
      <c r="B195" s="748"/>
      <c r="C195" s="94" t="s">
        <v>119</v>
      </c>
      <c r="D195" s="94"/>
      <c r="E195" s="730" t="s">
        <v>304</v>
      </c>
      <c r="F195" s="1603"/>
      <c r="G195" s="1604"/>
      <c r="H195" s="1594"/>
      <c r="I195" s="1605"/>
      <c r="J195" s="1605"/>
      <c r="K195" s="2247"/>
      <c r="L195" s="2249"/>
      <c r="M195" s="106"/>
      <c r="N195" s="106"/>
      <c r="O195" s="106"/>
      <c r="P195" s="106"/>
      <c r="Q195" s="106"/>
    </row>
    <row r="196" spans="1:17" s="20" customFormat="1" ht="12.75" x14ac:dyDescent="0.2">
      <c r="A196" s="61"/>
      <c r="B196" s="748"/>
      <c r="C196" s="94" t="s">
        <v>124</v>
      </c>
      <c r="D196" s="94"/>
      <c r="E196" s="730" t="s">
        <v>305</v>
      </c>
      <c r="F196" s="1603"/>
      <c r="G196" s="1604"/>
      <c r="H196" s="1594"/>
      <c r="I196" s="1605"/>
      <c r="J196" s="1605"/>
      <c r="K196" s="2247"/>
      <c r="L196" s="2250"/>
      <c r="M196" s="106"/>
      <c r="N196" s="106"/>
      <c r="O196" s="106"/>
      <c r="P196" s="106"/>
      <c r="Q196" s="106"/>
    </row>
    <row r="197" spans="1:17" s="20" customFormat="1" ht="44.25" customHeight="1" x14ac:dyDescent="0.2">
      <c r="A197" s="61"/>
      <c r="B197" s="748"/>
      <c r="C197" s="94" t="s">
        <v>128</v>
      </c>
      <c r="D197" s="94"/>
      <c r="E197" s="730" t="s">
        <v>306</v>
      </c>
      <c r="F197" s="1603"/>
      <c r="G197" s="1604"/>
      <c r="H197" s="1594"/>
      <c r="I197" s="1605"/>
      <c r="J197" s="1605"/>
      <c r="K197" s="118" t="s">
        <v>307</v>
      </c>
      <c r="L197" s="95" t="s">
        <v>265</v>
      </c>
      <c r="M197" s="106"/>
      <c r="N197" s="106"/>
      <c r="O197" s="106"/>
      <c r="P197" s="106"/>
      <c r="Q197" s="106"/>
    </row>
    <row r="198" spans="1:17" s="20" customFormat="1" ht="51" x14ac:dyDescent="0.2">
      <c r="A198" s="61"/>
      <c r="B198" s="744" t="s">
        <v>155</v>
      </c>
      <c r="C198" s="749"/>
      <c r="D198" s="749"/>
      <c r="E198" s="85" t="s">
        <v>2737</v>
      </c>
      <c r="F198" s="1603">
        <v>0</v>
      </c>
      <c r="G198" s="1604">
        <v>0</v>
      </c>
      <c r="H198" s="1591">
        <v>0</v>
      </c>
      <c r="I198" s="1605">
        <v>0</v>
      </c>
      <c r="J198" s="1605">
        <v>0</v>
      </c>
      <c r="K198" s="751" t="s">
        <v>308</v>
      </c>
      <c r="L198" s="521" t="s">
        <v>265</v>
      </c>
      <c r="M198" s="106"/>
      <c r="N198" s="106"/>
      <c r="O198" s="106"/>
      <c r="P198" s="106"/>
      <c r="Q198" s="106"/>
    </row>
    <row r="199" spans="1:17" s="20" customFormat="1" ht="36" customHeight="1" x14ac:dyDescent="0.2">
      <c r="A199" s="61"/>
      <c r="B199" s="748"/>
      <c r="C199" s="94" t="s">
        <v>114</v>
      </c>
      <c r="D199" s="94"/>
      <c r="E199" s="730" t="s">
        <v>309</v>
      </c>
      <c r="F199" s="1603"/>
      <c r="G199" s="1604"/>
      <c r="H199" s="1594"/>
      <c r="I199" s="1605"/>
      <c r="J199" s="1605"/>
      <c r="K199" s="730" t="s">
        <v>310</v>
      </c>
      <c r="L199" s="95" t="s">
        <v>265</v>
      </c>
      <c r="M199" s="106"/>
      <c r="N199" s="106"/>
      <c r="O199" s="106"/>
      <c r="P199" s="106"/>
      <c r="Q199" s="106"/>
    </row>
    <row r="200" spans="1:17" s="20" customFormat="1" ht="39.75" customHeight="1" x14ac:dyDescent="0.2">
      <c r="A200" s="61"/>
      <c r="B200" s="748"/>
      <c r="C200" s="94" t="s">
        <v>116</v>
      </c>
      <c r="D200" s="94"/>
      <c r="E200" s="730" t="s">
        <v>311</v>
      </c>
      <c r="F200" s="1603"/>
      <c r="G200" s="1604"/>
      <c r="H200" s="1594"/>
      <c r="I200" s="1605"/>
      <c r="J200" s="1605"/>
      <c r="K200" s="730" t="s">
        <v>312</v>
      </c>
      <c r="L200" s="95" t="s">
        <v>265</v>
      </c>
      <c r="M200" s="106"/>
      <c r="N200" s="106"/>
      <c r="O200" s="106"/>
      <c r="P200" s="106"/>
      <c r="Q200" s="106"/>
    </row>
    <row r="201" spans="1:17" s="20" customFormat="1" ht="55.5" customHeight="1" x14ac:dyDescent="0.2">
      <c r="A201" s="61"/>
      <c r="B201" s="748"/>
      <c r="C201" s="94" t="s">
        <v>119</v>
      </c>
      <c r="D201" s="94"/>
      <c r="E201" s="730" t="s">
        <v>313</v>
      </c>
      <c r="F201" s="1603"/>
      <c r="G201" s="1604"/>
      <c r="H201" s="1594"/>
      <c r="I201" s="1605"/>
      <c r="J201" s="1605"/>
      <c r="K201" s="730" t="s">
        <v>314</v>
      </c>
      <c r="L201" s="95" t="s">
        <v>16</v>
      </c>
      <c r="M201" s="106"/>
      <c r="N201" s="106"/>
      <c r="O201" s="106"/>
      <c r="P201" s="106"/>
      <c r="Q201" s="106"/>
    </row>
    <row r="202" spans="1:17" s="20" customFormat="1" ht="57" customHeight="1" x14ac:dyDescent="0.2">
      <c r="A202" s="61"/>
      <c r="B202" s="744" t="s">
        <v>164</v>
      </c>
      <c r="C202" s="749"/>
      <c r="D202" s="749"/>
      <c r="E202" s="751" t="s">
        <v>2513</v>
      </c>
      <c r="F202" s="1603">
        <v>0</v>
      </c>
      <c r="G202" s="1603">
        <v>0</v>
      </c>
      <c r="H202" s="1591">
        <v>0</v>
      </c>
      <c r="I202" s="1606">
        <v>0</v>
      </c>
      <c r="J202" s="1606">
        <v>0</v>
      </c>
      <c r="K202" s="751" t="s">
        <v>315</v>
      </c>
      <c r="L202" s="95" t="s">
        <v>16</v>
      </c>
      <c r="M202" s="106"/>
      <c r="N202" s="106"/>
      <c r="O202" s="106"/>
      <c r="P202" s="106"/>
      <c r="Q202" s="106"/>
    </row>
    <row r="203" spans="1:17" s="20" customFormat="1" ht="38.25" x14ac:dyDescent="0.2">
      <c r="A203" s="61"/>
      <c r="B203" s="748"/>
      <c r="C203" s="94" t="s">
        <v>114</v>
      </c>
      <c r="D203" s="94"/>
      <c r="E203" s="730" t="s">
        <v>316</v>
      </c>
      <c r="F203" s="1603"/>
      <c r="G203" s="1604"/>
      <c r="H203" s="1594"/>
      <c r="I203" s="1605"/>
      <c r="J203" s="1605"/>
      <c r="K203" s="730" t="s">
        <v>2561</v>
      </c>
      <c r="L203" s="95" t="s">
        <v>16</v>
      </c>
      <c r="M203" s="106"/>
      <c r="N203" s="106"/>
      <c r="O203" s="106"/>
      <c r="P203" s="106"/>
      <c r="Q203" s="106"/>
    </row>
    <row r="204" spans="1:17" s="20" customFormat="1" ht="38.25" x14ac:dyDescent="0.2">
      <c r="A204" s="61"/>
      <c r="B204" s="748"/>
      <c r="C204" s="94" t="s">
        <v>116</v>
      </c>
      <c r="D204" s="94"/>
      <c r="E204" s="730" t="s">
        <v>317</v>
      </c>
      <c r="F204" s="1603"/>
      <c r="G204" s="1604"/>
      <c r="H204" s="1594"/>
      <c r="I204" s="1605"/>
      <c r="J204" s="1605"/>
      <c r="K204" s="730" t="s">
        <v>318</v>
      </c>
      <c r="L204" s="95"/>
      <c r="M204" s="106"/>
      <c r="N204" s="106"/>
      <c r="O204" s="106"/>
      <c r="P204" s="106"/>
      <c r="Q204" s="106"/>
    </row>
    <row r="205" spans="1:17" s="20" customFormat="1" ht="38.25" x14ac:dyDescent="0.2">
      <c r="A205" s="61"/>
      <c r="B205" s="748"/>
      <c r="C205" s="94" t="s">
        <v>119</v>
      </c>
      <c r="D205" s="94"/>
      <c r="E205" s="730" t="s">
        <v>319</v>
      </c>
      <c r="F205" s="1603"/>
      <c r="G205" s="1604"/>
      <c r="H205" s="1594"/>
      <c r="I205" s="1605"/>
      <c r="J205" s="1605"/>
      <c r="K205" s="606" t="s">
        <v>320</v>
      </c>
      <c r="L205" s="95" t="s">
        <v>16</v>
      </c>
      <c r="M205" s="106"/>
      <c r="N205" s="106"/>
      <c r="O205" s="106"/>
      <c r="P205" s="106"/>
      <c r="Q205" s="106"/>
    </row>
    <row r="206" spans="1:17" s="20" customFormat="1" ht="26.25" customHeight="1" x14ac:dyDescent="0.2">
      <c r="A206" s="61"/>
      <c r="B206" s="748"/>
      <c r="C206" s="94" t="s">
        <v>124</v>
      </c>
      <c r="D206" s="94"/>
      <c r="E206" s="118" t="s">
        <v>321</v>
      </c>
      <c r="F206" s="1603"/>
      <c r="G206" s="1604"/>
      <c r="H206" s="1594"/>
      <c r="I206" s="1605"/>
      <c r="J206" s="1605"/>
      <c r="K206" s="730" t="s">
        <v>322</v>
      </c>
      <c r="L206" s="95" t="s">
        <v>16</v>
      </c>
      <c r="M206" s="106"/>
      <c r="N206" s="106"/>
      <c r="O206" s="106"/>
      <c r="P206" s="106"/>
      <c r="Q206" s="106"/>
    </row>
    <row r="207" spans="1:17" s="20" customFormat="1" ht="25.5" x14ac:dyDescent="0.2">
      <c r="A207" s="61"/>
      <c r="B207" s="748"/>
      <c r="C207" s="94" t="s">
        <v>128</v>
      </c>
      <c r="D207" s="94"/>
      <c r="E207" s="730" t="s">
        <v>323</v>
      </c>
      <c r="F207" s="1603"/>
      <c r="G207" s="1604"/>
      <c r="H207" s="1594"/>
      <c r="I207" s="1605"/>
      <c r="J207" s="1605"/>
      <c r="K207" s="730" t="s">
        <v>324</v>
      </c>
      <c r="L207" s="95" t="s">
        <v>265</v>
      </c>
      <c r="M207" s="106"/>
      <c r="N207" s="106"/>
      <c r="O207" s="106"/>
      <c r="P207" s="106"/>
      <c r="Q207" s="106"/>
    </row>
    <row r="208" spans="1:17" s="20" customFormat="1" ht="12.75" x14ac:dyDescent="0.2">
      <c r="A208" s="61"/>
      <c r="B208" s="748"/>
      <c r="C208" s="94" t="s">
        <v>202</v>
      </c>
      <c r="D208" s="94"/>
      <c r="E208" s="730" t="s">
        <v>325</v>
      </c>
      <c r="F208" s="1603"/>
      <c r="G208" s="1604"/>
      <c r="H208" s="1594"/>
      <c r="I208" s="1605"/>
      <c r="J208" s="1605"/>
      <c r="K208" s="2251" t="s">
        <v>326</v>
      </c>
      <c r="L208" s="2248" t="s">
        <v>265</v>
      </c>
      <c r="M208" s="106"/>
      <c r="N208" s="106"/>
      <c r="O208" s="106"/>
      <c r="P208" s="106"/>
      <c r="Q208" s="106"/>
    </row>
    <row r="209" spans="1:17" s="20" customFormat="1" ht="25.5" x14ac:dyDescent="0.2">
      <c r="A209" s="61"/>
      <c r="B209" s="748"/>
      <c r="C209" s="94" t="s">
        <v>149</v>
      </c>
      <c r="D209" s="94"/>
      <c r="E209" s="729" t="s">
        <v>327</v>
      </c>
      <c r="F209" s="1603"/>
      <c r="G209" s="1604"/>
      <c r="H209" s="1594"/>
      <c r="I209" s="1605"/>
      <c r="J209" s="1605"/>
      <c r="K209" s="2251"/>
      <c r="L209" s="2250"/>
      <c r="M209" s="106"/>
      <c r="N209" s="106"/>
      <c r="O209" s="106"/>
      <c r="P209" s="106"/>
      <c r="Q209" s="106"/>
    </row>
    <row r="210" spans="1:17" s="20" customFormat="1" ht="55.5" customHeight="1" x14ac:dyDescent="0.2">
      <c r="A210" s="61"/>
      <c r="B210" s="748"/>
      <c r="C210" s="94" t="s">
        <v>152</v>
      </c>
      <c r="D210" s="94"/>
      <c r="E210" s="729" t="s">
        <v>328</v>
      </c>
      <c r="F210" s="1603"/>
      <c r="G210" s="1604"/>
      <c r="H210" s="1594"/>
      <c r="I210" s="1605"/>
      <c r="J210" s="1605"/>
      <c r="K210" s="730" t="s">
        <v>329</v>
      </c>
      <c r="L210" s="95" t="s">
        <v>16</v>
      </c>
      <c r="M210" s="106"/>
      <c r="N210" s="106"/>
      <c r="O210" s="106"/>
      <c r="P210" s="106"/>
      <c r="Q210" s="106"/>
    </row>
    <row r="211" spans="1:17" s="20" customFormat="1" ht="39.75" customHeight="1" x14ac:dyDescent="0.2">
      <c r="A211" s="61"/>
      <c r="B211" s="744" t="s">
        <v>253</v>
      </c>
      <c r="C211" s="749"/>
      <c r="D211" s="749"/>
      <c r="E211" s="85" t="s">
        <v>2740</v>
      </c>
      <c r="F211" s="1603">
        <v>0</v>
      </c>
      <c r="G211" s="1604">
        <v>0</v>
      </c>
      <c r="H211" s="1591">
        <v>0</v>
      </c>
      <c r="I211" s="1605">
        <v>0</v>
      </c>
      <c r="J211" s="1605">
        <v>0</v>
      </c>
      <c r="K211" s="751" t="s">
        <v>330</v>
      </c>
      <c r="L211" s="95">
        <v>0</v>
      </c>
      <c r="M211" s="106"/>
      <c r="N211" s="106"/>
      <c r="O211" s="106"/>
      <c r="P211" s="106"/>
      <c r="Q211" s="106"/>
    </row>
    <row r="212" spans="1:17" s="20" customFormat="1" ht="25.5" x14ac:dyDescent="0.2">
      <c r="A212" s="61"/>
      <c r="B212" s="748"/>
      <c r="C212" s="94" t="s">
        <v>114</v>
      </c>
      <c r="D212" s="94"/>
      <c r="E212" s="697" t="s">
        <v>331</v>
      </c>
      <c r="F212" s="1603"/>
      <c r="G212" s="1604"/>
      <c r="H212" s="1594"/>
      <c r="I212" s="1605"/>
      <c r="J212" s="1605"/>
      <c r="K212" s="730" t="s">
        <v>332</v>
      </c>
      <c r="L212" s="670" t="s">
        <v>16</v>
      </c>
      <c r="M212" s="106"/>
      <c r="N212" s="106"/>
      <c r="O212" s="106"/>
      <c r="P212" s="106"/>
      <c r="Q212" s="106"/>
    </row>
    <row r="213" spans="1:17" s="20" customFormat="1" ht="63.75" x14ac:dyDescent="0.2">
      <c r="A213" s="61"/>
      <c r="B213" s="744" t="s">
        <v>146</v>
      </c>
      <c r="C213" s="744"/>
      <c r="D213" s="744"/>
      <c r="E213" s="750" t="s">
        <v>2739</v>
      </c>
      <c r="F213" s="1600">
        <v>0</v>
      </c>
      <c r="G213" s="1600">
        <v>0</v>
      </c>
      <c r="H213" s="1607">
        <v>369628.5</v>
      </c>
      <c r="I213" s="1608">
        <v>0</v>
      </c>
      <c r="J213" s="1608">
        <v>0</v>
      </c>
      <c r="K213" s="752" t="s">
        <v>333</v>
      </c>
      <c r="L213" s="86" t="s">
        <v>16</v>
      </c>
      <c r="M213" s="747"/>
      <c r="N213" s="747"/>
      <c r="O213" s="753">
        <v>0.4</v>
      </c>
      <c r="P213" s="753">
        <v>0.6</v>
      </c>
      <c r="Q213" s="753">
        <v>1</v>
      </c>
    </row>
    <row r="214" spans="1:17" s="20" customFormat="1" ht="25.5" x14ac:dyDescent="0.2">
      <c r="A214" s="61"/>
      <c r="B214" s="103"/>
      <c r="C214" s="103" t="s">
        <v>114</v>
      </c>
      <c r="D214" s="103" t="s">
        <v>112</v>
      </c>
      <c r="E214" s="729" t="s">
        <v>334</v>
      </c>
      <c r="F214" s="1537"/>
      <c r="G214" s="1537"/>
      <c r="H214" s="1594">
        <v>245525.7</v>
      </c>
      <c r="I214" s="1598"/>
      <c r="J214" s="1598"/>
      <c r="K214" s="740" t="s">
        <v>335</v>
      </c>
      <c r="L214" s="754" t="s">
        <v>16</v>
      </c>
      <c r="M214" s="755"/>
      <c r="N214" s="755"/>
      <c r="O214" s="756"/>
      <c r="P214" s="757"/>
      <c r="Q214" s="757"/>
    </row>
    <row r="215" spans="1:17" s="20" customFormat="1" ht="63.75" x14ac:dyDescent="0.2">
      <c r="A215" s="61"/>
      <c r="B215" s="103"/>
      <c r="C215" s="103" t="s">
        <v>116</v>
      </c>
      <c r="D215" s="103"/>
      <c r="E215" s="729" t="s">
        <v>336</v>
      </c>
      <c r="F215" s="1537"/>
      <c r="G215" s="1537"/>
      <c r="H215" s="1594">
        <v>45781.8</v>
      </c>
      <c r="I215" s="1598"/>
      <c r="J215" s="1598"/>
      <c r="K215" s="758" t="s">
        <v>337</v>
      </c>
      <c r="L215" s="754" t="s">
        <v>16</v>
      </c>
      <c r="M215" s="755"/>
      <c r="N215" s="755"/>
      <c r="O215" s="756"/>
      <c r="P215" s="757"/>
      <c r="Q215" s="757"/>
    </row>
    <row r="216" spans="1:17" s="20" customFormat="1" ht="25.5" x14ac:dyDescent="0.2">
      <c r="A216" s="61"/>
      <c r="B216" s="103"/>
      <c r="C216" s="103" t="s">
        <v>119</v>
      </c>
      <c r="D216" s="103"/>
      <c r="E216" s="604" t="s">
        <v>298</v>
      </c>
      <c r="F216" s="1537"/>
      <c r="G216" s="1537"/>
      <c r="H216" s="1594"/>
      <c r="I216" s="1598"/>
      <c r="J216" s="1598"/>
      <c r="K216" s="759" t="s">
        <v>338</v>
      </c>
      <c r="L216" s="88" t="s">
        <v>265</v>
      </c>
      <c r="M216" s="106">
        <v>0</v>
      </c>
      <c r="N216" s="106">
        <v>0</v>
      </c>
      <c r="O216" s="106"/>
      <c r="P216" s="106"/>
      <c r="Q216" s="106">
        <v>2</v>
      </c>
    </row>
    <row r="217" spans="1:17" s="20" customFormat="1" ht="38.25" x14ac:dyDescent="0.2">
      <c r="A217" s="61"/>
      <c r="B217" s="103"/>
      <c r="C217" s="103" t="s">
        <v>124</v>
      </c>
      <c r="D217" s="103"/>
      <c r="E217" s="760" t="s">
        <v>339</v>
      </c>
      <c r="F217" s="1537"/>
      <c r="G217" s="1537"/>
      <c r="H217" s="1594">
        <v>78321</v>
      </c>
      <c r="I217" s="1598"/>
      <c r="J217" s="1598"/>
      <c r="K217" s="730" t="s">
        <v>340</v>
      </c>
      <c r="L217" s="88" t="s">
        <v>265</v>
      </c>
      <c r="M217" s="743">
        <v>77</v>
      </c>
      <c r="N217" s="743">
        <v>157</v>
      </c>
      <c r="O217" s="743">
        <v>181</v>
      </c>
      <c r="P217" s="743">
        <v>181</v>
      </c>
      <c r="Q217" s="743">
        <v>181</v>
      </c>
    </row>
    <row r="218" spans="1:17" s="20" customFormat="1" ht="25.5" x14ac:dyDescent="0.2">
      <c r="A218" s="61"/>
      <c r="B218" s="92" t="s">
        <v>341</v>
      </c>
      <c r="C218" s="92"/>
      <c r="D218" s="92"/>
      <c r="E218" s="85" t="s">
        <v>2738</v>
      </c>
      <c r="F218" s="1584"/>
      <c r="G218" s="1584"/>
      <c r="H218" s="1594">
        <v>90429.3</v>
      </c>
      <c r="I218" s="1609"/>
      <c r="J218" s="1609"/>
      <c r="K218" s="740" t="s">
        <v>342</v>
      </c>
      <c r="L218" s="88" t="s">
        <v>16</v>
      </c>
      <c r="M218" s="88">
        <v>0</v>
      </c>
      <c r="N218" s="88">
        <v>100</v>
      </c>
      <c r="O218" s="88">
        <v>100</v>
      </c>
      <c r="P218" s="88">
        <v>100</v>
      </c>
      <c r="Q218" s="88">
        <v>100</v>
      </c>
    </row>
    <row r="219" spans="1:17" s="20" customFormat="1" ht="12.75" x14ac:dyDescent="0.2">
      <c r="A219" s="61"/>
      <c r="B219" s="103"/>
      <c r="C219" s="103" t="s">
        <v>114</v>
      </c>
      <c r="D219" s="103"/>
      <c r="E219" s="100" t="s">
        <v>343</v>
      </c>
      <c r="F219" s="1537"/>
      <c r="G219" s="1537"/>
      <c r="H219" s="1594"/>
      <c r="I219" s="1598"/>
      <c r="J219" s="1598"/>
      <c r="K219" s="740" t="s">
        <v>342</v>
      </c>
      <c r="L219" s="88" t="s">
        <v>16</v>
      </c>
      <c r="M219" s="88">
        <v>0</v>
      </c>
      <c r="N219" s="88">
        <v>100</v>
      </c>
      <c r="O219" s="88">
        <v>100</v>
      </c>
      <c r="P219" s="88">
        <v>100</v>
      </c>
      <c r="Q219" s="88">
        <v>100</v>
      </c>
    </row>
    <row r="220" spans="1:17" s="20" customFormat="1" ht="38.25" x14ac:dyDescent="0.2">
      <c r="A220" s="61"/>
      <c r="B220" s="103"/>
      <c r="C220" s="103" t="s">
        <v>116</v>
      </c>
      <c r="D220" s="103"/>
      <c r="E220" s="1150" t="s">
        <v>344</v>
      </c>
      <c r="F220" s="1537"/>
      <c r="G220" s="1537"/>
      <c r="H220" s="1594"/>
      <c r="I220" s="1598"/>
      <c r="J220" s="1598"/>
      <c r="K220" s="740" t="s">
        <v>342</v>
      </c>
      <c r="L220" s="88" t="s">
        <v>16</v>
      </c>
      <c r="M220" s="88">
        <v>0</v>
      </c>
      <c r="N220" s="88">
        <v>100</v>
      </c>
      <c r="O220" s="88">
        <v>100</v>
      </c>
      <c r="P220" s="88">
        <v>100</v>
      </c>
      <c r="Q220" s="88">
        <v>100</v>
      </c>
    </row>
    <row r="221" spans="1:17" s="20" customFormat="1" ht="38.25" x14ac:dyDescent="0.2">
      <c r="A221" s="61"/>
      <c r="B221" s="103"/>
      <c r="C221" s="103" t="s">
        <v>119</v>
      </c>
      <c r="D221" s="103"/>
      <c r="E221" s="1303" t="s">
        <v>345</v>
      </c>
      <c r="F221" s="1537"/>
      <c r="G221" s="1537"/>
      <c r="H221" s="1594">
        <v>12429.3</v>
      </c>
      <c r="I221" s="1598"/>
      <c r="J221" s="1598"/>
      <c r="K221" s="118" t="s">
        <v>346</v>
      </c>
      <c r="L221" s="88" t="s">
        <v>265</v>
      </c>
      <c r="M221" s="88">
        <v>34</v>
      </c>
      <c r="N221" s="88">
        <v>70</v>
      </c>
      <c r="O221" s="88">
        <v>72</v>
      </c>
      <c r="P221" s="88">
        <v>72</v>
      </c>
      <c r="Q221" s="88">
        <v>72</v>
      </c>
    </row>
    <row r="222" spans="1:17" s="20" customFormat="1" ht="38.25" x14ac:dyDescent="0.2">
      <c r="A222" s="61"/>
      <c r="B222" s="103"/>
      <c r="C222" s="103" t="s">
        <v>124</v>
      </c>
      <c r="D222" s="103"/>
      <c r="E222" s="1150" t="s">
        <v>347</v>
      </c>
      <c r="F222" s="1537"/>
      <c r="G222" s="1537"/>
      <c r="H222" s="1594"/>
      <c r="I222" s="1598"/>
      <c r="J222" s="1598"/>
      <c r="K222" s="740" t="s">
        <v>342</v>
      </c>
      <c r="L222" s="88" t="s">
        <v>16</v>
      </c>
      <c r="M222" s="88">
        <v>0</v>
      </c>
      <c r="N222" s="88">
        <v>100</v>
      </c>
      <c r="O222" s="88">
        <v>100</v>
      </c>
      <c r="P222" s="88">
        <v>100</v>
      </c>
      <c r="Q222" s="88">
        <v>100</v>
      </c>
    </row>
    <row r="223" spans="1:17" s="20" customFormat="1" ht="25.5" x14ac:dyDescent="0.2">
      <c r="A223" s="61"/>
      <c r="B223" s="103"/>
      <c r="C223" s="103" t="s">
        <v>128</v>
      </c>
      <c r="D223" s="103"/>
      <c r="E223" s="1150" t="s">
        <v>348</v>
      </c>
      <c r="F223" s="1537"/>
      <c r="G223" s="1537"/>
      <c r="H223" s="1594">
        <v>60000</v>
      </c>
      <c r="I223" s="1598"/>
      <c r="J223" s="1598"/>
      <c r="K223" s="740" t="s">
        <v>342</v>
      </c>
      <c r="L223" s="88" t="s">
        <v>16</v>
      </c>
      <c r="M223" s="88">
        <v>0</v>
      </c>
      <c r="N223" s="88">
        <v>100</v>
      </c>
      <c r="O223" s="88">
        <v>100</v>
      </c>
      <c r="P223" s="88">
        <v>100</v>
      </c>
      <c r="Q223" s="88">
        <v>100</v>
      </c>
    </row>
    <row r="224" spans="1:17" s="20" customFormat="1" ht="51" x14ac:dyDescent="0.2">
      <c r="A224" s="61"/>
      <c r="B224" s="103"/>
      <c r="C224" s="103" t="s">
        <v>202</v>
      </c>
      <c r="D224" s="103"/>
      <c r="E224" s="1150" t="s">
        <v>349</v>
      </c>
      <c r="F224" s="1537"/>
      <c r="G224" s="1537"/>
      <c r="H224" s="1594">
        <v>18000</v>
      </c>
      <c r="I224" s="1598"/>
      <c r="J224" s="1598"/>
      <c r="K224" s="740" t="s">
        <v>342</v>
      </c>
      <c r="L224" s="88" t="s">
        <v>16</v>
      </c>
      <c r="M224" s="88">
        <v>0</v>
      </c>
      <c r="N224" s="88">
        <v>100</v>
      </c>
      <c r="O224" s="88">
        <v>100</v>
      </c>
      <c r="P224" s="88">
        <v>100</v>
      </c>
      <c r="Q224" s="88">
        <v>100</v>
      </c>
    </row>
    <row r="225" spans="1:17" s="20" customFormat="1" ht="51" x14ac:dyDescent="0.2">
      <c r="A225" s="61"/>
      <c r="B225" s="103"/>
      <c r="C225" s="103" t="s">
        <v>149</v>
      </c>
      <c r="D225" s="103"/>
      <c r="E225" s="1150" t="s">
        <v>350</v>
      </c>
      <c r="F225" s="1537"/>
      <c r="G225" s="1537"/>
      <c r="H225" s="1594"/>
      <c r="I225" s="1598"/>
      <c r="J225" s="1598"/>
      <c r="K225" s="740" t="s">
        <v>342</v>
      </c>
      <c r="L225" s="88" t="s">
        <v>16</v>
      </c>
      <c r="M225" s="88">
        <v>0</v>
      </c>
      <c r="N225" s="88">
        <v>100</v>
      </c>
      <c r="O225" s="88">
        <v>100</v>
      </c>
      <c r="P225" s="88">
        <v>100</v>
      </c>
      <c r="Q225" s="88">
        <v>100</v>
      </c>
    </row>
    <row r="226" spans="1:17" s="20" customFormat="1" ht="25.5" x14ac:dyDescent="0.2">
      <c r="A226" s="61"/>
      <c r="B226" s="103"/>
      <c r="C226" s="103" t="s">
        <v>152</v>
      </c>
      <c r="D226" s="103"/>
      <c r="E226" s="1150" t="s">
        <v>351</v>
      </c>
      <c r="F226" s="1537"/>
      <c r="G226" s="1537"/>
      <c r="H226" s="1594"/>
      <c r="I226" s="1598"/>
      <c r="J226" s="1598"/>
      <c r="K226" s="740" t="s">
        <v>342</v>
      </c>
      <c r="L226" s="88" t="s">
        <v>16</v>
      </c>
      <c r="M226" s="88">
        <v>0</v>
      </c>
      <c r="N226" s="88">
        <v>100</v>
      </c>
      <c r="O226" s="88">
        <v>100</v>
      </c>
      <c r="P226" s="88">
        <v>100</v>
      </c>
      <c r="Q226" s="88">
        <v>100</v>
      </c>
    </row>
    <row r="227" spans="1:17" s="20" customFormat="1" ht="38.25" x14ac:dyDescent="0.2">
      <c r="A227" s="61"/>
      <c r="B227" s="103"/>
      <c r="C227" s="103" t="s">
        <v>279</v>
      </c>
      <c r="D227" s="103"/>
      <c r="E227" s="1150" t="s">
        <v>352</v>
      </c>
      <c r="F227" s="1537"/>
      <c r="G227" s="1537"/>
      <c r="H227" s="1594"/>
      <c r="I227" s="1598"/>
      <c r="J227" s="1598"/>
      <c r="K227" s="740" t="s">
        <v>342</v>
      </c>
      <c r="L227" s="88" t="s">
        <v>16</v>
      </c>
      <c r="M227" s="88">
        <v>0</v>
      </c>
      <c r="N227" s="88">
        <v>100</v>
      </c>
      <c r="O227" s="88">
        <v>100</v>
      </c>
      <c r="P227" s="88">
        <v>100</v>
      </c>
      <c r="Q227" s="88">
        <v>100</v>
      </c>
    </row>
    <row r="228" spans="1:17" s="20" customFormat="1" ht="12.75" x14ac:dyDescent="0.2">
      <c r="A228" s="61"/>
      <c r="B228" s="103"/>
      <c r="C228" s="103" t="s">
        <v>284</v>
      </c>
      <c r="D228" s="103"/>
      <c r="E228" s="729" t="s">
        <v>353</v>
      </c>
      <c r="F228" s="1537"/>
      <c r="G228" s="1537"/>
      <c r="H228" s="1594"/>
      <c r="I228" s="1598"/>
      <c r="J228" s="1598"/>
      <c r="K228" s="740" t="s">
        <v>342</v>
      </c>
      <c r="L228" s="88" t="s">
        <v>16</v>
      </c>
      <c r="M228" s="88">
        <v>0</v>
      </c>
      <c r="N228" s="88">
        <v>100</v>
      </c>
      <c r="O228" s="88">
        <v>100</v>
      </c>
      <c r="P228" s="88">
        <v>100</v>
      </c>
      <c r="Q228" s="88">
        <v>100</v>
      </c>
    </row>
    <row r="229" spans="1:17" s="20" customFormat="1" ht="12.75" x14ac:dyDescent="0.2">
      <c r="A229" s="61"/>
      <c r="B229" s="103"/>
      <c r="C229" s="103" t="s">
        <v>286</v>
      </c>
      <c r="D229" s="103"/>
      <c r="E229" s="729" t="s">
        <v>354</v>
      </c>
      <c r="F229" s="1537"/>
      <c r="G229" s="1537"/>
      <c r="H229" s="1594"/>
      <c r="I229" s="1598"/>
      <c r="J229" s="1598"/>
      <c r="K229" s="740" t="s">
        <v>342</v>
      </c>
      <c r="L229" s="88" t="s">
        <v>16</v>
      </c>
      <c r="M229" s="88">
        <v>0</v>
      </c>
      <c r="N229" s="88">
        <v>100</v>
      </c>
      <c r="O229" s="88">
        <v>100</v>
      </c>
      <c r="P229" s="88">
        <v>100</v>
      </c>
      <c r="Q229" s="88">
        <v>100</v>
      </c>
    </row>
    <row r="230" spans="1:17" s="20" customFormat="1" ht="25.5" x14ac:dyDescent="0.2">
      <c r="A230" s="61"/>
      <c r="B230" s="103"/>
      <c r="C230" s="103" t="s">
        <v>288</v>
      </c>
      <c r="D230" s="103"/>
      <c r="E230" s="760" t="s">
        <v>355</v>
      </c>
      <c r="F230" s="1537"/>
      <c r="G230" s="1537"/>
      <c r="H230" s="1594"/>
      <c r="I230" s="1598"/>
      <c r="J230" s="1598"/>
      <c r="K230" s="740" t="s">
        <v>342</v>
      </c>
      <c r="L230" s="88" t="s">
        <v>16</v>
      </c>
      <c r="M230" s="88">
        <v>0</v>
      </c>
      <c r="N230" s="88">
        <v>100</v>
      </c>
      <c r="O230" s="88">
        <v>100</v>
      </c>
      <c r="P230" s="88">
        <v>100</v>
      </c>
      <c r="Q230" s="88">
        <v>100</v>
      </c>
    </row>
    <row r="231" spans="1:17" s="20" customFormat="1" ht="25.5" x14ac:dyDescent="0.2">
      <c r="A231" s="61"/>
      <c r="B231" s="103"/>
      <c r="C231" s="103" t="s">
        <v>291</v>
      </c>
      <c r="D231" s="103"/>
      <c r="E231" s="761" t="s">
        <v>356</v>
      </c>
      <c r="F231" s="1537"/>
      <c r="G231" s="1537"/>
      <c r="H231" s="1594"/>
      <c r="I231" s="1598"/>
      <c r="J231" s="1598"/>
      <c r="K231" s="740" t="s">
        <v>342</v>
      </c>
      <c r="L231" s="88" t="s">
        <v>16</v>
      </c>
      <c r="M231" s="88">
        <v>0</v>
      </c>
      <c r="N231" s="88">
        <v>100</v>
      </c>
      <c r="O231" s="88">
        <v>100</v>
      </c>
      <c r="P231" s="88">
        <v>100</v>
      </c>
      <c r="Q231" s="88">
        <v>100</v>
      </c>
    </row>
    <row r="232" spans="1:17" s="51" customFormat="1" ht="24.75" customHeight="1" x14ac:dyDescent="0.2">
      <c r="A232" s="2169" t="s">
        <v>68</v>
      </c>
      <c r="B232" s="2170"/>
      <c r="C232" s="2170"/>
      <c r="D232" s="2170"/>
      <c r="E232" s="2238"/>
      <c r="F232" s="1610">
        <v>1143617.1000000001</v>
      </c>
      <c r="G232" s="1610">
        <v>1516166.2</v>
      </c>
      <c r="H232" s="1610">
        <f>H166+H175+H213+H218</f>
        <v>1536365.7</v>
      </c>
      <c r="I232" s="1610">
        <v>3005903.9</v>
      </c>
      <c r="J232" s="1610">
        <v>2765392.5000000005</v>
      </c>
      <c r="K232" s="655"/>
      <c r="L232" s="117"/>
      <c r="M232" s="117"/>
      <c r="N232" s="117"/>
      <c r="O232" s="117"/>
      <c r="P232" s="117"/>
      <c r="Q232" s="117"/>
    </row>
    <row r="233" spans="1:17" s="120" customFormat="1" ht="21" customHeight="1" x14ac:dyDescent="0.2">
      <c r="A233" s="2169" t="s">
        <v>2741</v>
      </c>
      <c r="B233" s="2170"/>
      <c r="C233" s="2170"/>
      <c r="D233" s="2170"/>
      <c r="E233" s="2238"/>
      <c r="F233" s="1611">
        <v>1345094.2000000002</v>
      </c>
      <c r="G233" s="1611">
        <v>1740816.5999999999</v>
      </c>
      <c r="H233" s="1611">
        <v>1762168.3</v>
      </c>
      <c r="I233" s="1611">
        <v>3228996.5</v>
      </c>
      <c r="J233" s="1611">
        <v>2987985.5000000005</v>
      </c>
      <c r="K233" s="119"/>
      <c r="L233" s="82"/>
      <c r="M233" s="82"/>
      <c r="N233" s="82"/>
      <c r="O233" s="82"/>
      <c r="P233" s="82"/>
      <c r="Q233" s="82"/>
    </row>
    <row r="234" spans="1:17" ht="19.5" customHeight="1" thickBot="1" x14ac:dyDescent="0.25">
      <c r="A234" s="2239" t="s">
        <v>2353</v>
      </c>
      <c r="B234" s="2239" t="s">
        <v>357</v>
      </c>
      <c r="C234" s="2239"/>
      <c r="D234" s="2239"/>
      <c r="E234" s="2239"/>
      <c r="F234" s="2240"/>
      <c r="G234" s="2240"/>
      <c r="H234" s="2240"/>
      <c r="I234" s="2240"/>
      <c r="J234" s="2240"/>
      <c r="K234" s="2239"/>
      <c r="L234" s="2239"/>
      <c r="M234" s="2239"/>
      <c r="N234" s="2239"/>
      <c r="O234" s="2239"/>
      <c r="P234" s="2239"/>
      <c r="Q234" s="2239"/>
    </row>
    <row r="235" spans="1:17" ht="53.25" customHeight="1" x14ac:dyDescent="0.2">
      <c r="B235" s="762">
        <v>1</v>
      </c>
      <c r="C235" s="763"/>
      <c r="D235" s="764">
        <v>0</v>
      </c>
      <c r="E235" s="127" t="s">
        <v>2562</v>
      </c>
      <c r="F235" s="1552">
        <v>43606.7</v>
      </c>
      <c r="G235" s="1552">
        <v>41184.899999999994</v>
      </c>
      <c r="H235" s="1552">
        <v>41184.899999999994</v>
      </c>
      <c r="I235" s="1552">
        <v>41973.100000000006</v>
      </c>
      <c r="J235" s="1552">
        <v>42373.5</v>
      </c>
      <c r="K235" s="703" t="s">
        <v>15</v>
      </c>
      <c r="L235" s="765"/>
      <c r="M235" s="765"/>
      <c r="N235" s="765"/>
      <c r="O235" s="765"/>
      <c r="P235" s="765"/>
    </row>
    <row r="236" spans="1:17" ht="12.75" x14ac:dyDescent="0.2">
      <c r="B236" s="766"/>
      <c r="C236" s="767">
        <v>1</v>
      </c>
      <c r="D236" s="763">
        <v>0</v>
      </c>
      <c r="E236" s="600" t="s">
        <v>2563</v>
      </c>
      <c r="F236" s="1547">
        <v>18519.2</v>
      </c>
      <c r="G236" s="1547">
        <v>17851.8</v>
      </c>
      <c r="H236" s="1547">
        <v>17851.8</v>
      </c>
      <c r="I236" s="1547">
        <v>17918.400000000001</v>
      </c>
      <c r="J236" s="1547">
        <v>18089.3</v>
      </c>
      <c r="K236" s="586" t="s">
        <v>2355</v>
      </c>
      <c r="L236" s="769">
        <v>1</v>
      </c>
      <c r="M236" s="769">
        <v>1</v>
      </c>
      <c r="N236" s="769">
        <v>1</v>
      </c>
      <c r="O236" s="769">
        <v>1</v>
      </c>
      <c r="P236" s="769">
        <v>1</v>
      </c>
    </row>
    <row r="237" spans="1:17" ht="12.75" x14ac:dyDescent="0.2">
      <c r="B237" s="766"/>
      <c r="C237" s="770">
        <v>2</v>
      </c>
      <c r="D237" s="763">
        <v>0</v>
      </c>
      <c r="E237" s="600" t="s">
        <v>2564</v>
      </c>
      <c r="F237" s="1547">
        <v>3251.1</v>
      </c>
      <c r="G237" s="1547">
        <v>2861.1</v>
      </c>
      <c r="H237" s="1547">
        <v>2861.1</v>
      </c>
      <c r="I237" s="1547">
        <v>3190.9</v>
      </c>
      <c r="J237" s="1547">
        <v>3221.3</v>
      </c>
      <c r="K237" s="586" t="s">
        <v>2356</v>
      </c>
      <c r="L237" s="769">
        <v>100</v>
      </c>
      <c r="M237" s="769">
        <v>100</v>
      </c>
      <c r="N237" s="769">
        <v>100</v>
      </c>
      <c r="O237" s="769">
        <v>100</v>
      </c>
      <c r="P237" s="769">
        <v>100</v>
      </c>
    </row>
    <row r="238" spans="1:17" ht="25.5" x14ac:dyDescent="0.2">
      <c r="B238" s="2255"/>
      <c r="C238" s="2257">
        <v>3</v>
      </c>
      <c r="D238" s="2259">
        <v>0</v>
      </c>
      <c r="E238" s="2111" t="s">
        <v>23</v>
      </c>
      <c r="F238" s="1551">
        <v>3844.6</v>
      </c>
      <c r="G238" s="1551">
        <v>3612.7</v>
      </c>
      <c r="H238" s="1551">
        <v>3612.7</v>
      </c>
      <c r="I238" s="1551">
        <v>3681.9</v>
      </c>
      <c r="J238" s="1551">
        <v>3717</v>
      </c>
      <c r="K238" s="586" t="s">
        <v>2357</v>
      </c>
      <c r="L238" s="769">
        <v>90</v>
      </c>
      <c r="M238" s="769">
        <v>90</v>
      </c>
      <c r="N238" s="769">
        <v>90</v>
      </c>
      <c r="O238" s="769">
        <v>90</v>
      </c>
      <c r="P238" s="769">
        <v>90</v>
      </c>
    </row>
    <row r="239" spans="1:17" ht="33" customHeight="1" x14ac:dyDescent="0.2">
      <c r="B239" s="2256"/>
      <c r="C239" s="2258"/>
      <c r="D239" s="2260"/>
      <c r="E239" s="2111"/>
      <c r="F239" s="1552"/>
      <c r="G239" s="1552"/>
      <c r="H239" s="1552"/>
      <c r="I239" s="1552"/>
      <c r="J239" s="1552"/>
      <c r="K239" s="586" t="s">
        <v>2358</v>
      </c>
      <c r="L239" s="769">
        <v>50</v>
      </c>
      <c r="M239" s="769">
        <v>50</v>
      </c>
      <c r="N239" s="769">
        <v>50</v>
      </c>
      <c r="O239" s="769">
        <v>50</v>
      </c>
      <c r="P239" s="769">
        <v>50</v>
      </c>
    </row>
    <row r="240" spans="1:17" ht="49.5" customHeight="1" x14ac:dyDescent="0.2">
      <c r="B240" s="2255"/>
      <c r="C240" s="2257">
        <v>4</v>
      </c>
      <c r="D240" s="2259">
        <v>0</v>
      </c>
      <c r="E240" s="2111" t="s">
        <v>25</v>
      </c>
      <c r="F240" s="1551">
        <v>3332.2</v>
      </c>
      <c r="G240" s="1551">
        <v>3131</v>
      </c>
      <c r="H240" s="1551">
        <v>3131</v>
      </c>
      <c r="I240" s="1551">
        <v>3190.9</v>
      </c>
      <c r="J240" s="1551">
        <v>3221.4</v>
      </c>
      <c r="K240" s="586" t="s">
        <v>2566</v>
      </c>
      <c r="L240" s="769">
        <v>8</v>
      </c>
      <c r="M240" s="769">
        <v>8</v>
      </c>
      <c r="N240" s="769">
        <v>8</v>
      </c>
      <c r="O240" s="769">
        <v>8</v>
      </c>
      <c r="P240" s="769">
        <v>8</v>
      </c>
    </row>
    <row r="241" spans="1:17" ht="36" customHeight="1" x14ac:dyDescent="0.2">
      <c r="B241" s="2261"/>
      <c r="C241" s="2447"/>
      <c r="D241" s="2448"/>
      <c r="E241" s="2111"/>
      <c r="F241" s="1581"/>
      <c r="G241" s="1581"/>
      <c r="H241" s="1581"/>
      <c r="I241" s="1581"/>
      <c r="J241" s="1581"/>
      <c r="K241" s="586" t="s">
        <v>2568</v>
      </c>
      <c r="L241" s="769">
        <v>125</v>
      </c>
      <c r="M241" s="769">
        <v>125</v>
      </c>
      <c r="N241" s="769">
        <v>125</v>
      </c>
      <c r="O241" s="769">
        <v>125</v>
      </c>
      <c r="P241" s="769">
        <v>125</v>
      </c>
    </row>
    <row r="242" spans="1:17" ht="36.75" customHeight="1" x14ac:dyDescent="0.2">
      <c r="B242" s="2256"/>
      <c r="C242" s="2258"/>
      <c r="D242" s="2260"/>
      <c r="E242" s="2111"/>
      <c r="F242" s="1552"/>
      <c r="G242" s="1552"/>
      <c r="H242" s="1552"/>
      <c r="I242" s="1552"/>
      <c r="J242" s="1552"/>
      <c r="K242" s="586" t="s">
        <v>2359</v>
      </c>
      <c r="L242" s="769">
        <v>85</v>
      </c>
      <c r="M242" s="769">
        <v>85</v>
      </c>
      <c r="N242" s="769">
        <v>85</v>
      </c>
      <c r="O242" s="769">
        <v>85</v>
      </c>
      <c r="P242" s="769">
        <v>85</v>
      </c>
    </row>
    <row r="243" spans="1:17" ht="12.75" x14ac:dyDescent="0.2">
      <c r="B243" s="766"/>
      <c r="C243" s="771">
        <v>6</v>
      </c>
      <c r="D243" s="763">
        <v>0</v>
      </c>
      <c r="E243" s="40" t="s">
        <v>2354</v>
      </c>
      <c r="F243" s="1547">
        <v>14659.6</v>
      </c>
      <c r="G243" s="1547">
        <v>13728.3</v>
      </c>
      <c r="H243" s="1547">
        <v>13728.3</v>
      </c>
      <c r="I243" s="1547">
        <v>13991</v>
      </c>
      <c r="J243" s="1547">
        <v>14124.5</v>
      </c>
      <c r="K243" s="586" t="s">
        <v>2360</v>
      </c>
      <c r="L243" s="769">
        <v>100</v>
      </c>
      <c r="M243" s="769">
        <v>100</v>
      </c>
      <c r="N243" s="769">
        <v>100</v>
      </c>
      <c r="O243" s="769">
        <v>100</v>
      </c>
      <c r="P243" s="769">
        <v>100</v>
      </c>
    </row>
    <row r="244" spans="1:17" ht="12.75" x14ac:dyDescent="0.2">
      <c r="B244" s="772" t="s">
        <v>131</v>
      </c>
      <c r="C244" s="773"/>
      <c r="D244" s="773"/>
      <c r="E244" s="160" t="s">
        <v>2362</v>
      </c>
      <c r="F244" s="1547">
        <v>211112.9</v>
      </c>
      <c r="G244" s="1547">
        <v>199662.2</v>
      </c>
      <c r="H244" s="1547">
        <v>199662.2</v>
      </c>
      <c r="I244" s="1547">
        <v>203483.9</v>
      </c>
      <c r="J244" s="1547">
        <v>205424.5</v>
      </c>
      <c r="K244" s="40"/>
      <c r="L244" s="563"/>
      <c r="M244" s="774"/>
      <c r="N244" s="774"/>
      <c r="O244" s="774"/>
      <c r="P244" s="774"/>
    </row>
    <row r="245" spans="1:17" ht="12.75" x14ac:dyDescent="0.2">
      <c r="B245" s="2449"/>
      <c r="C245" s="2451" t="s">
        <v>114</v>
      </c>
      <c r="D245" s="2451" t="s">
        <v>112</v>
      </c>
      <c r="E245" s="2041" t="s">
        <v>2565</v>
      </c>
      <c r="F245" s="1551">
        <v>211112.9</v>
      </c>
      <c r="G245" s="1551">
        <v>199662.2</v>
      </c>
      <c r="H245" s="1551">
        <v>199662.2</v>
      </c>
      <c r="I245" s="1551">
        <v>203483.9</v>
      </c>
      <c r="J245" s="1551">
        <v>205424.5</v>
      </c>
      <c r="K245" s="40" t="s">
        <v>2567</v>
      </c>
      <c r="L245" s="768">
        <v>287</v>
      </c>
      <c r="M245" s="768">
        <v>287</v>
      </c>
      <c r="N245" s="768">
        <v>287</v>
      </c>
      <c r="O245" s="768">
        <v>287</v>
      </c>
      <c r="P245" s="768">
        <v>287</v>
      </c>
    </row>
    <row r="246" spans="1:17" ht="63" customHeight="1" thickBot="1" x14ac:dyDescent="0.25">
      <c r="B246" s="2450"/>
      <c r="C246" s="2452"/>
      <c r="D246" s="2452"/>
      <c r="E246" s="2041"/>
      <c r="F246" s="1612"/>
      <c r="G246" s="1612"/>
      <c r="H246" s="1612"/>
      <c r="I246" s="1612"/>
      <c r="J246" s="1612"/>
      <c r="K246" s="40" t="s">
        <v>2361</v>
      </c>
      <c r="L246" s="768">
        <v>100</v>
      </c>
      <c r="M246" s="768">
        <v>100</v>
      </c>
      <c r="N246" s="768">
        <v>100</v>
      </c>
      <c r="O246" s="768">
        <v>100</v>
      </c>
      <c r="P246" s="768">
        <v>100</v>
      </c>
    </row>
    <row r="247" spans="1:17" s="51" customFormat="1" ht="30.75" customHeight="1" x14ac:dyDescent="0.2">
      <c r="A247" s="2169" t="s">
        <v>68</v>
      </c>
      <c r="B247" s="2170"/>
      <c r="C247" s="2170"/>
      <c r="D247" s="2170"/>
      <c r="E247" s="2238"/>
      <c r="F247" s="1610">
        <v>254719.59999999998</v>
      </c>
      <c r="G247" s="1610">
        <v>240847.1</v>
      </c>
      <c r="H247" s="1610">
        <v>240847.1</v>
      </c>
      <c r="I247" s="1610">
        <v>245457</v>
      </c>
      <c r="J247" s="1610">
        <v>247798</v>
      </c>
      <c r="K247" s="655"/>
      <c r="L247" s="117"/>
      <c r="M247" s="117"/>
      <c r="N247" s="117"/>
      <c r="O247" s="117"/>
      <c r="P247" s="117"/>
      <c r="Q247" s="117"/>
    </row>
    <row r="248" spans="1:17" s="15" customFormat="1" ht="22.5" customHeight="1" x14ac:dyDescent="0.2">
      <c r="A248" s="2239" t="s">
        <v>358</v>
      </c>
      <c r="B248" s="2239" t="s">
        <v>359</v>
      </c>
      <c r="C248" s="2239"/>
      <c r="D248" s="2239"/>
      <c r="E248" s="2239"/>
      <c r="F248" s="2240"/>
      <c r="G248" s="2240"/>
      <c r="H248" s="2240"/>
      <c r="I248" s="2240"/>
      <c r="J248" s="2240"/>
      <c r="K248" s="2239"/>
      <c r="L248" s="2239"/>
      <c r="M248" s="2239"/>
      <c r="N248" s="2239"/>
      <c r="O248" s="2239"/>
      <c r="P248" s="2239"/>
      <c r="Q248" s="2239"/>
    </row>
    <row r="249" spans="1:17" s="20" customFormat="1" ht="26.25" customHeight="1" x14ac:dyDescent="0.2">
      <c r="A249" s="125"/>
      <c r="B249" s="2241" t="s">
        <v>111</v>
      </c>
      <c r="C249" s="2242"/>
      <c r="D249" s="2242"/>
      <c r="E249" s="127" t="s">
        <v>360</v>
      </c>
      <c r="F249" s="2243">
        <f>F251</f>
        <v>85782.5</v>
      </c>
      <c r="G249" s="2243">
        <f>G251</f>
        <v>100000</v>
      </c>
      <c r="H249" s="2243">
        <f t="shared" ref="H249" si="8">H251</f>
        <v>100000</v>
      </c>
      <c r="I249" s="2243">
        <f>I251</f>
        <v>100000</v>
      </c>
      <c r="J249" s="1818">
        <f>J251</f>
        <v>100000</v>
      </c>
      <c r="K249" s="2263" t="s">
        <v>15</v>
      </c>
      <c r="L249" s="2242" t="s">
        <v>16</v>
      </c>
      <c r="M249" s="592"/>
      <c r="N249" s="2262">
        <v>100</v>
      </c>
      <c r="O249" s="2242">
        <v>100</v>
      </c>
      <c r="P249" s="2242">
        <v>100</v>
      </c>
      <c r="Q249" s="2242">
        <v>100</v>
      </c>
    </row>
    <row r="250" spans="1:17" s="51" customFormat="1" ht="28.5" customHeight="1" x14ac:dyDescent="0.2">
      <c r="A250" s="49"/>
      <c r="B250" s="2241"/>
      <c r="C250" s="2242"/>
      <c r="D250" s="2242"/>
      <c r="E250" s="40" t="s">
        <v>361</v>
      </c>
      <c r="F250" s="1870"/>
      <c r="G250" s="1870"/>
      <c r="H250" s="1870"/>
      <c r="I250" s="1870"/>
      <c r="J250" s="1818"/>
      <c r="K250" s="2263"/>
      <c r="L250" s="2242"/>
      <c r="M250" s="593"/>
      <c r="N250" s="1931"/>
      <c r="O250" s="2242"/>
      <c r="P250" s="2242"/>
      <c r="Q250" s="2242"/>
    </row>
    <row r="251" spans="1:17" s="51" customFormat="1" ht="36.75" customHeight="1" x14ac:dyDescent="0.2">
      <c r="A251" s="49"/>
      <c r="B251" s="596"/>
      <c r="C251" s="596" t="s">
        <v>114</v>
      </c>
      <c r="D251" s="591"/>
      <c r="E251" s="40" t="s">
        <v>362</v>
      </c>
      <c r="F251" s="1568">
        <v>85782.5</v>
      </c>
      <c r="G251" s="1568">
        <v>100000</v>
      </c>
      <c r="H251" s="1568">
        <v>100000</v>
      </c>
      <c r="I251" s="1568">
        <v>100000</v>
      </c>
      <c r="J251" s="1568">
        <v>100000</v>
      </c>
      <c r="K251" s="40" t="s">
        <v>18</v>
      </c>
      <c r="L251" s="591"/>
      <c r="M251" s="591"/>
      <c r="N251" s="591"/>
      <c r="O251" s="591"/>
      <c r="P251" s="591"/>
      <c r="Q251" s="591"/>
    </row>
    <row r="252" spans="1:17" s="51" customFormat="1" ht="42.75" customHeight="1" x14ac:dyDescent="0.2">
      <c r="A252" s="49"/>
      <c r="B252" s="2241" t="s">
        <v>131</v>
      </c>
      <c r="C252" s="2043"/>
      <c r="D252" s="2241"/>
      <c r="E252" s="127" t="s">
        <v>363</v>
      </c>
      <c r="F252" s="2243">
        <f>F254</f>
        <v>25928.9</v>
      </c>
      <c r="G252" s="2243">
        <f>G254</f>
        <v>722981.1</v>
      </c>
      <c r="H252" s="1818">
        <f>H254</f>
        <v>1335671.2</v>
      </c>
      <c r="I252" s="1818">
        <v>595611.4</v>
      </c>
      <c r="J252" s="1818">
        <v>602458.19999999995</v>
      </c>
      <c r="K252" s="40"/>
      <c r="L252" s="2242"/>
      <c r="M252" s="2262"/>
      <c r="N252" s="2242"/>
      <c r="O252" s="2242"/>
      <c r="P252" s="2242"/>
      <c r="Q252" s="2242"/>
    </row>
    <row r="253" spans="1:17" s="51" customFormat="1" ht="31.5" customHeight="1" x14ac:dyDescent="0.2">
      <c r="A253" s="49"/>
      <c r="B253" s="2241"/>
      <c r="C253" s="2043"/>
      <c r="D253" s="2241"/>
      <c r="E253" s="40" t="s">
        <v>2742</v>
      </c>
      <c r="F253" s="1870"/>
      <c r="G253" s="1870"/>
      <c r="H253" s="1818"/>
      <c r="I253" s="1818"/>
      <c r="J253" s="1818"/>
      <c r="K253" s="40"/>
      <c r="L253" s="2242"/>
      <c r="M253" s="1931"/>
      <c r="N253" s="2242"/>
      <c r="O253" s="2242"/>
      <c r="P253" s="2242"/>
      <c r="Q253" s="2242"/>
    </row>
    <row r="254" spans="1:17" s="51" customFormat="1" ht="123" customHeight="1" x14ac:dyDescent="0.2">
      <c r="A254" s="49"/>
      <c r="B254" s="130"/>
      <c r="C254" s="596" t="s">
        <v>114</v>
      </c>
      <c r="D254" s="40"/>
      <c r="E254" s="131" t="s">
        <v>2569</v>
      </c>
      <c r="F254" s="1613">
        <v>25928.9</v>
      </c>
      <c r="G254" s="1613">
        <v>722981.1</v>
      </c>
      <c r="H254" s="1568">
        <v>1335671.2</v>
      </c>
      <c r="I254" s="1568">
        <v>595611</v>
      </c>
      <c r="J254" s="1568">
        <v>602458</v>
      </c>
      <c r="K254" s="586" t="s">
        <v>364</v>
      </c>
      <c r="L254" s="592" t="s">
        <v>16</v>
      </c>
      <c r="M254" s="592"/>
      <c r="N254" s="592">
        <v>100</v>
      </c>
      <c r="O254" s="592">
        <v>100</v>
      </c>
      <c r="P254" s="592">
        <v>100</v>
      </c>
      <c r="Q254" s="592">
        <v>100</v>
      </c>
    </row>
    <row r="255" spans="1:17" s="120" customFormat="1" ht="34.5" customHeight="1" x14ac:dyDescent="0.2">
      <c r="A255" s="2169" t="s">
        <v>68</v>
      </c>
      <c r="B255" s="2170"/>
      <c r="C255" s="2170"/>
      <c r="D255" s="2170"/>
      <c r="E255" s="2238"/>
      <c r="F255" s="1610">
        <v>111711.4</v>
      </c>
      <c r="G255" s="1610">
        <v>822981.1</v>
      </c>
      <c r="H255" s="1610">
        <f>H249+H252</f>
        <v>1435671.2</v>
      </c>
      <c r="I255" s="1610">
        <v>695611.4</v>
      </c>
      <c r="J255" s="1610">
        <v>702458.2</v>
      </c>
      <c r="K255" s="119"/>
      <c r="L255" s="82"/>
      <c r="M255" s="82"/>
      <c r="N255" s="82"/>
      <c r="O255" s="82"/>
      <c r="P255" s="82"/>
      <c r="Q255" s="82"/>
    </row>
    <row r="256" spans="1:17" s="15" customFormat="1" ht="30.75" customHeight="1" thickBot="1" x14ac:dyDescent="0.25">
      <c r="A256" s="2239" t="s">
        <v>365</v>
      </c>
      <c r="B256" s="2239"/>
      <c r="C256" s="2239"/>
      <c r="D256" s="2239"/>
      <c r="E256" s="2239"/>
      <c r="F256" s="2240"/>
      <c r="G256" s="2240"/>
      <c r="H256" s="2240"/>
      <c r="I256" s="2240"/>
      <c r="J256" s="2240"/>
      <c r="K256" s="2239"/>
      <c r="L256" s="2239"/>
      <c r="M256" s="2239"/>
      <c r="N256" s="2239"/>
      <c r="O256" s="2239"/>
      <c r="P256" s="2239"/>
      <c r="Q256" s="2239"/>
    </row>
    <row r="257" spans="1:17" s="20" customFormat="1" ht="55.5" customHeight="1" x14ac:dyDescent="0.2">
      <c r="A257" s="125"/>
      <c r="B257" s="132">
        <v>1</v>
      </c>
      <c r="C257" s="133"/>
      <c r="D257" s="134"/>
      <c r="E257" s="129" t="s">
        <v>366</v>
      </c>
      <c r="F257" s="1554">
        <v>256354.09999999998</v>
      </c>
      <c r="G257" s="1554">
        <v>254189.89999999997</v>
      </c>
      <c r="H257" s="1554">
        <f>H258+H259+H260+H261+H262+H263</f>
        <v>209670.9</v>
      </c>
      <c r="I257" s="1554">
        <v>251141</v>
      </c>
      <c r="J257" s="1554">
        <v>256943.59999999998</v>
      </c>
      <c r="K257" s="703" t="s">
        <v>15</v>
      </c>
      <c r="L257" s="639" t="s">
        <v>16</v>
      </c>
      <c r="M257" s="639">
        <v>26</v>
      </c>
      <c r="N257" s="136">
        <v>26</v>
      </c>
      <c r="O257" s="136">
        <v>26</v>
      </c>
      <c r="P257" s="136">
        <v>26</v>
      </c>
      <c r="Q257" s="136">
        <v>26</v>
      </c>
    </row>
    <row r="258" spans="1:17" s="20" customFormat="1" ht="12.75" x14ac:dyDescent="0.2">
      <c r="A258" s="125"/>
      <c r="B258" s="137"/>
      <c r="C258" s="138">
        <v>1</v>
      </c>
      <c r="D258" s="647">
        <v>0</v>
      </c>
      <c r="E258" s="21" t="s">
        <v>257</v>
      </c>
      <c r="F258" s="1568">
        <v>32332.7</v>
      </c>
      <c r="G258" s="1568">
        <v>23984.5</v>
      </c>
      <c r="H258" s="1568">
        <v>21901.199999999997</v>
      </c>
      <c r="I258" s="1568">
        <v>21901.199999999997</v>
      </c>
      <c r="J258" s="1568">
        <v>21901.199999999997</v>
      </c>
      <c r="K258" s="586" t="s">
        <v>367</v>
      </c>
      <c r="L258" s="591" t="s">
        <v>19</v>
      </c>
      <c r="M258" s="140"/>
      <c r="N258" s="140"/>
      <c r="O258" s="140"/>
      <c r="P258" s="140"/>
      <c r="Q258" s="140"/>
    </row>
    <row r="259" spans="1:17" s="20" customFormat="1" ht="38.25" x14ac:dyDescent="0.2">
      <c r="A259" s="125"/>
      <c r="B259" s="137"/>
      <c r="C259" s="141">
        <v>2</v>
      </c>
      <c r="D259" s="647">
        <v>0</v>
      </c>
      <c r="E259" s="26" t="s">
        <v>368</v>
      </c>
      <c r="F259" s="1568">
        <v>19726.3</v>
      </c>
      <c r="G259" s="1568">
        <v>12618.3</v>
      </c>
      <c r="H259" s="1568">
        <v>14239</v>
      </c>
      <c r="I259" s="1568">
        <v>14239</v>
      </c>
      <c r="J259" s="1568">
        <v>14239</v>
      </c>
      <c r="K259" s="586" t="s">
        <v>369</v>
      </c>
      <c r="L259" s="591" t="s">
        <v>16</v>
      </c>
      <c r="M259" s="591" t="s">
        <v>370</v>
      </c>
      <c r="N259" s="591" t="s">
        <v>371</v>
      </c>
      <c r="O259" s="591" t="s">
        <v>371</v>
      </c>
      <c r="P259" s="591" t="s">
        <v>371</v>
      </c>
      <c r="Q259" s="591" t="s">
        <v>371</v>
      </c>
    </row>
    <row r="260" spans="1:17" s="20" customFormat="1" ht="12.75" x14ac:dyDescent="0.2">
      <c r="B260" s="137"/>
      <c r="C260" s="141">
        <v>3</v>
      </c>
      <c r="D260" s="647">
        <v>0</v>
      </c>
      <c r="E260" s="26" t="s">
        <v>2570</v>
      </c>
      <c r="F260" s="1568">
        <v>8280.4</v>
      </c>
      <c r="G260" s="1568">
        <v>10899.4</v>
      </c>
      <c r="H260" s="1568">
        <v>8616.1</v>
      </c>
      <c r="I260" s="1568">
        <v>8616.1</v>
      </c>
      <c r="J260" s="1568">
        <v>8616.1</v>
      </c>
      <c r="K260" s="142" t="s">
        <v>2571</v>
      </c>
      <c r="L260" s="591" t="s">
        <v>16</v>
      </c>
      <c r="M260" s="591">
        <v>9</v>
      </c>
      <c r="N260" s="591">
        <v>0</v>
      </c>
      <c r="O260" s="591">
        <v>0</v>
      </c>
      <c r="P260" s="591">
        <v>0</v>
      </c>
      <c r="Q260" s="591">
        <v>0</v>
      </c>
    </row>
    <row r="261" spans="1:17" s="51" customFormat="1" ht="30" customHeight="1" x14ac:dyDescent="0.2">
      <c r="B261" s="137"/>
      <c r="C261" s="141">
        <v>5</v>
      </c>
      <c r="D261" s="647">
        <v>0</v>
      </c>
      <c r="E261" s="26" t="s">
        <v>372</v>
      </c>
      <c r="F261" s="1568">
        <v>39022.5</v>
      </c>
      <c r="G261" s="1568">
        <v>9602.6</v>
      </c>
      <c r="H261" s="1568">
        <v>5107.7</v>
      </c>
      <c r="I261" s="1568">
        <v>10967.7</v>
      </c>
      <c r="J261" s="1568">
        <v>16899.900000000001</v>
      </c>
      <c r="K261" s="586" t="s">
        <v>373</v>
      </c>
      <c r="L261" s="591" t="s">
        <v>30</v>
      </c>
      <c r="M261" s="591">
        <v>1482</v>
      </c>
      <c r="N261" s="591">
        <v>741</v>
      </c>
      <c r="O261" s="591">
        <v>741</v>
      </c>
      <c r="P261" s="591">
        <v>741</v>
      </c>
      <c r="Q261" s="591">
        <v>741</v>
      </c>
    </row>
    <row r="262" spans="1:17" s="20" customFormat="1" ht="25.5" x14ac:dyDescent="0.2">
      <c r="B262" s="137"/>
      <c r="C262" s="143">
        <v>6</v>
      </c>
      <c r="D262" s="647">
        <v>0</v>
      </c>
      <c r="E262" s="40" t="s">
        <v>374</v>
      </c>
      <c r="F262" s="1568">
        <v>154278.79999999999</v>
      </c>
      <c r="G262" s="1568">
        <v>194402.8</v>
      </c>
      <c r="H262" s="1568">
        <v>157175.19999999998</v>
      </c>
      <c r="I262" s="1568">
        <v>192785.3</v>
      </c>
      <c r="J262" s="1568">
        <v>192655.69999999998</v>
      </c>
      <c r="K262" s="586" t="s">
        <v>2572</v>
      </c>
      <c r="L262" s="591" t="s">
        <v>16</v>
      </c>
      <c r="M262" s="140">
        <v>16.100000000000001</v>
      </c>
      <c r="N262" s="140">
        <v>16.100000000000001</v>
      </c>
      <c r="O262" s="140">
        <v>16.100000000000001</v>
      </c>
      <c r="P262" s="140">
        <v>16.100000000000001</v>
      </c>
      <c r="Q262" s="140">
        <v>16.100000000000001</v>
      </c>
    </row>
    <row r="263" spans="1:17" s="20" customFormat="1" ht="45" customHeight="1" x14ac:dyDescent="0.2">
      <c r="B263" s="137"/>
      <c r="C263" s="144">
        <v>13</v>
      </c>
      <c r="D263" s="145"/>
      <c r="E263" s="146" t="s">
        <v>375</v>
      </c>
      <c r="F263" s="1568">
        <v>2713.4</v>
      </c>
      <c r="G263" s="1568">
        <v>2682.3</v>
      </c>
      <c r="H263" s="1568">
        <v>2631.7</v>
      </c>
      <c r="I263" s="1568">
        <v>2631.7</v>
      </c>
      <c r="J263" s="1568">
        <v>2631.7</v>
      </c>
      <c r="K263" s="586" t="s">
        <v>376</v>
      </c>
      <c r="L263" s="591" t="s">
        <v>30</v>
      </c>
      <c r="M263" s="591" t="s">
        <v>377</v>
      </c>
      <c r="N263" s="591" t="s">
        <v>378</v>
      </c>
      <c r="O263" s="591" t="s">
        <v>378</v>
      </c>
      <c r="P263" s="591" t="s">
        <v>378</v>
      </c>
      <c r="Q263" s="591" t="s">
        <v>378</v>
      </c>
    </row>
    <row r="264" spans="1:17" s="20" customFormat="1" ht="108" customHeight="1" x14ac:dyDescent="0.2">
      <c r="B264" s="147" t="s">
        <v>131</v>
      </c>
      <c r="C264" s="148"/>
      <c r="D264" s="145"/>
      <c r="E264" s="149" t="s">
        <v>379</v>
      </c>
      <c r="F264" s="1571">
        <v>106189.3</v>
      </c>
      <c r="G264" s="1571">
        <v>230002.5</v>
      </c>
      <c r="H264" s="1568">
        <v>224015.9</v>
      </c>
      <c r="I264" s="1571">
        <v>224015.9</v>
      </c>
      <c r="J264" s="1571">
        <v>224015.9</v>
      </c>
      <c r="K264" s="127" t="s">
        <v>380</v>
      </c>
      <c r="L264" s="591"/>
      <c r="M264" s="140" t="s">
        <v>381</v>
      </c>
      <c r="N264" s="140" t="s">
        <v>381</v>
      </c>
      <c r="O264" s="140" t="s">
        <v>381</v>
      </c>
      <c r="P264" s="140" t="s">
        <v>381</v>
      </c>
      <c r="Q264" s="140" t="s">
        <v>381</v>
      </c>
    </row>
    <row r="265" spans="1:17" s="20" customFormat="1" ht="87" customHeight="1" x14ac:dyDescent="0.2">
      <c r="B265" s="144"/>
      <c r="C265" s="144" t="s">
        <v>114</v>
      </c>
      <c r="D265" s="145">
        <v>0</v>
      </c>
      <c r="E265" s="150" t="s">
        <v>382</v>
      </c>
      <c r="F265" s="1568">
        <v>52138.9</v>
      </c>
      <c r="G265" s="1568">
        <v>221118.9</v>
      </c>
      <c r="H265" s="1568">
        <v>211409.7</v>
      </c>
      <c r="I265" s="1568">
        <v>211409.7</v>
      </c>
      <c r="J265" s="1568">
        <v>211409.7</v>
      </c>
      <c r="K265" s="40" t="s">
        <v>2573</v>
      </c>
      <c r="L265" s="591"/>
      <c r="M265" s="591" t="s">
        <v>383</v>
      </c>
      <c r="N265" s="591" t="s">
        <v>383</v>
      </c>
      <c r="O265" s="591" t="s">
        <v>383</v>
      </c>
      <c r="P265" s="591" t="s">
        <v>383</v>
      </c>
      <c r="Q265" s="591" t="s">
        <v>383</v>
      </c>
    </row>
    <row r="266" spans="1:17" s="20" customFormat="1" ht="84.75" customHeight="1" x14ac:dyDescent="0.2">
      <c r="B266" s="144"/>
      <c r="C266" s="144" t="s">
        <v>116</v>
      </c>
      <c r="D266" s="145">
        <v>0</v>
      </c>
      <c r="E266" s="150" t="s">
        <v>384</v>
      </c>
      <c r="F266" s="1568">
        <v>34830.1</v>
      </c>
      <c r="G266" s="1568">
        <v>5874.1</v>
      </c>
      <c r="H266" s="1568">
        <v>5805</v>
      </c>
      <c r="I266" s="1568">
        <v>5805</v>
      </c>
      <c r="J266" s="1568">
        <v>5805</v>
      </c>
      <c r="K266" s="40" t="s">
        <v>2573</v>
      </c>
      <c r="L266" s="591"/>
      <c r="M266" s="591" t="s">
        <v>385</v>
      </c>
      <c r="N266" s="591" t="s">
        <v>385</v>
      </c>
      <c r="O266" s="591" t="s">
        <v>385</v>
      </c>
      <c r="P266" s="591" t="s">
        <v>385</v>
      </c>
      <c r="Q266" s="591" t="s">
        <v>385</v>
      </c>
    </row>
    <row r="267" spans="1:17" s="20" customFormat="1" ht="59.25" customHeight="1" x14ac:dyDescent="0.2">
      <c r="B267" s="144"/>
      <c r="C267" s="144" t="s">
        <v>119</v>
      </c>
      <c r="D267" s="145">
        <v>0</v>
      </c>
      <c r="E267" s="150" t="s">
        <v>386</v>
      </c>
      <c r="F267" s="1568">
        <v>19220.3</v>
      </c>
      <c r="G267" s="1568">
        <v>3009.5</v>
      </c>
      <c r="H267" s="1568">
        <v>2776.9</v>
      </c>
      <c r="I267" s="1568">
        <v>2776.9</v>
      </c>
      <c r="J267" s="1568">
        <v>2776.9</v>
      </c>
      <c r="K267" s="40" t="s">
        <v>2574</v>
      </c>
      <c r="L267" s="591"/>
      <c r="M267" s="591" t="s">
        <v>387</v>
      </c>
      <c r="N267" s="591" t="s">
        <v>387</v>
      </c>
      <c r="O267" s="591" t="s">
        <v>387</v>
      </c>
      <c r="P267" s="591" t="s">
        <v>387</v>
      </c>
      <c r="Q267" s="591" t="s">
        <v>387</v>
      </c>
    </row>
    <row r="268" spans="1:17" s="20" customFormat="1" ht="64.5" customHeight="1" x14ac:dyDescent="0.2">
      <c r="B268" s="144"/>
      <c r="C268" s="144" t="s">
        <v>124</v>
      </c>
      <c r="D268" s="151">
        <v>0</v>
      </c>
      <c r="E268" s="150" t="s">
        <v>388</v>
      </c>
      <c r="F268" s="1568"/>
      <c r="G268" s="1568"/>
      <c r="H268" s="1568">
        <v>4024.3</v>
      </c>
      <c r="I268" s="1568">
        <v>4024.3</v>
      </c>
      <c r="J268" s="1568">
        <v>4024.3</v>
      </c>
      <c r="K268" s="40" t="s">
        <v>2574</v>
      </c>
      <c r="L268" s="591"/>
      <c r="M268" s="591"/>
      <c r="N268" s="591"/>
      <c r="O268" s="591"/>
      <c r="P268" s="591"/>
      <c r="Q268" s="591"/>
    </row>
    <row r="269" spans="1:17" s="20" customFormat="1" ht="122.25" customHeight="1" x14ac:dyDescent="0.2">
      <c r="B269" s="152" t="s">
        <v>155</v>
      </c>
      <c r="C269" s="153"/>
      <c r="D269" s="154"/>
      <c r="E269" s="149" t="s">
        <v>389</v>
      </c>
      <c r="F269" s="1571">
        <v>147771.29999999999</v>
      </c>
      <c r="G269" s="1571">
        <v>51040</v>
      </c>
      <c r="H269" s="1571">
        <v>49962.1</v>
      </c>
      <c r="I269" s="1571">
        <v>49997.799999999996</v>
      </c>
      <c r="J269" s="1571">
        <v>49997.799999999996</v>
      </c>
      <c r="K269" s="127" t="s">
        <v>390</v>
      </c>
      <c r="L269" s="40"/>
      <c r="M269" s="140" t="s">
        <v>391</v>
      </c>
      <c r="N269" s="140" t="s">
        <v>391</v>
      </c>
      <c r="O269" s="140" t="s">
        <v>391</v>
      </c>
      <c r="P269" s="140" t="s">
        <v>391</v>
      </c>
      <c r="Q269" s="140" t="s">
        <v>391</v>
      </c>
    </row>
    <row r="270" spans="1:17" s="20" customFormat="1" ht="102" x14ac:dyDescent="0.2">
      <c r="B270" s="152"/>
      <c r="C270" s="153" t="s">
        <v>114</v>
      </c>
      <c r="D270" s="676" t="s">
        <v>112</v>
      </c>
      <c r="E270" s="146" t="s">
        <v>392</v>
      </c>
      <c r="F270" s="1568">
        <v>71078</v>
      </c>
      <c r="G270" s="1568">
        <v>43673.9</v>
      </c>
      <c r="H270" s="1568">
        <v>42787.899999999994</v>
      </c>
      <c r="I270" s="1568">
        <v>42823.599999999991</v>
      </c>
      <c r="J270" s="1568">
        <v>42823.599999999991</v>
      </c>
      <c r="K270" s="40" t="s">
        <v>390</v>
      </c>
      <c r="L270" s="40"/>
      <c r="M270" s="597" t="s">
        <v>393</v>
      </c>
      <c r="N270" s="597" t="s">
        <v>393</v>
      </c>
      <c r="O270" s="597" t="s">
        <v>393</v>
      </c>
      <c r="P270" s="597" t="s">
        <v>393</v>
      </c>
      <c r="Q270" s="597" t="s">
        <v>393</v>
      </c>
    </row>
    <row r="271" spans="1:17" s="20" customFormat="1" ht="102" x14ac:dyDescent="0.2">
      <c r="B271" s="152"/>
      <c r="C271" s="153" t="s">
        <v>116</v>
      </c>
      <c r="D271" s="676" t="s">
        <v>112</v>
      </c>
      <c r="E271" s="146" t="s">
        <v>394</v>
      </c>
      <c r="F271" s="1568">
        <v>28963.200000000001</v>
      </c>
      <c r="G271" s="1568">
        <v>4226.7</v>
      </c>
      <c r="H271" s="1568">
        <v>4099.8</v>
      </c>
      <c r="I271" s="1568">
        <v>4099.8</v>
      </c>
      <c r="J271" s="1568">
        <v>4099.8</v>
      </c>
      <c r="K271" s="40" t="s">
        <v>390</v>
      </c>
      <c r="L271" s="40"/>
      <c r="M271" s="597" t="s">
        <v>395</v>
      </c>
      <c r="N271" s="597" t="s">
        <v>395</v>
      </c>
      <c r="O271" s="597" t="s">
        <v>395</v>
      </c>
      <c r="P271" s="597" t="s">
        <v>395</v>
      </c>
      <c r="Q271" s="597" t="s">
        <v>395</v>
      </c>
    </row>
    <row r="272" spans="1:17" s="20" customFormat="1" ht="102" x14ac:dyDescent="0.2">
      <c r="B272" s="156"/>
      <c r="C272" s="157" t="s">
        <v>119</v>
      </c>
      <c r="D272" s="676" t="s">
        <v>112</v>
      </c>
      <c r="E272" s="150" t="s">
        <v>396</v>
      </c>
      <c r="F272" s="1613">
        <v>47730.1</v>
      </c>
      <c r="G272" s="1613">
        <v>3139.4</v>
      </c>
      <c r="H272" s="1548">
        <v>3074.4</v>
      </c>
      <c r="I272" s="1613">
        <v>3074.4</v>
      </c>
      <c r="J272" s="1613">
        <v>3074.4</v>
      </c>
      <c r="K272" s="40" t="s">
        <v>390</v>
      </c>
      <c r="L272" s="40"/>
      <c r="M272" s="597" t="s">
        <v>397</v>
      </c>
      <c r="N272" s="597" t="s">
        <v>397</v>
      </c>
      <c r="O272" s="597" t="s">
        <v>397</v>
      </c>
      <c r="P272" s="597" t="s">
        <v>397</v>
      </c>
      <c r="Q272" s="597" t="s">
        <v>397</v>
      </c>
    </row>
    <row r="273" spans="1:17" s="20" customFormat="1" ht="76.5" x14ac:dyDescent="0.2">
      <c r="B273" s="152" t="s">
        <v>164</v>
      </c>
      <c r="C273" s="153"/>
      <c r="D273" s="676"/>
      <c r="E273" s="159" t="s">
        <v>398</v>
      </c>
      <c r="F273" s="1571">
        <v>90654.6</v>
      </c>
      <c r="G273" s="1614">
        <v>41604.400000000001</v>
      </c>
      <c r="H273" s="1548">
        <v>42923.6</v>
      </c>
      <c r="I273" s="1614">
        <v>42923.6</v>
      </c>
      <c r="J273" s="1614">
        <v>42923.6</v>
      </c>
      <c r="K273" s="160" t="s">
        <v>399</v>
      </c>
      <c r="L273" s="40"/>
      <c r="M273" s="155" t="s">
        <v>400</v>
      </c>
      <c r="N273" s="155" t="s">
        <v>400</v>
      </c>
      <c r="O273" s="155" t="s">
        <v>400</v>
      </c>
      <c r="P273" s="155" t="s">
        <v>400</v>
      </c>
      <c r="Q273" s="155" t="s">
        <v>400</v>
      </c>
    </row>
    <row r="274" spans="1:17" s="20" customFormat="1" ht="63.75" x14ac:dyDescent="0.2">
      <c r="B274" s="161"/>
      <c r="C274" s="153" t="s">
        <v>114</v>
      </c>
      <c r="D274" s="676" t="s">
        <v>112</v>
      </c>
      <c r="E274" s="162" t="s">
        <v>401</v>
      </c>
      <c r="F274" s="1568">
        <v>36624.5</v>
      </c>
      <c r="G274" s="1613">
        <v>38620.5</v>
      </c>
      <c r="H274" s="1548">
        <v>39951.1</v>
      </c>
      <c r="I274" s="1613">
        <v>39951.1</v>
      </c>
      <c r="J274" s="1613">
        <v>39951.1</v>
      </c>
      <c r="K274" s="586" t="s">
        <v>402</v>
      </c>
      <c r="L274" s="40"/>
      <c r="M274" s="597" t="s">
        <v>403</v>
      </c>
      <c r="N274" s="597" t="s">
        <v>403</v>
      </c>
      <c r="O274" s="597" t="s">
        <v>403</v>
      </c>
      <c r="P274" s="597" t="s">
        <v>403</v>
      </c>
      <c r="Q274" s="597" t="s">
        <v>403</v>
      </c>
    </row>
    <row r="275" spans="1:17" s="20" customFormat="1" ht="63.75" x14ac:dyDescent="0.2">
      <c r="B275" s="161"/>
      <c r="C275" s="157" t="s">
        <v>116</v>
      </c>
      <c r="D275" s="676" t="s">
        <v>112</v>
      </c>
      <c r="E275" s="163" t="s">
        <v>404</v>
      </c>
      <c r="F275" s="1568">
        <v>54030.1</v>
      </c>
      <c r="G275" s="1613">
        <v>2983.9</v>
      </c>
      <c r="H275" s="1548">
        <v>2972.5</v>
      </c>
      <c r="I275" s="1613">
        <v>2972.5</v>
      </c>
      <c r="J275" s="1613">
        <v>2972.5</v>
      </c>
      <c r="K275" s="640" t="s">
        <v>405</v>
      </c>
      <c r="L275" s="43"/>
      <c r="M275" s="594" t="s">
        <v>406</v>
      </c>
      <c r="N275" s="594" t="s">
        <v>406</v>
      </c>
      <c r="O275" s="594" t="s">
        <v>406</v>
      </c>
      <c r="P275" s="594" t="s">
        <v>406</v>
      </c>
      <c r="Q275" s="594" t="s">
        <v>406</v>
      </c>
    </row>
    <row r="276" spans="1:17" s="20" customFormat="1" ht="38.25" x14ac:dyDescent="0.2">
      <c r="B276" s="152" t="s">
        <v>253</v>
      </c>
      <c r="C276" s="153"/>
      <c r="D276" s="651"/>
      <c r="E276" s="159" t="s">
        <v>407</v>
      </c>
      <c r="F276" s="1571">
        <v>0</v>
      </c>
      <c r="G276" s="1571">
        <v>38342.400000000001</v>
      </c>
      <c r="H276" s="1571">
        <v>37203.800000000003</v>
      </c>
      <c r="I276" s="1571">
        <v>37168.1</v>
      </c>
      <c r="J276" s="1571">
        <v>37168.1</v>
      </c>
      <c r="K276" s="586" t="s">
        <v>408</v>
      </c>
      <c r="L276" s="40"/>
      <c r="M276" s="155"/>
      <c r="N276" s="155"/>
      <c r="O276" s="155"/>
      <c r="P276" s="155"/>
      <c r="Q276" s="155"/>
    </row>
    <row r="277" spans="1:17" s="20" customFormat="1" ht="89.25" x14ac:dyDescent="0.2">
      <c r="B277" s="164"/>
      <c r="C277" s="153" t="s">
        <v>114</v>
      </c>
      <c r="D277" s="676" t="s">
        <v>112</v>
      </c>
      <c r="E277" s="163" t="s">
        <v>409</v>
      </c>
      <c r="F277" s="1568"/>
      <c r="G277" s="1568">
        <v>38342.400000000001</v>
      </c>
      <c r="H277" s="1568">
        <v>37203.800000000003</v>
      </c>
      <c r="I277" s="1568">
        <v>37168.1</v>
      </c>
      <c r="J277" s="1568">
        <v>37168.1</v>
      </c>
      <c r="K277" s="586" t="s">
        <v>408</v>
      </c>
      <c r="L277" s="40"/>
      <c r="M277" s="597"/>
      <c r="N277" s="597"/>
      <c r="O277" s="597"/>
      <c r="P277" s="597"/>
      <c r="Q277" s="597"/>
    </row>
    <row r="278" spans="1:17" s="20" customFormat="1" ht="12.75" x14ac:dyDescent="0.2">
      <c r="B278" s="164" t="s">
        <v>146</v>
      </c>
      <c r="C278" s="152"/>
      <c r="D278" s="1304"/>
      <c r="E278" s="1305" t="s">
        <v>410</v>
      </c>
      <c r="F278" s="1571"/>
      <c r="G278" s="1571">
        <v>0</v>
      </c>
      <c r="H278" s="1571">
        <v>7410.2000000000007</v>
      </c>
      <c r="I278" s="1571">
        <v>7410.2000000000007</v>
      </c>
      <c r="J278" s="1571">
        <v>7410.2000000000007</v>
      </c>
      <c r="K278" s="586"/>
      <c r="L278" s="40"/>
      <c r="M278" s="597"/>
      <c r="N278" s="597"/>
      <c r="O278" s="597"/>
      <c r="P278" s="597"/>
      <c r="Q278" s="597"/>
    </row>
    <row r="279" spans="1:17" s="20" customFormat="1" ht="38.25" x14ac:dyDescent="0.2">
      <c r="B279" s="164"/>
      <c r="C279" s="153" t="s">
        <v>114</v>
      </c>
      <c r="D279" s="651" t="s">
        <v>112</v>
      </c>
      <c r="E279" s="162" t="s">
        <v>411</v>
      </c>
      <c r="F279" s="1568"/>
      <c r="G279" s="1568"/>
      <c r="H279" s="1568">
        <v>7410.2000000000007</v>
      </c>
      <c r="I279" s="1568">
        <v>7410.2000000000007</v>
      </c>
      <c r="J279" s="1568">
        <v>7410.2000000000007</v>
      </c>
      <c r="K279" s="586" t="s">
        <v>412</v>
      </c>
      <c r="L279" s="40"/>
      <c r="M279" s="597"/>
      <c r="N279" s="597"/>
      <c r="O279" s="597"/>
      <c r="P279" s="597"/>
      <c r="Q279" s="597"/>
    </row>
    <row r="280" spans="1:17" s="120" customFormat="1" ht="34.5" customHeight="1" x14ac:dyDescent="0.2">
      <c r="A280" s="2169" t="s">
        <v>68</v>
      </c>
      <c r="B280" s="2170"/>
      <c r="C280" s="2170"/>
      <c r="D280" s="2170"/>
      <c r="E280" s="2238"/>
      <c r="F280" s="1610">
        <v>600969.29999999993</v>
      </c>
      <c r="G280" s="1610">
        <v>615179.19999999995</v>
      </c>
      <c r="H280" s="1610">
        <f>H257+H264+H269+H273+H276+H278</f>
        <v>571186.5</v>
      </c>
      <c r="I280" s="1610">
        <v>607093</v>
      </c>
      <c r="J280" s="1610">
        <v>613025.19999999995</v>
      </c>
      <c r="K280" s="119"/>
      <c r="L280" s="82"/>
      <c r="M280" s="82"/>
      <c r="N280" s="82"/>
      <c r="O280" s="82"/>
      <c r="P280" s="82"/>
      <c r="Q280" s="82"/>
    </row>
    <row r="281" spans="1:17" ht="29.25" customHeight="1" thickBot="1" x14ac:dyDescent="0.25">
      <c r="A281" s="1912" t="s">
        <v>413</v>
      </c>
      <c r="B281" s="1913"/>
      <c r="C281" s="1913"/>
      <c r="D281" s="1913"/>
      <c r="E281" s="1913"/>
      <c r="F281" s="1913"/>
      <c r="G281" s="1913"/>
      <c r="H281" s="1913"/>
      <c r="I281" s="1913"/>
      <c r="J281" s="1913"/>
      <c r="K281" s="1913"/>
      <c r="L281" s="1913"/>
      <c r="M281" s="1913"/>
      <c r="N281" s="1913"/>
      <c r="O281" s="1913"/>
      <c r="P281" s="1913"/>
      <c r="Q281" s="2224"/>
    </row>
    <row r="282" spans="1:17" s="20" customFormat="1" ht="38.25" x14ac:dyDescent="0.2">
      <c r="A282" s="125"/>
      <c r="B282" s="165">
        <v>1</v>
      </c>
      <c r="C282" s="166"/>
      <c r="D282" s="167">
        <v>0</v>
      </c>
      <c r="E282" s="168" t="s">
        <v>414</v>
      </c>
      <c r="F282" s="1558">
        <v>19139.2</v>
      </c>
      <c r="G282" s="1558">
        <v>16598.099999999999</v>
      </c>
      <c r="H282" s="1615">
        <v>21426.400000000001</v>
      </c>
      <c r="I282" s="1558">
        <v>16657</v>
      </c>
      <c r="J282" s="1558">
        <v>16750</v>
      </c>
      <c r="K282" s="170" t="s">
        <v>415</v>
      </c>
      <c r="L282" s="169" t="s">
        <v>16</v>
      </c>
      <c r="M282" s="172"/>
      <c r="N282" s="172"/>
      <c r="O282" s="172"/>
      <c r="P282" s="172"/>
      <c r="Q282" s="172"/>
    </row>
    <row r="283" spans="1:17" s="20" customFormat="1" ht="12.75" x14ac:dyDescent="0.2">
      <c r="A283" s="125"/>
      <c r="B283" s="613"/>
      <c r="C283" s="614">
        <v>1</v>
      </c>
      <c r="D283" s="166">
        <v>0</v>
      </c>
      <c r="E283" s="173" t="s">
        <v>416</v>
      </c>
      <c r="F283" s="1566">
        <v>8553.6</v>
      </c>
      <c r="G283" s="1559">
        <v>9469.6</v>
      </c>
      <c r="H283" s="1616">
        <v>11684.2</v>
      </c>
      <c r="I283" s="1559">
        <v>9600</v>
      </c>
      <c r="J283" s="1559">
        <v>9600</v>
      </c>
      <c r="K283" s="601" t="s">
        <v>417</v>
      </c>
      <c r="L283" s="175" t="s">
        <v>16</v>
      </c>
      <c r="M283" s="169">
        <v>100</v>
      </c>
      <c r="N283" s="169">
        <v>100</v>
      </c>
      <c r="O283" s="169">
        <v>100</v>
      </c>
      <c r="P283" s="169">
        <v>100</v>
      </c>
      <c r="Q283" s="169">
        <v>100</v>
      </c>
    </row>
    <row r="284" spans="1:17" s="20" customFormat="1" ht="12.75" x14ac:dyDescent="0.2">
      <c r="A284" s="125"/>
      <c r="B284" s="613"/>
      <c r="C284" s="178">
        <v>2</v>
      </c>
      <c r="D284" s="166">
        <v>0</v>
      </c>
      <c r="E284" s="179" t="s">
        <v>418</v>
      </c>
      <c r="F284" s="1566">
        <v>3654.1</v>
      </c>
      <c r="G284" s="1559">
        <v>2482.5</v>
      </c>
      <c r="H284" s="1616">
        <v>3397.1</v>
      </c>
      <c r="I284" s="1559">
        <v>2600</v>
      </c>
      <c r="J284" s="1559">
        <v>2600</v>
      </c>
      <c r="K284" s="601" t="s">
        <v>419</v>
      </c>
      <c r="L284" s="175" t="s">
        <v>16</v>
      </c>
      <c r="M284" s="169">
        <v>100</v>
      </c>
      <c r="N284" s="169">
        <v>100</v>
      </c>
      <c r="O284" s="169">
        <v>100</v>
      </c>
      <c r="P284" s="169">
        <v>100</v>
      </c>
      <c r="Q284" s="169">
        <v>100</v>
      </c>
    </row>
    <row r="285" spans="1:17" s="20" customFormat="1" ht="25.5" x14ac:dyDescent="0.2">
      <c r="A285" s="125"/>
      <c r="B285" s="613"/>
      <c r="C285" s="178">
        <v>3</v>
      </c>
      <c r="D285" s="166">
        <v>0</v>
      </c>
      <c r="E285" s="179" t="s">
        <v>117</v>
      </c>
      <c r="F285" s="1566">
        <v>6398</v>
      </c>
      <c r="G285" s="1559">
        <v>3868.4</v>
      </c>
      <c r="H285" s="1616">
        <v>5427.7</v>
      </c>
      <c r="I285" s="1559">
        <v>3907</v>
      </c>
      <c r="J285" s="1559">
        <v>3980</v>
      </c>
      <c r="K285" s="601" t="s">
        <v>2575</v>
      </c>
      <c r="L285" s="175" t="s">
        <v>420</v>
      </c>
      <c r="M285" s="174" t="s">
        <v>421</v>
      </c>
      <c r="N285" s="174" t="s">
        <v>422</v>
      </c>
      <c r="O285" s="174" t="s">
        <v>423</v>
      </c>
      <c r="P285" s="174" t="s">
        <v>424</v>
      </c>
      <c r="Q285" s="174" t="s">
        <v>425</v>
      </c>
    </row>
    <row r="286" spans="1:17" s="20" customFormat="1" ht="38.25" x14ac:dyDescent="0.2">
      <c r="A286" s="125"/>
      <c r="B286" s="613"/>
      <c r="C286" s="178">
        <v>5</v>
      </c>
      <c r="D286" s="166">
        <v>0</v>
      </c>
      <c r="E286" s="179" t="s">
        <v>426</v>
      </c>
      <c r="F286" s="1566">
        <v>533.5</v>
      </c>
      <c r="G286" s="1559">
        <v>777.6</v>
      </c>
      <c r="H286" s="1616">
        <v>917.4</v>
      </c>
      <c r="I286" s="1559">
        <v>550</v>
      </c>
      <c r="J286" s="1559">
        <v>570</v>
      </c>
      <c r="K286" s="601" t="s">
        <v>427</v>
      </c>
      <c r="L286" s="175" t="s">
        <v>428</v>
      </c>
      <c r="M286" s="174">
        <v>72</v>
      </c>
      <c r="N286" s="174">
        <v>32</v>
      </c>
      <c r="O286" s="174">
        <v>70</v>
      </c>
      <c r="P286" s="174">
        <v>80</v>
      </c>
      <c r="Q286" s="174">
        <v>90</v>
      </c>
    </row>
    <row r="287" spans="1:17" s="20" customFormat="1" ht="25.5" x14ac:dyDescent="0.2">
      <c r="A287" s="125"/>
      <c r="B287" s="613">
        <v>2</v>
      </c>
      <c r="C287" s="180"/>
      <c r="D287" s="166">
        <v>0</v>
      </c>
      <c r="E287" s="181" t="s">
        <v>429</v>
      </c>
      <c r="F287" s="1566">
        <v>8106</v>
      </c>
      <c r="G287" s="1566">
        <v>6511.1</v>
      </c>
      <c r="H287" s="1617">
        <v>8467.7999999999993</v>
      </c>
      <c r="I287" s="1566">
        <v>6657</v>
      </c>
      <c r="J287" s="1566">
        <v>6720</v>
      </c>
      <c r="K287" s="183" t="s">
        <v>430</v>
      </c>
      <c r="L287" s="175"/>
      <c r="M287" s="174"/>
      <c r="N287" s="174"/>
      <c r="O287" s="174"/>
      <c r="P287" s="174"/>
      <c r="Q287" s="174"/>
    </row>
    <row r="288" spans="1:17" s="20" customFormat="1" ht="25.5" x14ac:dyDescent="0.2">
      <c r="A288" s="125"/>
      <c r="B288" s="613"/>
      <c r="C288" s="180">
        <v>1</v>
      </c>
      <c r="D288" s="166">
        <v>0</v>
      </c>
      <c r="E288" s="601" t="s">
        <v>431</v>
      </c>
      <c r="F288" s="1566">
        <v>3111.5</v>
      </c>
      <c r="G288" s="1559">
        <v>2780.5</v>
      </c>
      <c r="H288" s="1616">
        <v>3619.1</v>
      </c>
      <c r="I288" s="1559">
        <v>2807</v>
      </c>
      <c r="J288" s="1559">
        <v>2920</v>
      </c>
      <c r="K288" s="601" t="s">
        <v>432</v>
      </c>
      <c r="L288" s="175" t="s">
        <v>428</v>
      </c>
      <c r="M288" s="174" t="s">
        <v>433</v>
      </c>
      <c r="N288" s="174" t="s">
        <v>434</v>
      </c>
      <c r="O288" s="174" t="s">
        <v>435</v>
      </c>
      <c r="P288" s="174" t="s">
        <v>436</v>
      </c>
      <c r="Q288" s="174" t="s">
        <v>437</v>
      </c>
    </row>
    <row r="289" spans="1:17" s="20" customFormat="1" ht="38.25" x14ac:dyDescent="0.2">
      <c r="A289" s="125"/>
      <c r="B289" s="613"/>
      <c r="C289" s="180">
        <v>2</v>
      </c>
      <c r="D289" s="166">
        <v>0</v>
      </c>
      <c r="E289" s="601" t="s">
        <v>438</v>
      </c>
      <c r="F289" s="1566">
        <v>2489.5</v>
      </c>
      <c r="G289" s="1559">
        <v>2183.1999999999998</v>
      </c>
      <c r="H289" s="1616">
        <v>2742.2999999999997</v>
      </c>
      <c r="I289" s="1559">
        <v>2200</v>
      </c>
      <c r="J289" s="1559">
        <v>2100</v>
      </c>
      <c r="K289" s="184" t="s">
        <v>439</v>
      </c>
      <c r="L289" s="175" t="s">
        <v>440</v>
      </c>
      <c r="M289" s="175">
        <v>170</v>
      </c>
      <c r="N289" s="175">
        <v>55</v>
      </c>
      <c r="O289" s="175">
        <v>160</v>
      </c>
      <c r="P289" s="175">
        <v>170</v>
      </c>
      <c r="Q289" s="175">
        <v>180</v>
      </c>
    </row>
    <row r="290" spans="1:17" s="20" customFormat="1" ht="38.25" x14ac:dyDescent="0.2">
      <c r="A290" s="125"/>
      <c r="B290" s="613"/>
      <c r="C290" s="185" t="s">
        <v>119</v>
      </c>
      <c r="D290" s="166">
        <v>0</v>
      </c>
      <c r="E290" s="1753" t="s">
        <v>441</v>
      </c>
      <c r="F290" s="1566">
        <v>2505</v>
      </c>
      <c r="G290" s="1559">
        <v>1547.4</v>
      </c>
      <c r="H290" s="1616">
        <v>2106.4</v>
      </c>
      <c r="I290" s="1559">
        <v>1650</v>
      </c>
      <c r="J290" s="1559">
        <v>1700</v>
      </c>
      <c r="K290" s="184" t="s">
        <v>2576</v>
      </c>
      <c r="L290" s="175" t="s">
        <v>428</v>
      </c>
      <c r="M290" s="175">
        <v>25</v>
      </c>
      <c r="N290" s="175">
        <v>15</v>
      </c>
      <c r="O290" s="175">
        <v>30</v>
      </c>
      <c r="P290" s="175">
        <v>40</v>
      </c>
      <c r="Q290" s="175">
        <v>50</v>
      </c>
    </row>
    <row r="291" spans="1:17" s="20" customFormat="1" ht="25.5" x14ac:dyDescent="0.2">
      <c r="A291" s="125"/>
      <c r="B291" s="187"/>
      <c r="C291" s="185"/>
      <c r="D291" s="166">
        <v>0</v>
      </c>
      <c r="E291" s="1753"/>
      <c r="F291" s="1618">
        <v>7309.2</v>
      </c>
      <c r="G291" s="1618">
        <v>5613</v>
      </c>
      <c r="H291" s="1616">
        <v>7430</v>
      </c>
      <c r="I291" s="1566">
        <v>5784</v>
      </c>
      <c r="J291" s="1566">
        <v>5800</v>
      </c>
      <c r="K291" s="183" t="s">
        <v>442</v>
      </c>
      <c r="L291" s="175"/>
      <c r="M291" s="175"/>
      <c r="N291" s="186"/>
      <c r="O291" s="186"/>
      <c r="P291" s="186"/>
      <c r="Q291" s="186"/>
    </row>
    <row r="292" spans="1:17" s="20" customFormat="1" ht="25.5" x14ac:dyDescent="0.2">
      <c r="A292" s="125"/>
      <c r="B292" s="187" t="s">
        <v>155</v>
      </c>
      <c r="C292" s="185" t="s">
        <v>114</v>
      </c>
      <c r="D292" s="166">
        <v>0</v>
      </c>
      <c r="E292" s="183" t="s">
        <v>443</v>
      </c>
      <c r="F292" s="1618">
        <v>3927.2</v>
      </c>
      <c r="G292" s="1619">
        <v>3854.5</v>
      </c>
      <c r="H292" s="1617">
        <v>4832.8999999999996</v>
      </c>
      <c r="I292" s="1559">
        <v>3536</v>
      </c>
      <c r="J292" s="1559">
        <v>3700</v>
      </c>
      <c r="K292" s="184" t="s">
        <v>2578</v>
      </c>
      <c r="L292" s="175"/>
      <c r="M292" s="174" t="s">
        <v>444</v>
      </c>
      <c r="N292" s="174" t="s">
        <v>445</v>
      </c>
      <c r="O292" s="174" t="s">
        <v>446</v>
      </c>
      <c r="P292" s="174" t="s">
        <v>447</v>
      </c>
      <c r="Q292" s="174" t="s">
        <v>448</v>
      </c>
    </row>
    <row r="293" spans="1:17" s="20" customFormat="1" ht="38.25" x14ac:dyDescent="0.2">
      <c r="A293" s="125"/>
      <c r="B293" s="187"/>
      <c r="C293" s="185" t="s">
        <v>116</v>
      </c>
      <c r="D293" s="166">
        <v>0</v>
      </c>
      <c r="E293" s="601" t="s">
        <v>449</v>
      </c>
      <c r="F293" s="1618">
        <v>3382</v>
      </c>
      <c r="G293" s="1619">
        <v>1758.5</v>
      </c>
      <c r="H293" s="1616">
        <v>2597.1</v>
      </c>
      <c r="I293" s="1559">
        <v>2248</v>
      </c>
      <c r="J293" s="1559">
        <v>2100</v>
      </c>
      <c r="K293" s="184" t="s">
        <v>450</v>
      </c>
      <c r="L293" s="188" t="s">
        <v>16</v>
      </c>
      <c r="M293" s="175">
        <v>100</v>
      </c>
      <c r="N293" s="175">
        <v>100</v>
      </c>
      <c r="O293" s="175">
        <v>100</v>
      </c>
      <c r="P293" s="175">
        <v>100</v>
      </c>
      <c r="Q293" s="175">
        <v>100</v>
      </c>
    </row>
    <row r="294" spans="1:17" s="20" customFormat="1" ht="25.5" x14ac:dyDescent="0.2">
      <c r="A294" s="125"/>
      <c r="B294" s="187" t="s">
        <v>164</v>
      </c>
      <c r="C294" s="185"/>
      <c r="D294" s="166">
        <v>0</v>
      </c>
      <c r="E294" s="183" t="s">
        <v>451</v>
      </c>
      <c r="F294" s="1618">
        <v>4828.6000000000004</v>
      </c>
      <c r="G294" s="1618">
        <v>4105.3999999999996</v>
      </c>
      <c r="H294" s="1616">
        <v>5503.4</v>
      </c>
      <c r="I294" s="1566">
        <v>4357.8999999999996</v>
      </c>
      <c r="J294" s="1566">
        <v>4505.1000000000004</v>
      </c>
      <c r="K294" s="183" t="s">
        <v>2577</v>
      </c>
      <c r="L294" s="188"/>
      <c r="M294" s="175"/>
      <c r="N294" s="186"/>
      <c r="O294" s="186"/>
      <c r="P294" s="186"/>
      <c r="Q294" s="186"/>
    </row>
    <row r="295" spans="1:17" s="20" customFormat="1" ht="25.5" x14ac:dyDescent="0.2">
      <c r="A295" s="125"/>
      <c r="B295" s="187"/>
      <c r="C295" s="185" t="s">
        <v>114</v>
      </c>
      <c r="D295" s="166">
        <v>0</v>
      </c>
      <c r="E295" s="184" t="s">
        <v>452</v>
      </c>
      <c r="F295" s="1618">
        <v>2423.4</v>
      </c>
      <c r="G295" s="1619">
        <v>2053.6</v>
      </c>
      <c r="H295" s="1616">
        <v>2752.6</v>
      </c>
      <c r="I295" s="1559">
        <v>2200</v>
      </c>
      <c r="J295" s="1559">
        <v>2300</v>
      </c>
      <c r="K295" s="184" t="s">
        <v>453</v>
      </c>
      <c r="L295" s="175" t="s">
        <v>420</v>
      </c>
      <c r="M295" s="174" t="s">
        <v>421</v>
      </c>
      <c r="N295" s="174" t="s">
        <v>422</v>
      </c>
      <c r="O295" s="174" t="s">
        <v>454</v>
      </c>
      <c r="P295" s="174" t="s">
        <v>455</v>
      </c>
      <c r="Q295" s="174" t="s">
        <v>456</v>
      </c>
    </row>
    <row r="296" spans="1:17" s="20" customFormat="1" ht="26.25" thickBot="1" x14ac:dyDescent="0.25">
      <c r="A296" s="125"/>
      <c r="B296" s="187"/>
      <c r="C296" s="185" t="s">
        <v>116</v>
      </c>
      <c r="D296" s="166">
        <v>0</v>
      </c>
      <c r="E296" s="601" t="s">
        <v>457</v>
      </c>
      <c r="F296" s="1618">
        <v>2405.1999999999998</v>
      </c>
      <c r="G296" s="1619">
        <v>2051.8000000000002</v>
      </c>
      <c r="H296" s="1616">
        <v>2750.8</v>
      </c>
      <c r="I296" s="1559">
        <v>2157.9</v>
      </c>
      <c r="J296" s="1559">
        <v>2205.1</v>
      </c>
      <c r="K296" s="189" t="s">
        <v>458</v>
      </c>
      <c r="L296" s="175" t="s">
        <v>428</v>
      </c>
      <c r="M296" s="175">
        <v>149</v>
      </c>
      <c r="N296" s="175">
        <v>50</v>
      </c>
      <c r="O296" s="175">
        <v>15</v>
      </c>
      <c r="P296" s="175">
        <v>200</v>
      </c>
      <c r="Q296" s="175">
        <v>250</v>
      </c>
    </row>
    <row r="297" spans="1:17" s="15" customFormat="1" ht="28.5" customHeight="1" thickBot="1" x14ac:dyDescent="0.25">
      <c r="A297" s="2169" t="s">
        <v>68</v>
      </c>
      <c r="B297" s="2170"/>
      <c r="C297" s="2170"/>
      <c r="D297" s="2170"/>
      <c r="E297" s="2238"/>
      <c r="F297" s="1620">
        <f>F282+F287+F291+F294</f>
        <v>39383</v>
      </c>
      <c r="G297" s="1620">
        <f>G294+G291+G287+G282</f>
        <v>32827.599999999999</v>
      </c>
      <c r="H297" s="1610">
        <v>42827.6</v>
      </c>
      <c r="I297" s="1620">
        <f>I282+I287+I291+I294</f>
        <v>33455.9</v>
      </c>
      <c r="J297" s="1620">
        <f>J282+J287+J291+J294</f>
        <v>33775.1</v>
      </c>
      <c r="K297" s="584"/>
      <c r="L297" s="2269"/>
      <c r="M297" s="2269"/>
      <c r="N297" s="2269"/>
      <c r="O297" s="2269"/>
      <c r="P297" s="2269"/>
      <c r="Q297" s="2269"/>
    </row>
    <row r="298" spans="1:17" s="15" customFormat="1" ht="29.25" customHeight="1" thickBot="1" x14ac:dyDescent="0.25">
      <c r="A298" s="1912" t="s">
        <v>459</v>
      </c>
      <c r="B298" s="1913"/>
      <c r="C298" s="1913"/>
      <c r="D298" s="1913"/>
      <c r="E298" s="1913"/>
      <c r="F298" s="1913"/>
      <c r="G298" s="1913"/>
      <c r="H298" s="1913"/>
      <c r="I298" s="1913"/>
      <c r="J298" s="1913"/>
      <c r="K298" s="1913"/>
      <c r="L298" s="1913"/>
      <c r="M298" s="1913"/>
      <c r="N298" s="1913"/>
      <c r="O298" s="1913"/>
      <c r="P298" s="1913"/>
      <c r="Q298" s="2224"/>
    </row>
    <row r="299" spans="1:17" s="20" customFormat="1" ht="38.25" x14ac:dyDescent="0.2">
      <c r="A299" s="125"/>
      <c r="B299" s="190">
        <v>1</v>
      </c>
      <c r="C299" s="663"/>
      <c r="D299" s="663">
        <v>0</v>
      </c>
      <c r="E299" s="127" t="s">
        <v>2743</v>
      </c>
      <c r="F299" s="1621">
        <f>SUM(F300+F301+F302+F303+F304+F305+F306+F307)</f>
        <v>37293.399999999994</v>
      </c>
      <c r="G299" s="1621">
        <f>SUM(G300+G301+G302+G303+G304+G305+G306+G307)</f>
        <v>36650.900000000009</v>
      </c>
      <c r="H299" s="1622">
        <f>H300+H301+H302+H303+H304+H305+H306+H307</f>
        <v>44232.079999999994</v>
      </c>
      <c r="I299" s="1622">
        <v>43812.68</v>
      </c>
      <c r="J299" s="1622">
        <v>43812.68</v>
      </c>
      <c r="K299" s="191" t="s">
        <v>15</v>
      </c>
      <c r="L299" s="661" t="s">
        <v>16</v>
      </c>
      <c r="M299" s="661"/>
      <c r="N299" s="661"/>
      <c r="O299" s="661"/>
      <c r="P299" s="661"/>
      <c r="Q299" s="661"/>
    </row>
    <row r="300" spans="1:17" s="20" customFormat="1" ht="12.75" x14ac:dyDescent="0.2">
      <c r="A300" s="125"/>
      <c r="B300" s="192"/>
      <c r="C300" s="193">
        <v>1</v>
      </c>
      <c r="D300" s="663">
        <v>0</v>
      </c>
      <c r="E300" s="211" t="s">
        <v>182</v>
      </c>
      <c r="F300" s="1623">
        <v>6290.7</v>
      </c>
      <c r="G300" s="1623">
        <v>5385.2</v>
      </c>
      <c r="H300" s="1574">
        <v>6301.44</v>
      </c>
      <c r="I300" s="1574">
        <v>6301.44</v>
      </c>
      <c r="J300" s="1574">
        <v>6301.44</v>
      </c>
      <c r="K300" s="194" t="s">
        <v>18</v>
      </c>
      <c r="L300" s="195" t="s">
        <v>19</v>
      </c>
      <c r="M300" s="195"/>
      <c r="N300" s="195"/>
      <c r="O300" s="195"/>
      <c r="P300" s="195"/>
      <c r="Q300" s="195"/>
    </row>
    <row r="301" spans="1:17" s="20" customFormat="1" ht="12.75" x14ac:dyDescent="0.2">
      <c r="A301" s="125"/>
      <c r="B301" s="192"/>
      <c r="C301" s="196">
        <v>2</v>
      </c>
      <c r="D301" s="663">
        <v>0</v>
      </c>
      <c r="E301" s="600" t="s">
        <v>184</v>
      </c>
      <c r="F301" s="1623">
        <v>2584.6</v>
      </c>
      <c r="G301" s="1623">
        <v>2307.3000000000002</v>
      </c>
      <c r="H301" s="1574">
        <v>2524.7800000000002</v>
      </c>
      <c r="I301" s="1574">
        <v>2524.7800000000002</v>
      </c>
      <c r="J301" s="1574">
        <v>2524.7800000000002</v>
      </c>
      <c r="K301" s="194" t="s">
        <v>460</v>
      </c>
      <c r="L301" s="195" t="s">
        <v>16</v>
      </c>
      <c r="M301" s="195">
        <v>100</v>
      </c>
      <c r="N301" s="195">
        <v>100</v>
      </c>
      <c r="O301" s="195">
        <v>100</v>
      </c>
      <c r="P301" s="195">
        <v>100</v>
      </c>
      <c r="Q301" s="195">
        <v>100</v>
      </c>
    </row>
    <row r="302" spans="1:17" s="20" customFormat="1" ht="25.5" x14ac:dyDescent="0.2">
      <c r="A302" s="125"/>
      <c r="B302" s="192"/>
      <c r="C302" s="196">
        <v>3</v>
      </c>
      <c r="D302" s="663">
        <v>0</v>
      </c>
      <c r="E302" s="600" t="s">
        <v>117</v>
      </c>
      <c r="F302" s="1623">
        <v>3234.3</v>
      </c>
      <c r="G302" s="1623">
        <v>947.2</v>
      </c>
      <c r="H302" s="1574">
        <v>1243.74</v>
      </c>
      <c r="I302" s="1574">
        <v>1243.74</v>
      </c>
      <c r="J302" s="1574">
        <v>1243.74</v>
      </c>
      <c r="K302" s="197" t="s">
        <v>118</v>
      </c>
      <c r="L302" s="195" t="s">
        <v>16</v>
      </c>
      <c r="M302" s="195">
        <v>91.2</v>
      </c>
      <c r="N302" s="195">
        <v>92.2</v>
      </c>
      <c r="O302" s="195">
        <v>92.3</v>
      </c>
      <c r="P302" s="195">
        <v>93.1</v>
      </c>
      <c r="Q302" s="195">
        <v>93.2</v>
      </c>
    </row>
    <row r="303" spans="1:17" s="20" customFormat="1" ht="25.5" x14ac:dyDescent="0.2">
      <c r="A303" s="125"/>
      <c r="B303" s="192"/>
      <c r="C303" s="196">
        <v>4</v>
      </c>
      <c r="D303" s="663">
        <v>0</v>
      </c>
      <c r="E303" s="600" t="s">
        <v>461</v>
      </c>
      <c r="F303" s="1623">
        <v>2400.1</v>
      </c>
      <c r="G303" s="1623">
        <v>1997.3</v>
      </c>
      <c r="H303" s="1574">
        <v>2258.63</v>
      </c>
      <c r="I303" s="1574">
        <v>2258.63</v>
      </c>
      <c r="J303" s="1574">
        <v>2258.63</v>
      </c>
      <c r="K303" s="194" t="s">
        <v>462</v>
      </c>
      <c r="L303" s="195" t="s">
        <v>463</v>
      </c>
      <c r="M303" s="195">
        <v>78.3</v>
      </c>
      <c r="N303" s="195">
        <v>78.400000000000006</v>
      </c>
      <c r="O303" s="195">
        <v>78.5</v>
      </c>
      <c r="P303" s="195">
        <v>78.599999999999994</v>
      </c>
      <c r="Q303" s="195">
        <v>79.099999999999994</v>
      </c>
    </row>
    <row r="304" spans="1:17" s="20" customFormat="1" ht="25.5" x14ac:dyDescent="0.2">
      <c r="A304" s="125"/>
      <c r="B304" s="192"/>
      <c r="C304" s="196">
        <v>5</v>
      </c>
      <c r="D304" s="663">
        <v>0</v>
      </c>
      <c r="E304" s="600" t="s">
        <v>28</v>
      </c>
      <c r="F304" s="1623">
        <v>2042.4</v>
      </c>
      <c r="G304" s="1623">
        <v>1977.2</v>
      </c>
      <c r="H304" s="1574">
        <v>2225.39</v>
      </c>
      <c r="I304" s="1574">
        <v>2225.39</v>
      </c>
      <c r="J304" s="1574">
        <v>2225.39</v>
      </c>
      <c r="K304" s="194" t="s">
        <v>464</v>
      </c>
      <c r="L304" s="195" t="s">
        <v>160</v>
      </c>
      <c r="M304" s="195">
        <v>100</v>
      </c>
      <c r="N304" s="195">
        <v>100</v>
      </c>
      <c r="O304" s="195">
        <v>100</v>
      </c>
      <c r="P304" s="195">
        <v>100</v>
      </c>
      <c r="Q304" s="195">
        <v>100</v>
      </c>
    </row>
    <row r="305" spans="1:17" s="20" customFormat="1" ht="25.5" x14ac:dyDescent="0.2">
      <c r="A305" s="125"/>
      <c r="B305" s="192"/>
      <c r="C305" s="198">
        <v>6</v>
      </c>
      <c r="D305" s="663">
        <v>0</v>
      </c>
      <c r="E305" s="40" t="s">
        <v>465</v>
      </c>
      <c r="F305" s="1623">
        <v>3440</v>
      </c>
      <c r="G305" s="1623">
        <v>6055.1</v>
      </c>
      <c r="H305" s="1574">
        <f>6468.2+419.4</f>
        <v>6887.5999999999995</v>
      </c>
      <c r="I305" s="1574">
        <v>6468.2</v>
      </c>
      <c r="J305" s="1574">
        <v>6468.2</v>
      </c>
      <c r="K305" s="194" t="s">
        <v>466</v>
      </c>
      <c r="L305" s="195" t="s">
        <v>16</v>
      </c>
      <c r="M305" s="195">
        <v>7.5</v>
      </c>
      <c r="N305" s="195">
        <v>8.5</v>
      </c>
      <c r="O305" s="195">
        <v>8.9</v>
      </c>
      <c r="P305" s="195">
        <v>9.5</v>
      </c>
      <c r="Q305" s="195">
        <v>9.9</v>
      </c>
    </row>
    <row r="306" spans="1:17" s="20" customFormat="1" ht="25.5" x14ac:dyDescent="0.2">
      <c r="A306" s="125"/>
      <c r="B306" s="192"/>
      <c r="C306" s="198">
        <v>7</v>
      </c>
      <c r="D306" s="663">
        <v>0</v>
      </c>
      <c r="E306" s="40" t="s">
        <v>467</v>
      </c>
      <c r="F306" s="1623">
        <v>4505.3</v>
      </c>
      <c r="G306" s="1623">
        <v>6250.9</v>
      </c>
      <c r="H306" s="1574">
        <v>6981.9</v>
      </c>
      <c r="I306" s="1574">
        <v>6981.9</v>
      </c>
      <c r="J306" s="1574">
        <v>6981.9</v>
      </c>
      <c r="K306" s="199" t="s">
        <v>468</v>
      </c>
      <c r="L306" s="195">
        <v>98.9</v>
      </c>
      <c r="M306" s="195">
        <v>99.9</v>
      </c>
      <c r="N306" s="195">
        <v>100</v>
      </c>
      <c r="O306" s="195">
        <v>100</v>
      </c>
      <c r="P306" s="195">
        <v>100</v>
      </c>
      <c r="Q306" s="195">
        <v>100</v>
      </c>
    </row>
    <row r="307" spans="1:17" s="20" customFormat="1" ht="25.5" x14ac:dyDescent="0.2">
      <c r="A307" s="125"/>
      <c r="B307" s="192"/>
      <c r="C307" s="198">
        <v>8</v>
      </c>
      <c r="D307" s="663">
        <v>0</v>
      </c>
      <c r="E307" s="40" t="s">
        <v>469</v>
      </c>
      <c r="F307" s="1623">
        <v>12796</v>
      </c>
      <c r="G307" s="1623">
        <v>11730.7</v>
      </c>
      <c r="H307" s="1574">
        <v>15808.6</v>
      </c>
      <c r="I307" s="1574">
        <v>15808.6</v>
      </c>
      <c r="J307" s="1574">
        <v>15808.6</v>
      </c>
      <c r="K307" s="586" t="s">
        <v>470</v>
      </c>
      <c r="L307" s="195">
        <v>89.2</v>
      </c>
      <c r="M307" s="195">
        <v>89.9</v>
      </c>
      <c r="N307" s="195">
        <v>90</v>
      </c>
      <c r="O307" s="195">
        <v>90.1</v>
      </c>
      <c r="P307" s="195">
        <v>90.6</v>
      </c>
      <c r="Q307" s="195">
        <v>90.7</v>
      </c>
    </row>
    <row r="308" spans="1:17" s="20" customFormat="1" ht="59.25" customHeight="1" x14ac:dyDescent="0.2">
      <c r="A308" s="125"/>
      <c r="B308" s="200" t="s">
        <v>131</v>
      </c>
      <c r="C308" s="200"/>
      <c r="D308" s="200"/>
      <c r="E308" s="160" t="s">
        <v>471</v>
      </c>
      <c r="F308" s="1624">
        <f>SUM(F310+F311+F312+F313+F314+F315)</f>
        <v>11879.8</v>
      </c>
      <c r="G308" s="1624">
        <f>SUM(G310+G311+G312+G313+G314+G315)</f>
        <v>10370.800000000001</v>
      </c>
      <c r="H308" s="1589">
        <v>15914.5</v>
      </c>
      <c r="I308" s="1589">
        <v>17102.8</v>
      </c>
      <c r="J308" s="1589">
        <v>17603.5</v>
      </c>
      <c r="K308" s="40" t="s">
        <v>472</v>
      </c>
      <c r="L308" s="195">
        <v>88.5</v>
      </c>
      <c r="M308" s="195">
        <v>88.6</v>
      </c>
      <c r="N308" s="201">
        <v>90.1</v>
      </c>
      <c r="O308" s="201">
        <v>90.5</v>
      </c>
      <c r="P308" s="201">
        <v>90.9</v>
      </c>
      <c r="Q308" s="201">
        <v>100</v>
      </c>
    </row>
    <row r="309" spans="1:17" s="20" customFormat="1" ht="12.75" x14ac:dyDescent="0.2">
      <c r="A309" s="125"/>
      <c r="B309" s="200"/>
      <c r="C309" s="193">
        <v>1</v>
      </c>
      <c r="D309" s="200"/>
      <c r="E309" s="40" t="s">
        <v>473</v>
      </c>
      <c r="F309" s="1625"/>
      <c r="G309" s="1625"/>
      <c r="H309" s="1574">
        <v>15914.5</v>
      </c>
      <c r="I309" s="1574">
        <v>17102.8</v>
      </c>
      <c r="J309" s="1574">
        <v>17603.5</v>
      </c>
      <c r="K309" s="194" t="s">
        <v>2579</v>
      </c>
      <c r="L309" s="195">
        <v>90</v>
      </c>
      <c r="M309" s="195">
        <v>91.2</v>
      </c>
      <c r="N309" s="202">
        <v>92</v>
      </c>
      <c r="O309" s="202">
        <v>93</v>
      </c>
      <c r="P309" s="202">
        <v>95</v>
      </c>
      <c r="Q309" s="202">
        <v>96</v>
      </c>
    </row>
    <row r="310" spans="1:17" s="20" customFormat="1" ht="25.5" x14ac:dyDescent="0.2">
      <c r="A310" s="125"/>
      <c r="B310" s="200"/>
      <c r="C310" s="193" t="s">
        <v>114</v>
      </c>
      <c r="D310" s="200"/>
      <c r="E310" s="40" t="s">
        <v>474</v>
      </c>
      <c r="F310" s="1625">
        <v>1901.6</v>
      </c>
      <c r="G310" s="1625">
        <v>1838.1</v>
      </c>
      <c r="H310" s="1574"/>
      <c r="I310" s="1574"/>
      <c r="J310" s="1574"/>
      <c r="K310" s="40" t="s">
        <v>475</v>
      </c>
      <c r="L310" s="195">
        <v>90</v>
      </c>
      <c r="M310" s="195">
        <v>91.2</v>
      </c>
      <c r="N310" s="202">
        <v>92</v>
      </c>
      <c r="O310" s="202">
        <v>93</v>
      </c>
      <c r="P310" s="202">
        <v>95</v>
      </c>
      <c r="Q310" s="202">
        <v>96</v>
      </c>
    </row>
    <row r="311" spans="1:17" s="20" customFormat="1" ht="25.5" x14ac:dyDescent="0.2">
      <c r="A311" s="125"/>
      <c r="B311" s="200"/>
      <c r="C311" s="193" t="s">
        <v>116</v>
      </c>
      <c r="D311" s="200"/>
      <c r="E311" s="40" t="s">
        <v>476</v>
      </c>
      <c r="F311" s="1625">
        <v>2374.8000000000002</v>
      </c>
      <c r="G311" s="1625">
        <v>2048</v>
      </c>
      <c r="H311" s="1574"/>
      <c r="I311" s="1574"/>
      <c r="J311" s="1574"/>
      <c r="K311" s="40" t="s">
        <v>477</v>
      </c>
      <c r="L311" s="195">
        <v>50.6</v>
      </c>
      <c r="M311" s="195">
        <v>50.7</v>
      </c>
      <c r="N311" s="202">
        <v>50.8</v>
      </c>
      <c r="O311" s="202">
        <v>50.9</v>
      </c>
      <c r="P311" s="202">
        <v>61.2</v>
      </c>
      <c r="Q311" s="202">
        <v>61.3</v>
      </c>
    </row>
    <row r="312" spans="1:17" s="20" customFormat="1" ht="25.5" x14ac:dyDescent="0.2">
      <c r="A312" s="125"/>
      <c r="B312" s="200"/>
      <c r="C312" s="193" t="s">
        <v>119</v>
      </c>
      <c r="D312" s="200"/>
      <c r="E312" s="40" t="s">
        <v>478</v>
      </c>
      <c r="F312" s="1625">
        <v>2178.9</v>
      </c>
      <c r="G312" s="1625">
        <v>2173.4</v>
      </c>
      <c r="H312" s="1574"/>
      <c r="I312" s="1574"/>
      <c r="J312" s="1574"/>
      <c r="K312" s="40" t="s">
        <v>479</v>
      </c>
      <c r="L312" s="195">
        <v>62.3</v>
      </c>
      <c r="M312" s="195">
        <v>64.7</v>
      </c>
      <c r="N312" s="202">
        <v>64.900000000000006</v>
      </c>
      <c r="O312" s="202">
        <v>65</v>
      </c>
      <c r="P312" s="202">
        <v>65.599999999999994</v>
      </c>
      <c r="Q312" s="202">
        <v>65.900000000000006</v>
      </c>
    </row>
    <row r="313" spans="1:17" s="20" customFormat="1" ht="38.25" x14ac:dyDescent="0.2">
      <c r="A313" s="125"/>
      <c r="B313" s="200"/>
      <c r="C313" s="193" t="s">
        <v>124</v>
      </c>
      <c r="D313" s="200"/>
      <c r="E313" s="20" t="s">
        <v>480</v>
      </c>
      <c r="F313" s="1625">
        <v>1821.8</v>
      </c>
      <c r="G313" s="1625">
        <v>1297.0999999999999</v>
      </c>
      <c r="H313" s="1574"/>
      <c r="I313" s="1574"/>
      <c r="J313" s="1574"/>
      <c r="K313" s="40" t="s">
        <v>481</v>
      </c>
      <c r="L313" s="195">
        <v>48.6</v>
      </c>
      <c r="M313" s="195">
        <v>50.8</v>
      </c>
      <c r="N313" s="202">
        <v>52</v>
      </c>
      <c r="O313" s="202">
        <v>54.9</v>
      </c>
      <c r="P313" s="202">
        <v>55.3</v>
      </c>
      <c r="Q313" s="202">
        <v>59.7</v>
      </c>
    </row>
    <row r="314" spans="1:17" s="20" customFormat="1" ht="38.25" x14ac:dyDescent="0.2">
      <c r="A314" s="125"/>
      <c r="B314" s="200"/>
      <c r="C314" s="193" t="s">
        <v>128</v>
      </c>
      <c r="D314" s="200"/>
      <c r="E314" s="40" t="s">
        <v>482</v>
      </c>
      <c r="F314" s="1625">
        <v>2160.5</v>
      </c>
      <c r="G314" s="1625">
        <v>1918.6</v>
      </c>
      <c r="H314" s="1574"/>
      <c r="I314" s="1574"/>
      <c r="J314" s="1574"/>
      <c r="K314" s="40" t="s">
        <v>483</v>
      </c>
      <c r="L314" s="195">
        <v>50.9</v>
      </c>
      <c r="M314" s="195">
        <v>51.3</v>
      </c>
      <c r="N314" s="202">
        <v>52.5</v>
      </c>
      <c r="O314" s="202">
        <v>53.8</v>
      </c>
      <c r="P314" s="202">
        <v>54.9</v>
      </c>
      <c r="Q314" s="202">
        <v>55</v>
      </c>
    </row>
    <row r="315" spans="1:17" s="20" customFormat="1" ht="13.5" thickBot="1" x14ac:dyDescent="0.25">
      <c r="A315" s="125"/>
      <c r="B315" s="200"/>
      <c r="C315" s="200">
        <v>6</v>
      </c>
      <c r="D315" s="200"/>
      <c r="E315" s="40" t="s">
        <v>484</v>
      </c>
      <c r="F315" s="1625">
        <v>1442.2</v>
      </c>
      <c r="G315" s="1625">
        <v>1095.5999999999999</v>
      </c>
      <c r="H315" s="1574"/>
      <c r="I315" s="1574"/>
      <c r="J315" s="1574"/>
      <c r="K315" s="40" t="s">
        <v>485</v>
      </c>
      <c r="L315" s="195">
        <v>100</v>
      </c>
      <c r="M315" s="195">
        <v>100</v>
      </c>
      <c r="N315" s="202">
        <v>100</v>
      </c>
      <c r="O315" s="202">
        <v>100</v>
      </c>
      <c r="P315" s="202">
        <v>100</v>
      </c>
      <c r="Q315" s="202">
        <v>100</v>
      </c>
    </row>
    <row r="316" spans="1:17" s="15" customFormat="1" ht="33.75" customHeight="1" thickBot="1" x14ac:dyDescent="0.25">
      <c r="A316" s="2169" t="s">
        <v>68</v>
      </c>
      <c r="B316" s="2170"/>
      <c r="C316" s="2170"/>
      <c r="D316" s="2170"/>
      <c r="E316" s="2238"/>
      <c r="F316" s="1626">
        <f>SUM(F299+F308)</f>
        <v>49173.2</v>
      </c>
      <c r="G316" s="1626">
        <f>SUM(G299+G308)</f>
        <v>47021.700000000012</v>
      </c>
      <c r="H316" s="1627">
        <f>SUM(H299+H308)</f>
        <v>60146.579999999994</v>
      </c>
      <c r="I316" s="1628">
        <f>SUM(I299+I308)</f>
        <v>60915.479999999996</v>
      </c>
      <c r="J316" s="1628">
        <f>SUM(J299+J308)</f>
        <v>61416.18</v>
      </c>
      <c r="K316" s="203"/>
      <c r="L316" s="2264"/>
      <c r="M316" s="2264"/>
      <c r="N316" s="2264"/>
      <c r="O316" s="2264"/>
      <c r="P316" s="2264"/>
      <c r="Q316" s="2265"/>
    </row>
    <row r="317" spans="1:17" s="15" customFormat="1" ht="34.5" customHeight="1" x14ac:dyDescent="0.2">
      <c r="A317" s="2266" t="s">
        <v>486</v>
      </c>
      <c r="B317" s="2266"/>
      <c r="C317" s="2266"/>
      <c r="D317" s="2266"/>
      <c r="E317" s="2266"/>
      <c r="F317" s="2266"/>
      <c r="G317" s="2266"/>
      <c r="H317" s="2266"/>
      <c r="I317" s="2266"/>
      <c r="J317" s="2266"/>
      <c r="K317" s="2266"/>
      <c r="L317" s="2266"/>
      <c r="M317" s="2266"/>
      <c r="N317" s="2266"/>
      <c r="O317" s="2266"/>
      <c r="P317" s="2266"/>
      <c r="Q317" s="2266"/>
    </row>
    <row r="318" spans="1:17" s="51" customFormat="1" ht="51" x14ac:dyDescent="0.2">
      <c r="A318" s="49"/>
      <c r="B318" s="204">
        <v>1</v>
      </c>
      <c r="C318" s="205"/>
      <c r="D318" s="206"/>
      <c r="E318" s="207" t="s">
        <v>487</v>
      </c>
      <c r="F318" s="1629">
        <v>55348.100000000006</v>
      </c>
      <c r="G318" s="1629">
        <v>73141.899999999994</v>
      </c>
      <c r="H318" s="1629">
        <f>H329</f>
        <v>68797.100000000006</v>
      </c>
      <c r="I318" s="1629">
        <v>69041.899999999994</v>
      </c>
      <c r="J318" s="1629">
        <v>71741.899999999994</v>
      </c>
      <c r="K318" s="93" t="s">
        <v>15</v>
      </c>
      <c r="L318" s="209" t="s">
        <v>16</v>
      </c>
      <c r="M318" s="209"/>
      <c r="N318" s="209"/>
      <c r="O318" s="209"/>
      <c r="P318" s="209"/>
      <c r="Q318" s="209"/>
    </row>
    <row r="319" spans="1:17" s="51" customFormat="1" ht="12.75" x14ac:dyDescent="0.2">
      <c r="A319" s="49"/>
      <c r="B319" s="210"/>
      <c r="C319" s="598">
        <v>1</v>
      </c>
      <c r="D319" s="570"/>
      <c r="E319" s="211" t="s">
        <v>257</v>
      </c>
      <c r="F319" s="1546">
        <v>9951.2000000000007</v>
      </c>
      <c r="G319" s="1340"/>
      <c r="H319" s="1340"/>
      <c r="I319" s="1340"/>
      <c r="J319" s="1340"/>
      <c r="K319" s="586" t="s">
        <v>488</v>
      </c>
      <c r="L319" s="212" t="s">
        <v>19</v>
      </c>
      <c r="M319" s="212">
        <v>100</v>
      </c>
      <c r="N319" s="212">
        <v>100</v>
      </c>
      <c r="O319" s="212">
        <v>100</v>
      </c>
      <c r="P319" s="212">
        <v>100</v>
      </c>
      <c r="Q319" s="212">
        <v>100</v>
      </c>
    </row>
    <row r="320" spans="1:17" s="51" customFormat="1" ht="12.75" x14ac:dyDescent="0.2">
      <c r="A320" s="49"/>
      <c r="B320" s="210"/>
      <c r="C320" s="598">
        <v>2</v>
      </c>
      <c r="D320" s="570"/>
      <c r="E320" s="600" t="s">
        <v>489</v>
      </c>
      <c r="F320" s="1546">
        <v>6586.6</v>
      </c>
      <c r="G320" s="1340"/>
      <c r="H320" s="1340"/>
      <c r="I320" s="1340"/>
      <c r="J320" s="1340"/>
      <c r="K320" s="586" t="s">
        <v>490</v>
      </c>
      <c r="L320" s="212" t="s">
        <v>16</v>
      </c>
      <c r="M320" s="212">
        <v>100</v>
      </c>
      <c r="N320" s="212">
        <v>100</v>
      </c>
      <c r="O320" s="212">
        <v>100</v>
      </c>
      <c r="P320" s="212">
        <v>100</v>
      </c>
      <c r="Q320" s="212">
        <v>100</v>
      </c>
    </row>
    <row r="321" spans="1:17" s="51" customFormat="1" ht="25.5" x14ac:dyDescent="0.2">
      <c r="A321" s="49"/>
      <c r="B321" s="2267"/>
      <c r="C321" s="1768">
        <v>3</v>
      </c>
      <c r="D321" s="1769"/>
      <c r="E321" s="2111" t="s">
        <v>491</v>
      </c>
      <c r="F321" s="2268">
        <v>3856.9</v>
      </c>
      <c r="G321" s="2268"/>
      <c r="H321" s="1917"/>
      <c r="I321" s="1630"/>
      <c r="J321" s="2268"/>
      <c r="K321" s="586" t="s">
        <v>492</v>
      </c>
      <c r="L321" s="212" t="s">
        <v>16</v>
      </c>
      <c r="M321" s="212">
        <v>79</v>
      </c>
      <c r="N321" s="212">
        <v>77</v>
      </c>
      <c r="O321" s="212">
        <v>75</v>
      </c>
      <c r="P321" s="212">
        <v>75</v>
      </c>
      <c r="Q321" s="212">
        <v>75</v>
      </c>
    </row>
    <row r="322" spans="1:17" s="51" customFormat="1" ht="12.75" x14ac:dyDescent="0.2">
      <c r="A322" s="49"/>
      <c r="B322" s="2267"/>
      <c r="C322" s="1768"/>
      <c r="D322" s="1769"/>
      <c r="E322" s="2111"/>
      <c r="F322" s="1919"/>
      <c r="G322" s="1919"/>
      <c r="H322" s="1919"/>
      <c r="I322" s="1629"/>
      <c r="J322" s="1919"/>
      <c r="K322" s="586" t="s">
        <v>493</v>
      </c>
      <c r="L322" s="212" t="s">
        <v>16</v>
      </c>
      <c r="M322" s="212">
        <v>10</v>
      </c>
      <c r="N322" s="212">
        <v>15</v>
      </c>
      <c r="O322" s="212">
        <v>20</v>
      </c>
      <c r="P322" s="212">
        <v>22</v>
      </c>
      <c r="Q322" s="212">
        <v>22</v>
      </c>
    </row>
    <row r="323" spans="1:17" s="51" customFormat="1" ht="12.75" x14ac:dyDescent="0.2">
      <c r="A323" s="49"/>
      <c r="B323" s="2267"/>
      <c r="C323" s="1768">
        <v>4</v>
      </c>
      <c r="D323" s="1769"/>
      <c r="E323" s="2111" t="s">
        <v>494</v>
      </c>
      <c r="F323" s="2268">
        <v>7352.8</v>
      </c>
      <c r="G323" s="2268"/>
      <c r="H323" s="1917"/>
      <c r="I323" s="1630"/>
      <c r="J323" s="2268"/>
      <c r="K323" s="586" t="s">
        <v>495</v>
      </c>
      <c r="L323" s="212" t="s">
        <v>30</v>
      </c>
      <c r="M323" s="212">
        <v>490</v>
      </c>
      <c r="N323" s="212">
        <v>490</v>
      </c>
      <c r="O323" s="212">
        <v>490</v>
      </c>
      <c r="P323" s="212">
        <v>490</v>
      </c>
      <c r="Q323" s="212">
        <v>490</v>
      </c>
    </row>
    <row r="324" spans="1:17" s="51" customFormat="1" ht="38.25" x14ac:dyDescent="0.2">
      <c r="A324" s="49"/>
      <c r="B324" s="2267"/>
      <c r="C324" s="1768"/>
      <c r="D324" s="1769"/>
      <c r="E324" s="2111"/>
      <c r="F324" s="1918"/>
      <c r="G324" s="1918"/>
      <c r="H324" s="1918"/>
      <c r="I324" s="1631"/>
      <c r="J324" s="1918"/>
      <c r="K324" s="586" t="s">
        <v>496</v>
      </c>
      <c r="L324" s="212" t="s">
        <v>231</v>
      </c>
      <c r="M324" s="212">
        <v>6</v>
      </c>
      <c r="N324" s="212">
        <v>6</v>
      </c>
      <c r="O324" s="212">
        <v>6</v>
      </c>
      <c r="P324" s="212">
        <v>6</v>
      </c>
      <c r="Q324" s="212">
        <v>6</v>
      </c>
    </row>
    <row r="325" spans="1:17" s="51" customFormat="1" ht="38.25" x14ac:dyDescent="0.2">
      <c r="A325" s="49"/>
      <c r="B325" s="2267"/>
      <c r="C325" s="1768"/>
      <c r="D325" s="1769"/>
      <c r="E325" s="2111"/>
      <c r="F325" s="1918"/>
      <c r="G325" s="1918"/>
      <c r="H325" s="1918"/>
      <c r="I325" s="1631"/>
      <c r="J325" s="1918"/>
      <c r="K325" s="586" t="s">
        <v>497</v>
      </c>
      <c r="L325" s="212" t="s">
        <v>231</v>
      </c>
      <c r="M325" s="212">
        <v>1</v>
      </c>
      <c r="N325" s="212" t="s">
        <v>20</v>
      </c>
      <c r="O325" s="212">
        <v>1</v>
      </c>
      <c r="P325" s="212" t="s">
        <v>20</v>
      </c>
      <c r="Q325" s="212" t="s">
        <v>20</v>
      </c>
    </row>
    <row r="326" spans="1:17" s="51" customFormat="1" ht="25.5" x14ac:dyDescent="0.2">
      <c r="A326" s="49"/>
      <c r="B326" s="2267"/>
      <c r="C326" s="1768"/>
      <c r="D326" s="1769"/>
      <c r="E326" s="2111"/>
      <c r="F326" s="1919"/>
      <c r="G326" s="1919"/>
      <c r="H326" s="1919"/>
      <c r="I326" s="1629"/>
      <c r="J326" s="1919"/>
      <c r="K326" s="586" t="s">
        <v>498</v>
      </c>
      <c r="L326" s="212" t="s">
        <v>231</v>
      </c>
      <c r="M326" s="212">
        <v>1500</v>
      </c>
      <c r="N326" s="212">
        <v>1677</v>
      </c>
      <c r="O326" s="212">
        <v>1677</v>
      </c>
      <c r="P326" s="212">
        <v>1677</v>
      </c>
      <c r="Q326" s="212">
        <v>1677</v>
      </c>
    </row>
    <row r="327" spans="1:17" s="51" customFormat="1" ht="25.5" x14ac:dyDescent="0.2">
      <c r="A327" s="49"/>
      <c r="B327" s="210"/>
      <c r="C327" s="598">
        <v>5</v>
      </c>
      <c r="D327" s="213"/>
      <c r="E327" s="40" t="s">
        <v>499</v>
      </c>
      <c r="F327" s="1546">
        <v>4836.8</v>
      </c>
      <c r="G327" s="1340"/>
      <c r="H327" s="1340"/>
      <c r="I327" s="1340"/>
      <c r="J327" s="1340"/>
      <c r="K327" s="586" t="s">
        <v>500</v>
      </c>
      <c r="L327" s="212" t="s">
        <v>16</v>
      </c>
      <c r="M327" s="212">
        <v>21</v>
      </c>
      <c r="N327" s="212">
        <v>21</v>
      </c>
      <c r="O327" s="212">
        <v>21</v>
      </c>
      <c r="P327" s="212">
        <v>21</v>
      </c>
      <c r="Q327" s="212">
        <v>21</v>
      </c>
    </row>
    <row r="328" spans="1:17" s="51" customFormat="1" ht="12.75" x14ac:dyDescent="0.2">
      <c r="A328" s="49"/>
      <c r="B328" s="204"/>
      <c r="C328" s="603">
        <v>6</v>
      </c>
      <c r="D328" s="205"/>
      <c r="E328" s="624" t="s">
        <v>501</v>
      </c>
      <c r="F328" s="1339">
        <v>22763.8</v>
      </c>
      <c r="G328" s="1340"/>
      <c r="H328" s="1340"/>
      <c r="I328" s="1340"/>
      <c r="J328" s="1340"/>
      <c r="K328" s="604" t="s">
        <v>502</v>
      </c>
      <c r="L328" s="212" t="s">
        <v>16</v>
      </c>
      <c r="M328" s="212">
        <v>100</v>
      </c>
      <c r="N328" s="212">
        <v>100</v>
      </c>
      <c r="O328" s="212">
        <v>100</v>
      </c>
      <c r="P328" s="212">
        <v>100</v>
      </c>
      <c r="Q328" s="212">
        <v>100</v>
      </c>
    </row>
    <row r="329" spans="1:17" s="51" customFormat="1" ht="52.5" customHeight="1" x14ac:dyDescent="0.2">
      <c r="A329" s="49"/>
      <c r="B329" s="204"/>
      <c r="C329" s="603">
        <v>7</v>
      </c>
      <c r="D329" s="205"/>
      <c r="E329" s="624" t="s">
        <v>2583</v>
      </c>
      <c r="F329" s="1340"/>
      <c r="G329" s="1340">
        <v>73141.899999999994</v>
      </c>
      <c r="H329" s="1340">
        <v>68797.100000000006</v>
      </c>
      <c r="I329" s="1340">
        <v>69041.899999999994</v>
      </c>
      <c r="J329" s="1340">
        <v>71741.899999999994</v>
      </c>
      <c r="K329" s="604" t="s">
        <v>2584</v>
      </c>
      <c r="L329" s="212" t="s">
        <v>231</v>
      </c>
      <c r="M329" s="212">
        <v>165</v>
      </c>
      <c r="N329" s="212">
        <v>140</v>
      </c>
      <c r="O329" s="212">
        <v>150</v>
      </c>
      <c r="P329" s="212">
        <v>120</v>
      </c>
      <c r="Q329" s="212">
        <v>120</v>
      </c>
    </row>
    <row r="330" spans="1:17" s="51" customFormat="1" ht="137.25" customHeight="1" x14ac:dyDescent="0.2">
      <c r="A330" s="49"/>
      <c r="B330" s="204">
        <v>2</v>
      </c>
      <c r="C330" s="215"/>
      <c r="D330" s="205"/>
      <c r="E330" s="207" t="s">
        <v>2581</v>
      </c>
      <c r="F330" s="1340"/>
      <c r="G330" s="1340">
        <v>76709.3</v>
      </c>
      <c r="H330" s="1340">
        <f>H331</f>
        <v>85651.869000000006</v>
      </c>
      <c r="I330" s="1340">
        <v>81761.5</v>
      </c>
      <c r="J330" s="1340">
        <v>81881.7</v>
      </c>
      <c r="K330" s="93"/>
      <c r="L330" s="212"/>
      <c r="M330" s="212"/>
      <c r="N330" s="212"/>
      <c r="O330" s="212"/>
      <c r="P330" s="212"/>
      <c r="Q330" s="212"/>
    </row>
    <row r="331" spans="1:17" s="51" customFormat="1" ht="72.75" customHeight="1" x14ac:dyDescent="0.2">
      <c r="A331" s="49"/>
      <c r="B331" s="204"/>
      <c r="C331" s="603">
        <v>1</v>
      </c>
      <c r="D331" s="205"/>
      <c r="E331" s="624" t="s">
        <v>2581</v>
      </c>
      <c r="F331" s="1629"/>
      <c r="G331" s="1629">
        <v>76709.3</v>
      </c>
      <c r="H331" s="1629">
        <f>85201.869+450</f>
        <v>85651.869000000006</v>
      </c>
      <c r="I331" s="1629">
        <v>81761.5</v>
      </c>
      <c r="J331" s="1629">
        <v>81881.7</v>
      </c>
      <c r="K331" s="624" t="s">
        <v>2582</v>
      </c>
      <c r="L331" s="212" t="s">
        <v>231</v>
      </c>
      <c r="M331" s="212">
        <v>5100</v>
      </c>
      <c r="N331" s="212">
        <v>5500</v>
      </c>
      <c r="O331" s="212">
        <v>5600</v>
      </c>
      <c r="P331" s="212">
        <v>5800</v>
      </c>
      <c r="Q331" s="212">
        <v>5800</v>
      </c>
    </row>
    <row r="332" spans="1:17" s="51" customFormat="1" ht="90.75" customHeight="1" x14ac:dyDescent="0.2">
      <c r="A332" s="49"/>
      <c r="B332" s="204">
        <v>3</v>
      </c>
      <c r="C332" s="215"/>
      <c r="D332" s="205"/>
      <c r="E332" s="207" t="s">
        <v>2580</v>
      </c>
      <c r="F332" s="1340">
        <v>40158.9</v>
      </c>
      <c r="G332" s="1340"/>
      <c r="H332" s="1340"/>
      <c r="I332" s="1340"/>
      <c r="J332" s="1340"/>
      <c r="K332" s="93" t="s">
        <v>503</v>
      </c>
      <c r="L332" s="212"/>
      <c r="M332" s="212"/>
      <c r="N332" s="212"/>
      <c r="O332" s="212"/>
      <c r="P332" s="212"/>
      <c r="Q332" s="212"/>
    </row>
    <row r="333" spans="1:17" s="51" customFormat="1" ht="38.25" x14ac:dyDescent="0.2">
      <c r="A333" s="49"/>
      <c r="B333" s="204"/>
      <c r="C333" s="603">
        <v>1</v>
      </c>
      <c r="D333" s="205"/>
      <c r="E333" s="108" t="s">
        <v>504</v>
      </c>
      <c r="F333" s="1546">
        <v>15899.1</v>
      </c>
      <c r="G333" s="1340"/>
      <c r="H333" s="1340"/>
      <c r="I333" s="1340"/>
      <c r="J333" s="1340"/>
      <c r="K333" s="604" t="s">
        <v>505</v>
      </c>
      <c r="L333" s="212" t="s">
        <v>231</v>
      </c>
      <c r="M333" s="212"/>
      <c r="N333" s="212"/>
      <c r="O333" s="212"/>
      <c r="P333" s="212"/>
      <c r="Q333" s="212"/>
    </row>
    <row r="334" spans="1:17" s="51" customFormat="1" ht="25.5" x14ac:dyDescent="0.2">
      <c r="A334" s="49"/>
      <c r="B334" s="204"/>
      <c r="C334" s="603">
        <v>2</v>
      </c>
      <c r="D334" s="205"/>
      <c r="E334" s="108" t="s">
        <v>506</v>
      </c>
      <c r="F334" s="1340">
        <v>14873.4</v>
      </c>
      <c r="G334" s="1340"/>
      <c r="H334" s="1340"/>
      <c r="I334" s="1340"/>
      <c r="J334" s="1340"/>
      <c r="K334" s="604" t="s">
        <v>505</v>
      </c>
      <c r="L334" s="212" t="s">
        <v>231</v>
      </c>
      <c r="M334" s="212"/>
      <c r="N334" s="212"/>
      <c r="O334" s="212"/>
      <c r="P334" s="212"/>
      <c r="Q334" s="212"/>
    </row>
    <row r="335" spans="1:17" s="51" customFormat="1" ht="25.5" x14ac:dyDescent="0.2">
      <c r="A335" s="49"/>
      <c r="B335" s="204"/>
      <c r="C335" s="603">
        <v>3</v>
      </c>
      <c r="D335" s="205"/>
      <c r="E335" s="108" t="s">
        <v>507</v>
      </c>
      <c r="F335" s="2268">
        <v>9386.4</v>
      </c>
      <c r="G335" s="2268"/>
      <c r="H335" s="1342"/>
      <c r="I335" s="1630"/>
      <c r="J335" s="2268"/>
      <c r="K335" s="604" t="s">
        <v>508</v>
      </c>
      <c r="L335" s="212" t="s">
        <v>231</v>
      </c>
      <c r="M335" s="212">
        <v>10670</v>
      </c>
      <c r="N335" s="212">
        <v>10670</v>
      </c>
      <c r="O335" s="212">
        <v>10670</v>
      </c>
      <c r="P335" s="212">
        <v>10670</v>
      </c>
      <c r="Q335" s="212">
        <v>10670</v>
      </c>
    </row>
    <row r="336" spans="1:17" s="51" customFormat="1" ht="25.5" x14ac:dyDescent="0.2">
      <c r="A336" s="49"/>
      <c r="B336" s="204"/>
      <c r="C336" s="603">
        <v>4</v>
      </c>
      <c r="D336" s="205"/>
      <c r="E336" s="108" t="s">
        <v>509</v>
      </c>
      <c r="F336" s="1919"/>
      <c r="G336" s="1919"/>
      <c r="H336" s="1629"/>
      <c r="I336" s="1629"/>
      <c r="J336" s="1919"/>
      <c r="K336" s="604" t="s">
        <v>510</v>
      </c>
      <c r="L336" s="212" t="s">
        <v>231</v>
      </c>
      <c r="M336" s="212">
        <v>12643</v>
      </c>
      <c r="N336" s="212">
        <v>12643</v>
      </c>
      <c r="O336" s="212">
        <v>12643</v>
      </c>
      <c r="P336" s="212">
        <v>12643</v>
      </c>
      <c r="Q336" s="212">
        <v>12643</v>
      </c>
    </row>
    <row r="337" spans="1:17" s="51" customFormat="1" ht="51" x14ac:dyDescent="0.2">
      <c r="A337" s="49"/>
      <c r="B337" s="204">
        <v>4</v>
      </c>
      <c r="C337" s="215"/>
      <c r="D337" s="215"/>
      <c r="E337" s="207" t="s">
        <v>511</v>
      </c>
      <c r="F337" s="1340">
        <v>55290.6</v>
      </c>
      <c r="G337" s="1340"/>
      <c r="H337" s="1340"/>
      <c r="I337" s="1340"/>
      <c r="J337" s="1340"/>
      <c r="K337" s="93" t="s">
        <v>512</v>
      </c>
      <c r="L337" s="212"/>
      <c r="M337" s="212"/>
      <c r="N337" s="212"/>
      <c r="O337" s="212"/>
      <c r="P337" s="212"/>
      <c r="Q337" s="212"/>
    </row>
    <row r="338" spans="1:17" s="51" customFormat="1" ht="12.75" x14ac:dyDescent="0.2">
      <c r="A338" s="49"/>
      <c r="B338" s="2270"/>
      <c r="C338" s="1736">
        <v>1</v>
      </c>
      <c r="D338" s="1736"/>
      <c r="E338" s="2163" t="s">
        <v>513</v>
      </c>
      <c r="F338" s="2268">
        <v>7190.7</v>
      </c>
      <c r="G338" s="2268"/>
      <c r="H338" s="1342"/>
      <c r="I338" s="1630"/>
      <c r="J338" s="2268"/>
      <c r="K338" s="604" t="s">
        <v>514</v>
      </c>
      <c r="L338" s="212" t="s">
        <v>231</v>
      </c>
      <c r="M338" s="212">
        <v>6300</v>
      </c>
      <c r="N338" s="212">
        <v>6300</v>
      </c>
      <c r="O338" s="212">
        <v>6300</v>
      </c>
      <c r="P338" s="212">
        <v>6300</v>
      </c>
      <c r="Q338" s="212">
        <v>6300</v>
      </c>
    </row>
    <row r="339" spans="1:17" s="51" customFormat="1" ht="12.75" x14ac:dyDescent="0.2">
      <c r="A339" s="49"/>
      <c r="B339" s="2270"/>
      <c r="C339" s="1736"/>
      <c r="D339" s="1736"/>
      <c r="E339" s="2163"/>
      <c r="F339" s="1919"/>
      <c r="G339" s="1919"/>
      <c r="H339" s="1629"/>
      <c r="I339" s="1629"/>
      <c r="J339" s="1919"/>
      <c r="K339" s="604" t="s">
        <v>515</v>
      </c>
      <c r="L339" s="212" t="s">
        <v>231</v>
      </c>
      <c r="M339" s="212">
        <v>6000</v>
      </c>
      <c r="N339" s="212">
        <v>6000</v>
      </c>
      <c r="O339" s="212">
        <v>6000</v>
      </c>
      <c r="P339" s="212">
        <v>6000</v>
      </c>
      <c r="Q339" s="212">
        <v>6000</v>
      </c>
    </row>
    <row r="340" spans="1:17" s="51" customFormat="1" ht="12.75" x14ac:dyDescent="0.2">
      <c r="A340" s="49"/>
      <c r="B340" s="204"/>
      <c r="C340" s="603">
        <v>2</v>
      </c>
      <c r="D340" s="215"/>
      <c r="E340" s="624" t="s">
        <v>516</v>
      </c>
      <c r="F340" s="1340">
        <v>48099.9</v>
      </c>
      <c r="G340" s="1340"/>
      <c r="H340" s="1340"/>
      <c r="I340" s="1340"/>
      <c r="J340" s="1340"/>
      <c r="K340" s="604" t="s">
        <v>517</v>
      </c>
      <c r="L340" s="212" t="s">
        <v>231</v>
      </c>
      <c r="M340" s="212">
        <v>441100</v>
      </c>
      <c r="N340" s="212">
        <v>441200</v>
      </c>
      <c r="O340" s="212">
        <v>441200</v>
      </c>
      <c r="P340" s="212">
        <v>441200</v>
      </c>
      <c r="Q340" s="212">
        <v>441200</v>
      </c>
    </row>
    <row r="341" spans="1:17" s="51" customFormat="1" ht="63.75" x14ac:dyDescent="0.2">
      <c r="A341" s="49"/>
      <c r="B341" s="204">
        <v>5</v>
      </c>
      <c r="C341" s="215"/>
      <c r="D341" s="215"/>
      <c r="E341" s="207" t="s">
        <v>518</v>
      </c>
      <c r="F341" s="1630"/>
      <c r="G341" s="1630">
        <v>77831.399999999994</v>
      </c>
      <c r="H341" s="1342">
        <f>H342</f>
        <v>121591.78199999999</v>
      </c>
      <c r="I341" s="1630">
        <v>77831.399999999994</v>
      </c>
      <c r="J341" s="1630">
        <v>77831.399999999994</v>
      </c>
      <c r="K341" s="216"/>
      <c r="L341" s="212"/>
      <c r="M341" s="212"/>
      <c r="N341" s="212"/>
      <c r="O341" s="212"/>
      <c r="P341" s="212"/>
      <c r="Q341" s="212"/>
    </row>
    <row r="342" spans="1:17" s="51" customFormat="1" ht="63.75" x14ac:dyDescent="0.2">
      <c r="A342" s="49"/>
      <c r="B342" s="204"/>
      <c r="C342" s="215">
        <v>1</v>
      </c>
      <c r="D342" s="215"/>
      <c r="E342" s="624" t="s">
        <v>518</v>
      </c>
      <c r="F342" s="1340"/>
      <c r="G342" s="1340">
        <v>77831.399999999994</v>
      </c>
      <c r="H342" s="1340">
        <f>77831.4+40539.582+3220.8</f>
        <v>121591.78199999999</v>
      </c>
      <c r="I342" s="1340">
        <v>77831.399999999994</v>
      </c>
      <c r="J342" s="1340">
        <v>77831.399999999994</v>
      </c>
      <c r="K342" s="624" t="s">
        <v>519</v>
      </c>
      <c r="L342" s="220" t="s">
        <v>231</v>
      </c>
      <c r="M342" s="220">
        <v>1000</v>
      </c>
      <c r="N342" s="212">
        <v>1200</v>
      </c>
      <c r="O342" s="212">
        <v>1400</v>
      </c>
      <c r="P342" s="212">
        <v>1800</v>
      </c>
      <c r="Q342" s="212">
        <v>1800</v>
      </c>
    </row>
    <row r="343" spans="1:17" s="51" customFormat="1" ht="25.5" x14ac:dyDescent="0.2">
      <c r="A343" s="49"/>
      <c r="B343" s="204">
        <v>6</v>
      </c>
      <c r="C343" s="215"/>
      <c r="D343" s="215"/>
      <c r="E343" s="207" t="s">
        <v>2585</v>
      </c>
      <c r="F343" s="1340">
        <v>10325.200000000001</v>
      </c>
      <c r="G343" s="1340"/>
      <c r="H343" s="1340"/>
      <c r="I343" s="1340"/>
      <c r="J343" s="1340"/>
      <c r="K343" s="93"/>
      <c r="L343" s="212"/>
      <c r="M343" s="212"/>
      <c r="N343" s="212"/>
      <c r="O343" s="212"/>
      <c r="P343" s="212"/>
      <c r="Q343" s="212"/>
    </row>
    <row r="344" spans="1:17" s="51" customFormat="1" ht="25.5" x14ac:dyDescent="0.2">
      <c r="A344" s="49"/>
      <c r="B344" s="204"/>
      <c r="C344" s="215">
        <v>1</v>
      </c>
      <c r="D344" s="215"/>
      <c r="E344" s="624" t="s">
        <v>520</v>
      </c>
      <c r="F344" s="2268">
        <v>6409.6</v>
      </c>
      <c r="G344" s="2283"/>
      <c r="H344" s="1632"/>
      <c r="I344" s="1633"/>
      <c r="J344" s="2283"/>
      <c r="K344" s="604" t="s">
        <v>521</v>
      </c>
      <c r="L344" s="212" t="s">
        <v>231</v>
      </c>
      <c r="M344" s="212">
        <v>5400</v>
      </c>
      <c r="N344" s="212">
        <v>5400</v>
      </c>
      <c r="O344" s="212">
        <v>5400</v>
      </c>
      <c r="P344" s="212">
        <v>5400</v>
      </c>
      <c r="Q344" s="212">
        <v>5400</v>
      </c>
    </row>
    <row r="345" spans="1:17" s="51" customFormat="1" ht="24.75" customHeight="1" x14ac:dyDescent="0.2">
      <c r="A345" s="49"/>
      <c r="B345" s="2270"/>
      <c r="C345" s="1736">
        <v>2</v>
      </c>
      <c r="D345" s="1736"/>
      <c r="E345" s="1845" t="s">
        <v>522</v>
      </c>
      <c r="F345" s="1918"/>
      <c r="G345" s="2284"/>
      <c r="H345" s="1634"/>
      <c r="I345" s="1634"/>
      <c r="J345" s="2284"/>
      <c r="K345" s="221" t="s">
        <v>2586</v>
      </c>
      <c r="L345" s="212" t="s">
        <v>16</v>
      </c>
      <c r="M345" s="212">
        <v>80</v>
      </c>
      <c r="N345" s="212">
        <v>100</v>
      </c>
      <c r="O345" s="212">
        <v>100</v>
      </c>
      <c r="P345" s="212">
        <v>100</v>
      </c>
      <c r="Q345" s="212">
        <v>100</v>
      </c>
    </row>
    <row r="346" spans="1:17" s="51" customFormat="1" ht="25.5" x14ac:dyDescent="0.2">
      <c r="A346" s="49"/>
      <c r="B346" s="2270"/>
      <c r="C346" s="1736"/>
      <c r="D346" s="1736"/>
      <c r="E346" s="1845"/>
      <c r="F346" s="1918"/>
      <c r="G346" s="2284"/>
      <c r="H346" s="1634"/>
      <c r="I346" s="1634"/>
      <c r="J346" s="2284"/>
      <c r="K346" s="222" t="s">
        <v>523</v>
      </c>
      <c r="L346" s="212" t="s">
        <v>16</v>
      </c>
      <c r="M346" s="212">
        <v>50</v>
      </c>
      <c r="N346" s="212">
        <v>100</v>
      </c>
      <c r="O346" s="212">
        <v>100</v>
      </c>
      <c r="P346" s="212">
        <v>100</v>
      </c>
      <c r="Q346" s="212">
        <v>100</v>
      </c>
    </row>
    <row r="347" spans="1:17" s="51" customFormat="1" ht="25.5" x14ac:dyDescent="0.2">
      <c r="A347" s="49"/>
      <c r="B347" s="2270"/>
      <c r="C347" s="1736">
        <v>3</v>
      </c>
      <c r="D347" s="1736"/>
      <c r="E347" s="1845" t="s">
        <v>2585</v>
      </c>
      <c r="F347" s="1918"/>
      <c r="G347" s="2284"/>
      <c r="H347" s="1634"/>
      <c r="I347" s="1634"/>
      <c r="J347" s="2284"/>
      <c r="K347" s="91" t="s">
        <v>524</v>
      </c>
      <c r="L347" s="212" t="s">
        <v>231</v>
      </c>
      <c r="M347" s="212">
        <v>1</v>
      </c>
      <c r="N347" s="212">
        <v>1</v>
      </c>
      <c r="O347" s="212">
        <v>1</v>
      </c>
      <c r="P347" s="212">
        <v>1</v>
      </c>
      <c r="Q347" s="212">
        <v>1</v>
      </c>
    </row>
    <row r="348" spans="1:17" s="51" customFormat="1" ht="25.5" x14ac:dyDescent="0.2">
      <c r="A348" s="49"/>
      <c r="B348" s="2270"/>
      <c r="C348" s="1736"/>
      <c r="D348" s="1736"/>
      <c r="E348" s="1845"/>
      <c r="F348" s="1918"/>
      <c r="G348" s="2284"/>
      <c r="H348" s="1634"/>
      <c r="I348" s="1634"/>
      <c r="J348" s="2284"/>
      <c r="K348" s="91" t="s">
        <v>525</v>
      </c>
      <c r="L348" s="212" t="s">
        <v>16</v>
      </c>
      <c r="M348" s="212">
        <v>100</v>
      </c>
      <c r="N348" s="212">
        <v>100</v>
      </c>
      <c r="O348" s="212">
        <v>100</v>
      </c>
      <c r="P348" s="212">
        <v>100</v>
      </c>
      <c r="Q348" s="212">
        <v>100</v>
      </c>
    </row>
    <row r="349" spans="1:17" s="51" customFormat="1" ht="38.25" x14ac:dyDescent="0.2">
      <c r="A349" s="49"/>
      <c r="B349" s="2270"/>
      <c r="C349" s="1736"/>
      <c r="D349" s="1736"/>
      <c r="E349" s="1845"/>
      <c r="F349" s="1918"/>
      <c r="G349" s="2284"/>
      <c r="H349" s="1634"/>
      <c r="I349" s="1634"/>
      <c r="J349" s="2284"/>
      <c r="K349" s="91" t="s">
        <v>526</v>
      </c>
      <c r="L349" s="212" t="s">
        <v>231</v>
      </c>
      <c r="M349" s="212">
        <v>15</v>
      </c>
      <c r="N349" s="212">
        <v>15</v>
      </c>
      <c r="O349" s="212">
        <v>15</v>
      </c>
      <c r="P349" s="212">
        <v>15</v>
      </c>
      <c r="Q349" s="212">
        <v>15</v>
      </c>
    </row>
    <row r="350" spans="1:17" s="51" customFormat="1" ht="38.25" x14ac:dyDescent="0.2">
      <c r="A350" s="49"/>
      <c r="B350" s="2270"/>
      <c r="C350" s="1736"/>
      <c r="D350" s="1736"/>
      <c r="E350" s="1845"/>
      <c r="F350" s="1918"/>
      <c r="G350" s="2284"/>
      <c r="H350" s="1634"/>
      <c r="I350" s="1634"/>
      <c r="J350" s="2284"/>
      <c r="K350" s="91" t="s">
        <v>527</v>
      </c>
      <c r="L350" s="212" t="s">
        <v>231</v>
      </c>
      <c r="M350" s="212">
        <v>8</v>
      </c>
      <c r="N350" s="212">
        <v>8</v>
      </c>
      <c r="O350" s="212">
        <v>8</v>
      </c>
      <c r="P350" s="212">
        <v>8</v>
      </c>
      <c r="Q350" s="212">
        <v>8</v>
      </c>
    </row>
    <row r="351" spans="1:17" s="51" customFormat="1" ht="25.5" x14ac:dyDescent="0.2">
      <c r="A351" s="49"/>
      <c r="B351" s="2270"/>
      <c r="C351" s="1736"/>
      <c r="D351" s="1736"/>
      <c r="E351" s="1845"/>
      <c r="F351" s="1918"/>
      <c r="G351" s="2284"/>
      <c r="H351" s="1634"/>
      <c r="I351" s="1634"/>
      <c r="J351" s="2284"/>
      <c r="K351" s="91" t="s">
        <v>528</v>
      </c>
      <c r="L351" s="212" t="s">
        <v>16</v>
      </c>
      <c r="M351" s="212">
        <v>100</v>
      </c>
      <c r="N351" s="212">
        <v>100</v>
      </c>
      <c r="O351" s="212">
        <v>100</v>
      </c>
      <c r="P351" s="212">
        <v>100</v>
      </c>
      <c r="Q351" s="212">
        <v>100</v>
      </c>
    </row>
    <row r="352" spans="1:17" s="51" customFormat="1" ht="25.5" x14ac:dyDescent="0.2">
      <c r="A352" s="49"/>
      <c r="B352" s="204"/>
      <c r="C352" s="215">
        <v>4</v>
      </c>
      <c r="D352" s="215"/>
      <c r="E352" s="604" t="s">
        <v>529</v>
      </c>
      <c r="F352" s="1919"/>
      <c r="G352" s="2285"/>
      <c r="H352" s="1635"/>
      <c r="I352" s="1635"/>
      <c r="J352" s="2285"/>
      <c r="K352" s="91" t="s">
        <v>530</v>
      </c>
      <c r="L352" s="212" t="s">
        <v>16</v>
      </c>
      <c r="M352" s="212">
        <v>100</v>
      </c>
      <c r="N352" s="212">
        <v>100</v>
      </c>
      <c r="O352" s="212">
        <v>100</v>
      </c>
      <c r="P352" s="212">
        <v>100</v>
      </c>
      <c r="Q352" s="212">
        <v>100</v>
      </c>
    </row>
    <row r="353" spans="1:17" s="51" customFormat="1" ht="12.75" x14ac:dyDescent="0.2">
      <c r="A353" s="49"/>
      <c r="B353" s="210"/>
      <c r="C353" s="223">
        <v>5</v>
      </c>
      <c r="D353" s="223"/>
      <c r="E353" s="40" t="s">
        <v>531</v>
      </c>
      <c r="F353" s="1340">
        <v>3915.6</v>
      </c>
      <c r="G353" s="1340"/>
      <c r="H353" s="1340"/>
      <c r="I353" s="1340"/>
      <c r="J353" s="1340"/>
      <c r="K353" s="586" t="s">
        <v>532</v>
      </c>
      <c r="L353" s="212" t="s">
        <v>231</v>
      </c>
      <c r="M353" s="212">
        <v>61600</v>
      </c>
      <c r="N353" s="212">
        <v>61650</v>
      </c>
      <c r="O353" s="212">
        <v>61650</v>
      </c>
      <c r="P353" s="212">
        <v>61650</v>
      </c>
      <c r="Q353" s="212">
        <v>61650</v>
      </c>
    </row>
    <row r="354" spans="1:17" s="51" customFormat="1" ht="38.25" x14ac:dyDescent="0.2">
      <c r="A354" s="49"/>
      <c r="B354" s="204">
        <v>7</v>
      </c>
      <c r="C354" s="215"/>
      <c r="D354" s="215"/>
      <c r="E354" s="207" t="s">
        <v>533</v>
      </c>
      <c r="F354" s="1340">
        <v>2561.6</v>
      </c>
      <c r="G354" s="1340">
        <v>84495.2</v>
      </c>
      <c r="H354" s="1340">
        <f>H355</f>
        <v>84756</v>
      </c>
      <c r="I354" s="1340">
        <v>84495.2</v>
      </c>
      <c r="J354" s="1340">
        <v>84495.2</v>
      </c>
      <c r="K354" s="93" t="s">
        <v>534</v>
      </c>
      <c r="L354" s="224"/>
      <c r="M354" s="224"/>
      <c r="N354" s="212"/>
      <c r="O354" s="212"/>
      <c r="P354" s="212"/>
      <c r="Q354" s="212"/>
    </row>
    <row r="355" spans="1:17" s="51" customFormat="1" ht="12.75" x14ac:dyDescent="0.2">
      <c r="A355" s="49"/>
      <c r="B355" s="204"/>
      <c r="C355" s="215">
        <v>1</v>
      </c>
      <c r="D355" s="215"/>
      <c r="E355" s="624" t="s">
        <v>535</v>
      </c>
      <c r="F355" s="1636">
        <v>2561.6</v>
      </c>
      <c r="G355" s="1340">
        <v>84495.2</v>
      </c>
      <c r="H355" s="1340">
        <v>84756</v>
      </c>
      <c r="I355" s="1340">
        <v>84495.2</v>
      </c>
      <c r="J355" s="1340">
        <v>84495.2</v>
      </c>
      <c r="K355" s="604" t="s">
        <v>536</v>
      </c>
      <c r="L355" s="212" t="s">
        <v>231</v>
      </c>
      <c r="M355" s="212">
        <v>6850</v>
      </c>
      <c r="N355" s="212">
        <v>6900</v>
      </c>
      <c r="O355" s="212">
        <v>6900</v>
      </c>
      <c r="P355" s="212">
        <v>6900</v>
      </c>
      <c r="Q355" s="212">
        <v>6900</v>
      </c>
    </row>
    <row r="356" spans="1:17" s="51" customFormat="1" ht="38.25" customHeight="1" x14ac:dyDescent="0.2">
      <c r="A356" s="49"/>
      <c r="B356" s="204">
        <v>8</v>
      </c>
      <c r="C356" s="215">
        <v>1</v>
      </c>
      <c r="D356" s="215"/>
      <c r="E356" s="604" t="s">
        <v>2744</v>
      </c>
      <c r="F356" s="1340">
        <v>27279.9</v>
      </c>
      <c r="G356" s="1340">
        <v>0</v>
      </c>
      <c r="H356" s="1340"/>
      <c r="I356" s="1340"/>
      <c r="J356" s="1340">
        <v>0</v>
      </c>
      <c r="K356" s="93" t="s">
        <v>537</v>
      </c>
      <c r="L356" s="212"/>
      <c r="M356" s="212"/>
      <c r="N356" s="212"/>
      <c r="O356" s="212"/>
      <c r="P356" s="212"/>
      <c r="Q356" s="212"/>
    </row>
    <row r="357" spans="1:17" s="51" customFormat="1" ht="12.75" x14ac:dyDescent="0.2">
      <c r="A357" s="49"/>
      <c r="B357" s="204"/>
      <c r="C357" s="215">
        <v>1</v>
      </c>
      <c r="D357" s="215"/>
      <c r="E357" s="624" t="s">
        <v>538</v>
      </c>
      <c r="F357" s="1339">
        <v>27279.9</v>
      </c>
      <c r="G357" s="1340"/>
      <c r="H357" s="1340"/>
      <c r="I357" s="1340"/>
      <c r="J357" s="1340"/>
      <c r="K357" s="604" t="s">
        <v>539</v>
      </c>
      <c r="L357" s="212" t="s">
        <v>16</v>
      </c>
      <c r="M357" s="212">
        <v>100</v>
      </c>
      <c r="N357" s="212">
        <v>100</v>
      </c>
      <c r="O357" s="212">
        <v>100</v>
      </c>
      <c r="P357" s="212">
        <v>100</v>
      </c>
      <c r="Q357" s="212">
        <v>100</v>
      </c>
    </row>
    <row r="358" spans="1:17" s="15" customFormat="1" ht="27" customHeight="1" x14ac:dyDescent="0.2">
      <c r="A358" s="2169" t="s">
        <v>68</v>
      </c>
      <c r="B358" s="2170"/>
      <c r="C358" s="2170"/>
      <c r="D358" s="2170"/>
      <c r="E358" s="2238"/>
      <c r="F358" s="1637">
        <v>190964.30000000002</v>
      </c>
      <c r="G358" s="1637">
        <v>312177.8</v>
      </c>
      <c r="H358" s="1637">
        <f>H354+H341+H330+H318</f>
        <v>360796.75100000005</v>
      </c>
      <c r="I358" s="1637">
        <f t="shared" ref="I358:J358" si="9">I354+I341+I330+I318</f>
        <v>313130</v>
      </c>
      <c r="J358" s="1637">
        <f t="shared" si="9"/>
        <v>315950.19999999995</v>
      </c>
      <c r="K358" s="584"/>
      <c r="L358" s="2269"/>
      <c r="M358" s="2269"/>
      <c r="N358" s="2269"/>
      <c r="O358" s="2269"/>
      <c r="P358" s="2269"/>
      <c r="Q358" s="2269"/>
    </row>
    <row r="359" spans="1:17" s="15" customFormat="1" ht="31.5" customHeight="1" thickBot="1" x14ac:dyDescent="0.25">
      <c r="A359" s="2276" t="s">
        <v>540</v>
      </c>
      <c r="B359" s="2277"/>
      <c r="C359" s="2277"/>
      <c r="D359" s="2277"/>
      <c r="E359" s="2277"/>
      <c r="F359" s="2277"/>
      <c r="G359" s="2277"/>
      <c r="H359" s="2277"/>
      <c r="I359" s="2277"/>
      <c r="J359" s="2277"/>
      <c r="K359" s="2277"/>
      <c r="L359" s="2277"/>
      <c r="M359" s="2277"/>
      <c r="N359" s="2277"/>
      <c r="O359" s="2277"/>
      <c r="P359" s="2277"/>
      <c r="Q359" s="2278"/>
    </row>
    <row r="360" spans="1:17" s="15" customFormat="1" ht="51.75" thickBot="1" x14ac:dyDescent="0.25">
      <c r="A360" s="607"/>
      <c r="B360" s="1306">
        <v>1</v>
      </c>
      <c r="C360" s="108"/>
      <c r="D360" s="108"/>
      <c r="E360" s="207" t="s">
        <v>487</v>
      </c>
      <c r="F360" s="1538"/>
      <c r="G360" s="1538"/>
      <c r="H360" s="1538"/>
      <c r="I360" s="1538"/>
      <c r="J360" s="1538"/>
      <c r="K360" s="108"/>
      <c r="L360" s="108"/>
      <c r="M360" s="108"/>
      <c r="N360" s="108"/>
      <c r="O360" s="108"/>
      <c r="P360" s="108"/>
      <c r="Q360" s="108"/>
    </row>
    <row r="361" spans="1:17" ht="25.5" x14ac:dyDescent="0.2">
      <c r="A361" s="225"/>
      <c r="B361" s="1306"/>
      <c r="C361" s="226"/>
      <c r="D361" s="226">
        <v>0</v>
      </c>
      <c r="E361" s="108" t="s">
        <v>2587</v>
      </c>
      <c r="F361" s="1591">
        <v>264039.8</v>
      </c>
      <c r="G361" s="1591">
        <v>452018.2</v>
      </c>
      <c r="H361" s="1591">
        <f>H362+H363+H364</f>
        <v>471858.20699999999</v>
      </c>
      <c r="I361" s="1591">
        <v>157354.13</v>
      </c>
      <c r="J361" s="1591">
        <v>159353.20000000001</v>
      </c>
      <c r="K361" s="218" t="s">
        <v>2588</v>
      </c>
      <c r="L361" s="227"/>
      <c r="M361" s="661"/>
      <c r="N361" s="661"/>
      <c r="O361" s="661"/>
      <c r="P361" s="662"/>
      <c r="Q361" s="661"/>
    </row>
    <row r="362" spans="1:17" ht="38.25" x14ac:dyDescent="0.2">
      <c r="A362" s="225"/>
      <c r="B362" s="1307"/>
      <c r="C362" s="228">
        <v>1</v>
      </c>
      <c r="D362" s="226">
        <v>0</v>
      </c>
      <c r="E362" s="108" t="s">
        <v>541</v>
      </c>
      <c r="F362" s="1591">
        <v>88013.3</v>
      </c>
      <c r="G362" s="1591">
        <v>150672.79999999999</v>
      </c>
      <c r="H362" s="1568">
        <f>155352+5000+232.625+34.778</f>
        <v>160619.40299999999</v>
      </c>
      <c r="I362" s="1591">
        <v>157354.13</v>
      </c>
      <c r="J362" s="1591">
        <v>159353.20000000001</v>
      </c>
      <c r="K362" s="108" t="s">
        <v>542</v>
      </c>
      <c r="L362" s="227" t="s">
        <v>16</v>
      </c>
      <c r="M362" s="229">
        <v>100</v>
      </c>
      <c r="N362" s="229">
        <v>100</v>
      </c>
      <c r="O362" s="229">
        <v>100</v>
      </c>
      <c r="P362" s="229">
        <v>100</v>
      </c>
      <c r="Q362" s="229">
        <v>100</v>
      </c>
    </row>
    <row r="363" spans="1:17" ht="51" x14ac:dyDescent="0.2">
      <c r="A363" s="225"/>
      <c r="B363" s="1307"/>
      <c r="C363" s="230">
        <v>2</v>
      </c>
      <c r="D363" s="226">
        <v>0</v>
      </c>
      <c r="E363" s="231" t="s">
        <v>543</v>
      </c>
      <c r="F363" s="1591">
        <v>88013.3</v>
      </c>
      <c r="G363" s="1340">
        <v>150672.70000000001</v>
      </c>
      <c r="H363" s="1591">
        <f>155352+232.625+34.778</f>
        <v>155619.40299999999</v>
      </c>
      <c r="I363" s="1591">
        <v>157351.53</v>
      </c>
      <c r="J363" s="1591">
        <v>159352</v>
      </c>
      <c r="K363" s="108" t="s">
        <v>543</v>
      </c>
      <c r="L363" s="227" t="s">
        <v>16</v>
      </c>
      <c r="M363" s="229">
        <v>100</v>
      </c>
      <c r="N363" s="229">
        <v>100</v>
      </c>
      <c r="O363" s="229">
        <v>100</v>
      </c>
      <c r="P363" s="229">
        <v>100</v>
      </c>
      <c r="Q363" s="229">
        <v>100</v>
      </c>
    </row>
    <row r="364" spans="1:17" ht="63.75" x14ac:dyDescent="0.2">
      <c r="A364" s="225"/>
      <c r="B364" s="1307"/>
      <c r="C364" s="230">
        <v>3</v>
      </c>
      <c r="D364" s="226">
        <v>0</v>
      </c>
      <c r="E364" s="108" t="s">
        <v>544</v>
      </c>
      <c r="F364" s="1591">
        <v>88013.2</v>
      </c>
      <c r="G364" s="1591">
        <v>150672.70000000001</v>
      </c>
      <c r="H364" s="1591">
        <f>155352+232.625+34.776</f>
        <v>155619.40100000001</v>
      </c>
      <c r="I364" s="1591">
        <v>157351.53</v>
      </c>
      <c r="J364" s="1591">
        <v>159352</v>
      </c>
      <c r="K364" s="108" t="s">
        <v>545</v>
      </c>
      <c r="L364" s="227" t="s">
        <v>16</v>
      </c>
      <c r="M364" s="229">
        <v>100</v>
      </c>
      <c r="N364" s="229">
        <v>100</v>
      </c>
      <c r="O364" s="229">
        <v>100</v>
      </c>
      <c r="P364" s="229">
        <v>100</v>
      </c>
      <c r="Q364" s="229">
        <v>100</v>
      </c>
    </row>
    <row r="365" spans="1:17" ht="53.25" customHeight="1" x14ac:dyDescent="0.2">
      <c r="A365" s="225"/>
      <c r="B365" s="1307">
        <v>2</v>
      </c>
      <c r="C365" s="230"/>
      <c r="D365" s="226">
        <v>0</v>
      </c>
      <c r="E365" s="218" t="s">
        <v>546</v>
      </c>
      <c r="F365" s="1591">
        <v>10797.9</v>
      </c>
      <c r="G365" s="1591">
        <v>57680.2</v>
      </c>
      <c r="H365" s="1591">
        <v>49895.7</v>
      </c>
      <c r="I365" s="1591">
        <v>47638.7</v>
      </c>
      <c r="J365" s="1591">
        <v>48767.199999999997</v>
      </c>
      <c r="K365" s="218" t="s">
        <v>546</v>
      </c>
      <c r="L365" s="232"/>
      <c r="M365" s="229"/>
      <c r="N365" s="229"/>
      <c r="O365" s="229"/>
      <c r="P365" s="229"/>
      <c r="Q365" s="229"/>
    </row>
    <row r="366" spans="1:17" ht="63.75" x14ac:dyDescent="0.2">
      <c r="A366" s="225"/>
      <c r="B366" s="1307"/>
      <c r="C366" s="230">
        <v>1</v>
      </c>
      <c r="D366" s="226">
        <v>0</v>
      </c>
      <c r="E366" s="108" t="s">
        <v>545</v>
      </c>
      <c r="F366" s="1591">
        <v>10797.9</v>
      </c>
      <c r="G366" s="1591">
        <v>57680.2</v>
      </c>
      <c r="H366" s="1591">
        <v>49895.7</v>
      </c>
      <c r="I366" s="1591">
        <v>47638.7</v>
      </c>
      <c r="J366" s="1591">
        <v>48767.199999999997</v>
      </c>
      <c r="K366" s="108" t="s">
        <v>547</v>
      </c>
      <c r="L366" s="232" t="s">
        <v>16</v>
      </c>
      <c r="M366" s="229">
        <v>100</v>
      </c>
      <c r="N366" s="229">
        <v>100</v>
      </c>
      <c r="O366" s="229">
        <v>100</v>
      </c>
      <c r="P366" s="229">
        <v>100</v>
      </c>
      <c r="Q366" s="229">
        <v>100</v>
      </c>
    </row>
    <row r="367" spans="1:17" ht="42.75" customHeight="1" x14ac:dyDescent="0.2">
      <c r="A367" s="225"/>
      <c r="B367" s="1307">
        <v>3</v>
      </c>
      <c r="C367" s="233"/>
      <c r="D367" s="226"/>
      <c r="E367" s="218" t="s">
        <v>548</v>
      </c>
      <c r="F367" s="1591">
        <v>1245477</v>
      </c>
      <c r="G367" s="1591">
        <v>1316909.1000000001</v>
      </c>
      <c r="H367" s="1591">
        <f>H368+H369</f>
        <v>1294402.8999999999</v>
      </c>
      <c r="I367" s="1591">
        <v>1143871.52</v>
      </c>
      <c r="J367" s="1591">
        <v>1154477.8999999999</v>
      </c>
      <c r="K367" s="218" t="s">
        <v>548</v>
      </c>
      <c r="L367" s="232"/>
      <c r="M367" s="229"/>
      <c r="N367" s="229"/>
      <c r="O367" s="229"/>
      <c r="P367" s="229"/>
      <c r="Q367" s="229"/>
    </row>
    <row r="368" spans="1:17" ht="63.75" x14ac:dyDescent="0.2">
      <c r="A368" s="225"/>
      <c r="B368" s="1307"/>
      <c r="C368" s="233">
        <v>1</v>
      </c>
      <c r="D368" s="226"/>
      <c r="E368" s="108" t="s">
        <v>549</v>
      </c>
      <c r="F368" s="1591">
        <v>622738.5</v>
      </c>
      <c r="G368" s="1591">
        <v>658454.70000000007</v>
      </c>
      <c r="H368" s="1591">
        <f>561542.45+28947.25+56711.75</f>
        <v>647201.44999999995</v>
      </c>
      <c r="I368" s="1591">
        <v>571935.75</v>
      </c>
      <c r="J368" s="1591">
        <v>577238.94999999995</v>
      </c>
      <c r="K368" s="108" t="s">
        <v>549</v>
      </c>
      <c r="L368" s="232" t="s">
        <v>16</v>
      </c>
      <c r="M368" s="229">
        <v>100</v>
      </c>
      <c r="N368" s="229">
        <v>100</v>
      </c>
      <c r="O368" s="229">
        <v>100</v>
      </c>
      <c r="P368" s="229">
        <v>100</v>
      </c>
      <c r="Q368" s="229">
        <v>100</v>
      </c>
    </row>
    <row r="369" spans="1:17" ht="38.25" x14ac:dyDescent="0.2">
      <c r="A369" s="225"/>
      <c r="B369" s="1307"/>
      <c r="C369" s="233">
        <v>2</v>
      </c>
      <c r="D369" s="226"/>
      <c r="E369" s="108" t="s">
        <v>550</v>
      </c>
      <c r="F369" s="1591">
        <v>622738.5</v>
      </c>
      <c r="G369" s="1591">
        <v>658454.4</v>
      </c>
      <c r="H369" s="1591">
        <f>561542.45+28947.25+56711.75</f>
        <v>647201.44999999995</v>
      </c>
      <c r="I369" s="1591">
        <v>571935.77</v>
      </c>
      <c r="J369" s="1591">
        <v>577238.94999999995</v>
      </c>
      <c r="K369" s="108" t="s">
        <v>550</v>
      </c>
      <c r="L369" s="227" t="s">
        <v>16</v>
      </c>
      <c r="M369" s="229">
        <v>100</v>
      </c>
      <c r="N369" s="229">
        <v>100</v>
      </c>
      <c r="O369" s="229">
        <v>100</v>
      </c>
      <c r="P369" s="229">
        <v>100</v>
      </c>
      <c r="Q369" s="229">
        <v>100</v>
      </c>
    </row>
    <row r="370" spans="1:17" ht="38.25" x14ac:dyDescent="0.2">
      <c r="A370" s="225"/>
      <c r="B370" s="1307">
        <v>4</v>
      </c>
      <c r="C370" s="228"/>
      <c r="D370" s="234"/>
      <c r="E370" s="218" t="s">
        <v>551</v>
      </c>
      <c r="F370" s="1591">
        <v>24999.1</v>
      </c>
      <c r="G370" s="1591">
        <v>28637.599999999999</v>
      </c>
      <c r="H370" s="1591">
        <v>28893.599999999999</v>
      </c>
      <c r="I370" s="1591">
        <v>29593.599999999999</v>
      </c>
      <c r="J370" s="1591">
        <v>29593.599999999999</v>
      </c>
      <c r="K370" s="218" t="s">
        <v>551</v>
      </c>
      <c r="L370" s="227"/>
      <c r="M370" s="229"/>
      <c r="N370" s="229"/>
      <c r="O370" s="229"/>
      <c r="P370" s="229"/>
      <c r="Q370" s="229"/>
    </row>
    <row r="371" spans="1:17" ht="25.5" x14ac:dyDescent="0.2">
      <c r="A371" s="225"/>
      <c r="B371" s="235"/>
      <c r="C371" s="235" t="s">
        <v>114</v>
      </c>
      <c r="D371" s="236"/>
      <c r="E371" s="108" t="s">
        <v>552</v>
      </c>
      <c r="F371" s="1591">
        <v>24999.1</v>
      </c>
      <c r="G371" s="1591">
        <v>28637.599999999999</v>
      </c>
      <c r="H371" s="1591">
        <v>28893.599999999999</v>
      </c>
      <c r="I371" s="1591">
        <v>29593.599999999999</v>
      </c>
      <c r="J371" s="1591">
        <v>29593.599999999999</v>
      </c>
      <c r="K371" s="108" t="s">
        <v>552</v>
      </c>
      <c r="L371" s="232" t="s">
        <v>16</v>
      </c>
      <c r="M371" s="237">
        <v>100</v>
      </c>
      <c r="N371" s="237">
        <v>100</v>
      </c>
      <c r="O371" s="237">
        <v>100</v>
      </c>
      <c r="P371" s="237">
        <v>100</v>
      </c>
      <c r="Q371" s="237">
        <v>100</v>
      </c>
    </row>
    <row r="372" spans="1:17" ht="13.5" thickBot="1" x14ac:dyDescent="0.25">
      <c r="A372" s="225"/>
      <c r="B372" s="235"/>
      <c r="C372" s="235"/>
      <c r="D372" s="235"/>
      <c r="E372" s="238"/>
      <c r="F372" s="1342"/>
      <c r="G372" s="1340"/>
      <c r="H372" s="1568"/>
      <c r="I372" s="1568"/>
      <c r="J372" s="1568"/>
      <c r="K372" s="239"/>
      <c r="L372" s="195"/>
      <c r="M372" s="195"/>
      <c r="N372" s="202"/>
      <c r="O372" s="202"/>
      <c r="P372" s="202"/>
      <c r="Q372" s="202"/>
    </row>
    <row r="373" spans="1:17" s="15" customFormat="1" ht="30.75" customHeight="1" x14ac:dyDescent="0.2">
      <c r="A373" s="240"/>
      <c r="B373" s="2279" t="s">
        <v>68</v>
      </c>
      <c r="C373" s="2280"/>
      <c r="D373" s="2280"/>
      <c r="E373" s="2281"/>
      <c r="F373" s="1583">
        <v>1545313.8</v>
      </c>
      <c r="G373" s="1583">
        <v>1855245.1</v>
      </c>
      <c r="H373" s="1583">
        <v>1845051.6070000001</v>
      </c>
      <c r="I373" s="1583">
        <v>1693161.0100000002</v>
      </c>
      <c r="J373" s="1583">
        <v>1710895.9</v>
      </c>
      <c r="K373" s="65"/>
      <c r="L373" s="2282"/>
      <c r="M373" s="2282"/>
      <c r="N373" s="2282"/>
      <c r="O373" s="2282"/>
      <c r="P373" s="2282"/>
      <c r="Q373" s="2282"/>
    </row>
    <row r="374" spans="1:17" s="15" customFormat="1" ht="27" customHeight="1" x14ac:dyDescent="0.2">
      <c r="A374" s="1881" t="s">
        <v>553</v>
      </c>
      <c r="B374" s="1881"/>
      <c r="C374" s="1881"/>
      <c r="D374" s="1881"/>
      <c r="E374" s="1881"/>
      <c r="F374" s="1881"/>
      <c r="G374" s="1881"/>
      <c r="H374" s="1881"/>
      <c r="I374" s="1881"/>
      <c r="J374" s="1881"/>
      <c r="K374" s="1881"/>
      <c r="L374" s="1881"/>
      <c r="M374" s="1881"/>
      <c r="N374" s="1881"/>
      <c r="O374" s="1881"/>
      <c r="P374" s="1881"/>
      <c r="Q374" s="1881"/>
    </row>
    <row r="375" spans="1:17" s="20" customFormat="1" ht="12.75" x14ac:dyDescent="0.2">
      <c r="A375" s="241"/>
      <c r="B375" s="242">
        <v>1</v>
      </c>
      <c r="C375" s="207"/>
      <c r="D375" s="207"/>
      <c r="E375" s="207" t="s">
        <v>554</v>
      </c>
      <c r="F375" s="1339">
        <f t="shared" ref="F375:G375" si="10">SUM(F376:F381)</f>
        <v>1038222.2000000001</v>
      </c>
      <c r="G375" s="1339">
        <f t="shared" si="10"/>
        <v>1086458.8</v>
      </c>
      <c r="H375" s="1567">
        <f>H376+H377+H378+H379+H380+H381</f>
        <v>1488867.2</v>
      </c>
      <c r="I375" s="1567"/>
      <c r="J375" s="1567"/>
      <c r="K375" s="244"/>
      <c r="L375" s="243"/>
      <c r="M375" s="243"/>
      <c r="N375" s="243"/>
      <c r="O375" s="243"/>
      <c r="P375" s="243"/>
      <c r="Q375" s="243"/>
    </row>
    <row r="376" spans="1:17" s="20" customFormat="1" ht="12.75" x14ac:dyDescent="0.2">
      <c r="A376" s="241"/>
      <c r="B376" s="242"/>
      <c r="C376" s="668" t="s">
        <v>114</v>
      </c>
      <c r="D376" s="624"/>
      <c r="E376" s="624" t="s">
        <v>555</v>
      </c>
      <c r="F376" s="1339">
        <v>440000</v>
      </c>
      <c r="G376" s="1339">
        <v>450000</v>
      </c>
      <c r="H376" s="1567">
        <v>500000</v>
      </c>
      <c r="I376" s="1567"/>
      <c r="J376" s="1567"/>
      <c r="K376" s="244"/>
      <c r="L376" s="243"/>
      <c r="M376" s="243"/>
      <c r="N376" s="243"/>
      <c r="O376" s="243"/>
      <c r="P376" s="243"/>
      <c r="Q376" s="243"/>
    </row>
    <row r="377" spans="1:17" s="20" customFormat="1" ht="12.75" x14ac:dyDescent="0.2">
      <c r="A377" s="241"/>
      <c r="B377" s="242"/>
      <c r="C377" s="668" t="s">
        <v>116</v>
      </c>
      <c r="D377" s="624"/>
      <c r="E377" s="245" t="s">
        <v>556</v>
      </c>
      <c r="F377" s="1339">
        <v>283767.40000000002</v>
      </c>
      <c r="G377" s="1339">
        <v>244540.9</v>
      </c>
      <c r="H377" s="1567">
        <v>515066</v>
      </c>
      <c r="I377" s="1567"/>
      <c r="J377" s="1567"/>
      <c r="K377" s="244"/>
      <c r="L377" s="243"/>
      <c r="M377" s="243"/>
      <c r="N377" s="243"/>
      <c r="O377" s="243"/>
      <c r="P377" s="243"/>
      <c r="Q377" s="243"/>
    </row>
    <row r="378" spans="1:17" s="20" customFormat="1" ht="12.75" x14ac:dyDescent="0.2">
      <c r="A378" s="241"/>
      <c r="B378" s="242"/>
      <c r="C378" s="668" t="s">
        <v>119</v>
      </c>
      <c r="D378" s="624"/>
      <c r="E378" s="245" t="s">
        <v>557</v>
      </c>
      <c r="F378" s="1339">
        <v>98454.8</v>
      </c>
      <c r="G378" s="1339">
        <v>175917.9</v>
      </c>
      <c r="H378" s="1567">
        <v>177401.2</v>
      </c>
      <c r="I378" s="1567"/>
      <c r="J378" s="1567"/>
      <c r="K378" s="244"/>
      <c r="L378" s="243"/>
      <c r="M378" s="243"/>
      <c r="N378" s="243"/>
      <c r="O378" s="243"/>
      <c r="P378" s="243"/>
      <c r="Q378" s="243"/>
    </row>
    <row r="379" spans="1:17" s="20" customFormat="1" ht="25.5" x14ac:dyDescent="0.2">
      <c r="A379" s="241"/>
      <c r="B379" s="242"/>
      <c r="C379" s="668" t="s">
        <v>124</v>
      </c>
      <c r="D379" s="624"/>
      <c r="E379" s="245" t="s">
        <v>558</v>
      </c>
      <c r="F379" s="1339">
        <v>30000</v>
      </c>
      <c r="G379" s="1339">
        <v>30000</v>
      </c>
      <c r="H379" s="1567">
        <v>30000</v>
      </c>
      <c r="I379" s="1567"/>
      <c r="J379" s="1567"/>
      <c r="K379" s="244"/>
      <c r="L379" s="243"/>
      <c r="M379" s="243"/>
      <c r="N379" s="243"/>
      <c r="O379" s="243"/>
      <c r="P379" s="243"/>
      <c r="Q379" s="243"/>
    </row>
    <row r="380" spans="1:17" s="20" customFormat="1" ht="12.75" x14ac:dyDescent="0.2">
      <c r="A380" s="241"/>
      <c r="B380" s="207"/>
      <c r="C380" s="668" t="s">
        <v>128</v>
      </c>
      <c r="D380" s="624"/>
      <c r="E380" s="245" t="s">
        <v>559</v>
      </c>
      <c r="F380" s="1339">
        <v>30000</v>
      </c>
      <c r="G380" s="1339">
        <v>30000</v>
      </c>
      <c r="H380" s="1567">
        <v>30000</v>
      </c>
      <c r="I380" s="1567"/>
      <c r="J380" s="1567"/>
      <c r="K380" s="244"/>
      <c r="L380" s="243"/>
      <c r="M380" s="243"/>
      <c r="N380" s="243"/>
      <c r="O380" s="243"/>
      <c r="P380" s="243"/>
      <c r="Q380" s="243"/>
    </row>
    <row r="381" spans="1:17" s="20" customFormat="1" ht="25.5" x14ac:dyDescent="0.2">
      <c r="A381" s="241"/>
      <c r="B381" s="207"/>
      <c r="C381" s="668" t="s">
        <v>202</v>
      </c>
      <c r="D381" s="624"/>
      <c r="E381" s="245" t="s">
        <v>560</v>
      </c>
      <c r="F381" s="1339">
        <v>156000</v>
      </c>
      <c r="G381" s="1339">
        <v>156000</v>
      </c>
      <c r="H381" s="1567">
        <v>236400</v>
      </c>
      <c r="I381" s="1567"/>
      <c r="J381" s="1567"/>
      <c r="K381" s="244"/>
      <c r="L381" s="243"/>
      <c r="M381" s="243"/>
      <c r="N381" s="243"/>
      <c r="O381" s="243"/>
      <c r="P381" s="243"/>
      <c r="Q381" s="243"/>
    </row>
    <row r="382" spans="1:17" s="120" customFormat="1" ht="36" customHeight="1" x14ac:dyDescent="0.2">
      <c r="A382" s="605"/>
      <c r="B382" s="2271" t="s">
        <v>68</v>
      </c>
      <c r="C382" s="2272"/>
      <c r="D382" s="2272"/>
      <c r="E382" s="2273"/>
      <c r="F382" s="1610">
        <f>F375</f>
        <v>1038222.2000000001</v>
      </c>
      <c r="G382" s="1610">
        <f t="shared" ref="G382:H382" si="11">G375</f>
        <v>1086458.8</v>
      </c>
      <c r="H382" s="1610">
        <f t="shared" si="11"/>
        <v>1488867.2</v>
      </c>
      <c r="I382" s="1610"/>
      <c r="J382" s="1610"/>
      <c r="K382" s="246"/>
      <c r="L382" s="247"/>
      <c r="M382" s="247"/>
      <c r="N382" s="247"/>
      <c r="O382" s="247"/>
      <c r="P382" s="247"/>
      <c r="Q382" s="248"/>
    </row>
    <row r="383" spans="1:17" s="120" customFormat="1" ht="33" customHeight="1" x14ac:dyDescent="0.2">
      <c r="A383" s="1912" t="s">
        <v>561</v>
      </c>
      <c r="B383" s="1913"/>
      <c r="C383" s="1913"/>
      <c r="D383" s="1913"/>
      <c r="E383" s="1913"/>
      <c r="F383" s="1913"/>
      <c r="G383" s="1913"/>
      <c r="H383" s="1913"/>
      <c r="I383" s="1913"/>
      <c r="J383" s="1913"/>
      <c r="K383" s="1913"/>
      <c r="L383" s="1913"/>
      <c r="M383" s="1913"/>
      <c r="N383" s="1913"/>
      <c r="O383" s="1913"/>
      <c r="P383" s="1913"/>
      <c r="Q383" s="2224"/>
    </row>
    <row r="384" spans="1:17" s="20" customFormat="1" ht="51" x14ac:dyDescent="0.2">
      <c r="A384" s="125"/>
      <c r="B384" s="775">
        <v>1</v>
      </c>
      <c r="C384" s="776"/>
      <c r="D384" s="777"/>
      <c r="E384" s="160" t="s">
        <v>2514</v>
      </c>
      <c r="F384" s="1561">
        <f>SUM(F385:F392)</f>
        <v>144696.6</v>
      </c>
      <c r="G384" s="1561">
        <f>SUM(G385:G392)</f>
        <v>154681.79999999999</v>
      </c>
      <c r="H384" s="1561">
        <f>SUM(H385:H392)</f>
        <v>144505.80000000002</v>
      </c>
      <c r="I384" s="1561">
        <f>SUM(I385:I392)</f>
        <v>146835.20000000001</v>
      </c>
      <c r="J384" s="1561">
        <f>SUM(J385:J392)</f>
        <v>148074.29999999999</v>
      </c>
      <c r="K384" s="697" t="s">
        <v>562</v>
      </c>
      <c r="L384" s="778"/>
      <c r="M384" s="779"/>
      <c r="N384" s="779"/>
      <c r="O384" s="779"/>
      <c r="P384" s="779"/>
      <c r="Q384" s="779"/>
    </row>
    <row r="385" spans="1:17" s="20" customFormat="1" ht="12.75" x14ac:dyDescent="0.2">
      <c r="A385" s="125"/>
      <c r="B385" s="780"/>
      <c r="C385" s="502">
        <v>1</v>
      </c>
      <c r="D385" s="777"/>
      <c r="E385" s="586" t="s">
        <v>563</v>
      </c>
      <c r="F385" s="1597">
        <v>3536.9</v>
      </c>
      <c r="G385" s="1547">
        <v>8578.7999999999993</v>
      </c>
      <c r="H385" s="1547">
        <f>6368.8+69.1+10.3</f>
        <v>6448.2000000000007</v>
      </c>
      <c r="I385" s="1547">
        <v>6490.9</v>
      </c>
      <c r="J385" s="1547">
        <v>6553.3</v>
      </c>
      <c r="K385" s="432" t="s">
        <v>564</v>
      </c>
      <c r="L385" s="781"/>
      <c r="M385" s="781"/>
      <c r="N385" s="781"/>
      <c r="O385" s="781"/>
      <c r="P385" s="782"/>
      <c r="Q385" s="782"/>
    </row>
    <row r="386" spans="1:17" s="20" customFormat="1" ht="12.75" x14ac:dyDescent="0.2">
      <c r="A386" s="125"/>
      <c r="B386" s="783"/>
      <c r="C386" s="502">
        <v>2</v>
      </c>
      <c r="D386" s="779"/>
      <c r="E386" s="697" t="s">
        <v>565</v>
      </c>
      <c r="F386" s="1547">
        <v>4244.2</v>
      </c>
      <c r="G386" s="1547">
        <v>3655</v>
      </c>
      <c r="H386" s="1547">
        <f>3655+17.2+2.5</f>
        <v>3674.7</v>
      </c>
      <c r="I386" s="1547">
        <v>3725</v>
      </c>
      <c r="J386" s="1547">
        <v>3760.5</v>
      </c>
      <c r="K386" s="432" t="s">
        <v>566</v>
      </c>
      <c r="L386" s="691" t="s">
        <v>16</v>
      </c>
      <c r="M386" s="628">
        <v>99</v>
      </c>
      <c r="N386" s="628">
        <v>99</v>
      </c>
      <c r="O386" s="628">
        <v>99</v>
      </c>
      <c r="P386" s="628">
        <v>99</v>
      </c>
      <c r="Q386" s="628">
        <v>99</v>
      </c>
    </row>
    <row r="387" spans="1:17" s="20" customFormat="1" ht="25.5" x14ac:dyDescent="0.2">
      <c r="A387" s="125"/>
      <c r="B387" s="783"/>
      <c r="C387" s="502">
        <v>3</v>
      </c>
      <c r="D387" s="779"/>
      <c r="E387" s="697" t="s">
        <v>117</v>
      </c>
      <c r="F387" s="1547">
        <v>4244.2</v>
      </c>
      <c r="G387" s="1547">
        <v>3608.4</v>
      </c>
      <c r="H387" s="1547">
        <f>3598.4+8.7+1.4</f>
        <v>3608.5</v>
      </c>
      <c r="I387" s="1547">
        <v>3667.3</v>
      </c>
      <c r="J387" s="1547">
        <v>3702.3</v>
      </c>
      <c r="K387" s="432" t="s">
        <v>567</v>
      </c>
      <c r="L387" s="691" t="s">
        <v>16</v>
      </c>
      <c r="M387" s="628">
        <v>90</v>
      </c>
      <c r="N387" s="628">
        <v>91</v>
      </c>
      <c r="O387" s="628">
        <v>90</v>
      </c>
      <c r="P387" s="628">
        <v>90</v>
      </c>
      <c r="Q387" s="628">
        <v>90</v>
      </c>
    </row>
    <row r="388" spans="1:17" s="20" customFormat="1" ht="12.75" x14ac:dyDescent="0.2">
      <c r="A388" s="125"/>
      <c r="B388" s="783"/>
      <c r="C388" s="502">
        <v>4</v>
      </c>
      <c r="D388" s="779"/>
      <c r="E388" s="697" t="s">
        <v>461</v>
      </c>
      <c r="F388" s="1547">
        <v>6366.3</v>
      </c>
      <c r="G388" s="1547">
        <v>5207</v>
      </c>
      <c r="H388" s="1547">
        <v>5107</v>
      </c>
      <c r="I388" s="1547">
        <v>5204.7</v>
      </c>
      <c r="J388" s="1547">
        <v>5254.4</v>
      </c>
      <c r="K388" s="432" t="s">
        <v>568</v>
      </c>
      <c r="L388" s="691" t="s">
        <v>16</v>
      </c>
      <c r="M388" s="628">
        <v>95</v>
      </c>
      <c r="N388" s="628">
        <v>95</v>
      </c>
      <c r="O388" s="628">
        <v>95</v>
      </c>
      <c r="P388" s="628">
        <v>95</v>
      </c>
      <c r="Q388" s="628">
        <v>95</v>
      </c>
    </row>
    <row r="389" spans="1:17" s="20" customFormat="1" ht="25.5" x14ac:dyDescent="0.2">
      <c r="A389" s="125"/>
      <c r="B389" s="783"/>
      <c r="C389" s="502">
        <v>5</v>
      </c>
      <c r="D389" s="779"/>
      <c r="E389" s="697" t="s">
        <v>569</v>
      </c>
      <c r="F389" s="1547">
        <v>1414.7</v>
      </c>
      <c r="G389" s="1547">
        <v>1130</v>
      </c>
      <c r="H389" s="1547">
        <v>1080</v>
      </c>
      <c r="I389" s="1547">
        <v>1100.7</v>
      </c>
      <c r="J389" s="1547">
        <v>1111.2</v>
      </c>
      <c r="K389" s="432" t="s">
        <v>570</v>
      </c>
      <c r="L389" s="784"/>
      <c r="M389" s="628">
        <v>1450</v>
      </c>
      <c r="N389" s="628">
        <v>1450</v>
      </c>
      <c r="O389" s="628">
        <v>1450</v>
      </c>
      <c r="P389" s="628">
        <v>1500</v>
      </c>
      <c r="Q389" s="628">
        <v>1500</v>
      </c>
    </row>
    <row r="390" spans="1:17" s="20" customFormat="1" ht="25.5" x14ac:dyDescent="0.2">
      <c r="A390" s="125"/>
      <c r="B390" s="2274"/>
      <c r="C390" s="692">
        <v>6</v>
      </c>
      <c r="D390" s="785"/>
      <c r="E390" s="2163" t="s">
        <v>571</v>
      </c>
      <c r="F390" s="1787">
        <v>105258.3</v>
      </c>
      <c r="G390" s="1597">
        <v>112870.6</v>
      </c>
      <c r="H390" s="1597">
        <v>104989.3</v>
      </c>
      <c r="I390" s="1597">
        <v>106998.8</v>
      </c>
      <c r="J390" s="1597">
        <v>108019.5</v>
      </c>
      <c r="K390" s="432" t="s">
        <v>572</v>
      </c>
      <c r="L390" s="781" t="s">
        <v>16</v>
      </c>
      <c r="M390" s="782">
        <v>16.842105263157894</v>
      </c>
      <c r="N390" s="782">
        <v>16.842105263157894</v>
      </c>
      <c r="O390" s="782">
        <f>71/285*100</f>
        <v>24.912280701754387</v>
      </c>
      <c r="P390" s="782">
        <f t="shared" ref="P390:Q390" si="12">71/285*100</f>
        <v>24.912280701754387</v>
      </c>
      <c r="Q390" s="782">
        <f t="shared" si="12"/>
        <v>24.912280701754387</v>
      </c>
    </row>
    <row r="391" spans="1:17" s="20" customFormat="1" ht="12.75" x14ac:dyDescent="0.2">
      <c r="A391" s="125"/>
      <c r="B391" s="2275"/>
      <c r="C391" s="694"/>
      <c r="D391" s="786"/>
      <c r="E391" s="2163"/>
      <c r="F391" s="1789"/>
      <c r="G391" s="1552"/>
      <c r="H391" s="1552"/>
      <c r="I391" s="1552"/>
      <c r="J391" s="1552"/>
      <c r="K391" s="432"/>
      <c r="L391" s="787"/>
      <c r="M391" s="788">
        <v>20.714285714285715</v>
      </c>
      <c r="N391" s="788">
        <v>20.714285714285715</v>
      </c>
      <c r="O391" s="788">
        <f>145/700*100</f>
        <v>20.714285714285715</v>
      </c>
      <c r="P391" s="788">
        <f t="shared" ref="P391:Q391" si="13">145/700*100</f>
        <v>20.714285714285715</v>
      </c>
      <c r="Q391" s="788">
        <f t="shared" si="13"/>
        <v>20.714285714285715</v>
      </c>
    </row>
    <row r="392" spans="1:17" s="20" customFormat="1" ht="51" x14ac:dyDescent="0.2">
      <c r="A392" s="125"/>
      <c r="B392" s="783"/>
      <c r="C392" s="502">
        <v>15</v>
      </c>
      <c r="D392" s="779"/>
      <c r="E392" s="604" t="s">
        <v>573</v>
      </c>
      <c r="F392" s="1537">
        <v>19632</v>
      </c>
      <c r="G392" s="1568">
        <v>19632</v>
      </c>
      <c r="H392" s="1568">
        <f>2598.1+17000</f>
        <v>19598.099999999999</v>
      </c>
      <c r="I392" s="1568">
        <f>2647.8+17000</f>
        <v>19647.8</v>
      </c>
      <c r="J392" s="1568">
        <f>2673.1+17000</f>
        <v>19673.099999999999</v>
      </c>
      <c r="K392" s="697" t="s">
        <v>574</v>
      </c>
      <c r="L392" s="691" t="s">
        <v>575</v>
      </c>
      <c r="M392" s="471">
        <v>4950</v>
      </c>
      <c r="N392" s="471">
        <v>5000</v>
      </c>
      <c r="O392" s="471">
        <v>5050</v>
      </c>
      <c r="P392" s="471">
        <v>5100</v>
      </c>
      <c r="Q392" s="436">
        <v>5150</v>
      </c>
    </row>
    <row r="393" spans="1:17" s="20" customFormat="1" ht="38.25" x14ac:dyDescent="0.2">
      <c r="A393" s="125"/>
      <c r="B393" s="2286">
        <v>2</v>
      </c>
      <c r="C393" s="2296"/>
      <c r="D393" s="2297"/>
      <c r="E393" s="1884" t="s">
        <v>2515</v>
      </c>
      <c r="F393" s="2298">
        <f>F395+F399+F400+F401</f>
        <v>63663.4</v>
      </c>
      <c r="G393" s="1638">
        <f>G395+G399+G400+G401</f>
        <v>55518</v>
      </c>
      <c r="H393" s="1638">
        <f>H395+H399+H400+H401</f>
        <v>51107</v>
      </c>
      <c r="I393" s="1638">
        <f>I395+I399+I400+I401</f>
        <v>52085.2</v>
      </c>
      <c r="J393" s="1638">
        <f>J395+J399+J400+J401</f>
        <v>52582</v>
      </c>
      <c r="K393" s="697" t="s">
        <v>576</v>
      </c>
      <c r="L393" s="22"/>
      <c r="M393" s="22" t="s">
        <v>577</v>
      </c>
      <c r="N393" s="22" t="s">
        <v>577</v>
      </c>
      <c r="O393" s="22" t="s">
        <v>578</v>
      </c>
      <c r="P393" s="22" t="s">
        <v>577</v>
      </c>
      <c r="Q393" s="22" t="s">
        <v>578</v>
      </c>
    </row>
    <row r="394" spans="1:17" s="20" customFormat="1" ht="71.25" customHeight="1" x14ac:dyDescent="0.2">
      <c r="A394" s="125"/>
      <c r="B394" s="2287"/>
      <c r="C394" s="2296"/>
      <c r="D394" s="2297"/>
      <c r="E394" s="1884"/>
      <c r="F394" s="2123"/>
      <c r="G394" s="1573"/>
      <c r="H394" s="1573"/>
      <c r="I394" s="1573"/>
      <c r="J394" s="1573"/>
      <c r="K394" s="697"/>
      <c r="L394" s="22"/>
      <c r="M394" s="415"/>
      <c r="N394" s="415"/>
      <c r="O394" s="415"/>
      <c r="P394" s="415"/>
      <c r="Q394" s="415"/>
    </row>
    <row r="395" spans="1:17" s="20" customFormat="1" ht="25.5" x14ac:dyDescent="0.2">
      <c r="A395" s="125"/>
      <c r="B395" s="789"/>
      <c r="C395" s="790">
        <v>1</v>
      </c>
      <c r="D395" s="791"/>
      <c r="E395" s="604" t="s">
        <v>579</v>
      </c>
      <c r="F395" s="2243">
        <f>38198+0.1</f>
        <v>38198.1</v>
      </c>
      <c r="G395" s="1597">
        <v>33037.300000000003</v>
      </c>
      <c r="H395" s="1597">
        <v>31630</v>
      </c>
      <c r="I395" s="1597">
        <v>32235.4</v>
      </c>
      <c r="J395" s="1597">
        <v>32542.9</v>
      </c>
      <c r="K395" s="586" t="s">
        <v>580</v>
      </c>
      <c r="L395" s="410" t="s">
        <v>16</v>
      </c>
      <c r="M395" s="591" t="s">
        <v>581</v>
      </c>
      <c r="N395" s="396">
        <v>1</v>
      </c>
      <c r="O395" s="396">
        <v>1</v>
      </c>
      <c r="P395" s="396">
        <v>1</v>
      </c>
      <c r="Q395" s="396">
        <v>1</v>
      </c>
    </row>
    <row r="396" spans="1:17" s="20" customFormat="1" ht="12.75" x14ac:dyDescent="0.2">
      <c r="A396" s="125"/>
      <c r="B396" s="789"/>
      <c r="C396" s="692">
        <v>2</v>
      </c>
      <c r="D396" s="792"/>
      <c r="E396" s="604" t="s">
        <v>582</v>
      </c>
      <c r="F396" s="1869"/>
      <c r="G396" s="1581"/>
      <c r="H396" s="1581"/>
      <c r="I396" s="1581"/>
      <c r="J396" s="1581"/>
      <c r="K396" s="697" t="s">
        <v>583</v>
      </c>
      <c r="L396" s="599" t="s">
        <v>16</v>
      </c>
      <c r="M396" s="599">
        <v>54</v>
      </c>
      <c r="N396" s="599">
        <v>54</v>
      </c>
      <c r="O396" s="599">
        <v>54</v>
      </c>
      <c r="P396" s="599">
        <v>54</v>
      </c>
      <c r="Q396" s="599">
        <v>54</v>
      </c>
    </row>
    <row r="397" spans="1:17" s="20" customFormat="1" ht="38.25" x14ac:dyDescent="0.2">
      <c r="A397" s="125"/>
      <c r="B397" s="2286"/>
      <c r="C397" s="2292">
        <v>3</v>
      </c>
      <c r="D397" s="2294"/>
      <c r="E397" s="2163" t="s">
        <v>584</v>
      </c>
      <c r="F397" s="1869"/>
      <c r="G397" s="1581"/>
      <c r="H397" s="1581"/>
      <c r="I397" s="1581"/>
      <c r="J397" s="1581"/>
      <c r="K397" s="586" t="s">
        <v>585</v>
      </c>
      <c r="L397" s="410"/>
      <c r="M397" s="22" t="s">
        <v>577</v>
      </c>
      <c r="N397" s="22" t="s">
        <v>577</v>
      </c>
      <c r="O397" s="22" t="s">
        <v>578</v>
      </c>
      <c r="P397" s="22" t="s">
        <v>577</v>
      </c>
      <c r="Q397" s="22" t="s">
        <v>578</v>
      </c>
    </row>
    <row r="398" spans="1:17" s="20" customFormat="1" ht="51" x14ac:dyDescent="0.2">
      <c r="A398" s="125"/>
      <c r="B398" s="2287"/>
      <c r="C398" s="2293"/>
      <c r="D398" s="2295"/>
      <c r="E398" s="2163"/>
      <c r="F398" s="1870"/>
      <c r="G398" s="1552"/>
      <c r="H398" s="1552"/>
      <c r="I398" s="1552"/>
      <c r="J398" s="1552"/>
      <c r="K398" s="586" t="s">
        <v>586</v>
      </c>
      <c r="L398" s="410" t="s">
        <v>587</v>
      </c>
      <c r="M398" s="22">
        <v>20</v>
      </c>
      <c r="N398" s="22">
        <v>20</v>
      </c>
      <c r="O398" s="22">
        <v>20</v>
      </c>
      <c r="P398" s="22">
        <v>20</v>
      </c>
      <c r="Q398" s="22">
        <v>20</v>
      </c>
    </row>
    <row r="399" spans="1:17" s="20" customFormat="1" ht="12.75" x14ac:dyDescent="0.2">
      <c r="A399" s="125"/>
      <c r="B399" s="789"/>
      <c r="C399" s="502">
        <v>4</v>
      </c>
      <c r="D399" s="777"/>
      <c r="E399" s="604" t="s">
        <v>588</v>
      </c>
      <c r="F399" s="1597">
        <v>11317.9</v>
      </c>
      <c r="G399" s="1639">
        <v>9999.2000000000007</v>
      </c>
      <c r="H399" s="1639">
        <v>8358.1</v>
      </c>
      <c r="I399" s="1639">
        <v>8518.1</v>
      </c>
      <c r="J399" s="1639">
        <v>8599.2999999999993</v>
      </c>
      <c r="K399" s="432" t="s">
        <v>589</v>
      </c>
      <c r="L399" s="794" t="s">
        <v>590</v>
      </c>
      <c r="M399" s="793">
        <v>142129.79999999999</v>
      </c>
      <c r="N399" s="793">
        <v>157043.29999999999</v>
      </c>
      <c r="O399" s="795">
        <v>161890.29999999999</v>
      </c>
      <c r="P399" s="795">
        <v>190140.7</v>
      </c>
      <c r="Q399" s="793">
        <v>192042.1</v>
      </c>
    </row>
    <row r="400" spans="1:17" s="20" customFormat="1" ht="25.5" x14ac:dyDescent="0.2">
      <c r="A400" s="125"/>
      <c r="B400" s="789"/>
      <c r="C400" s="692">
        <v>5</v>
      </c>
      <c r="D400" s="796"/>
      <c r="E400" s="604" t="s">
        <v>591</v>
      </c>
      <c r="F400" s="1597">
        <v>2829.5</v>
      </c>
      <c r="G400" s="1547">
        <v>2385.6999999999998</v>
      </c>
      <c r="H400" s="1547">
        <v>2459.6</v>
      </c>
      <c r="I400" s="1547">
        <v>2506.6999999999998</v>
      </c>
      <c r="J400" s="1547">
        <v>2530.6</v>
      </c>
      <c r="K400" s="697" t="s">
        <v>592</v>
      </c>
      <c r="L400" s="22" t="s">
        <v>593</v>
      </c>
      <c r="M400" s="22">
        <v>60</v>
      </c>
      <c r="N400" s="22">
        <v>60</v>
      </c>
      <c r="O400" s="22">
        <v>60</v>
      </c>
      <c r="P400" s="22">
        <v>60</v>
      </c>
      <c r="Q400" s="22">
        <v>50</v>
      </c>
    </row>
    <row r="401" spans="1:17" s="20" customFormat="1" ht="12.75" x14ac:dyDescent="0.2">
      <c r="A401" s="125"/>
      <c r="B401" s="2286"/>
      <c r="C401" s="2288">
        <v>6</v>
      </c>
      <c r="D401" s="2290"/>
      <c r="E401" s="2163" t="s">
        <v>594</v>
      </c>
      <c r="F401" s="2186">
        <v>11317.9</v>
      </c>
      <c r="G401" s="1597">
        <v>10095.799999999999</v>
      </c>
      <c r="H401" s="1597">
        <v>8659.2999999999993</v>
      </c>
      <c r="I401" s="1597">
        <v>8825</v>
      </c>
      <c r="J401" s="1597">
        <v>8909.2000000000007</v>
      </c>
      <c r="K401" s="432" t="s">
        <v>595</v>
      </c>
      <c r="L401" s="591" t="s">
        <v>590</v>
      </c>
      <c r="M401" s="591">
        <v>9748.1</v>
      </c>
      <c r="N401" s="591">
        <v>10166.9</v>
      </c>
      <c r="O401" s="139">
        <v>8293</v>
      </c>
      <c r="P401" s="797" t="s">
        <v>20</v>
      </c>
      <c r="Q401" s="798" t="s">
        <v>20</v>
      </c>
    </row>
    <row r="402" spans="1:17" s="20" customFormat="1" ht="25.5" x14ac:dyDescent="0.2">
      <c r="A402" s="125"/>
      <c r="B402" s="2287"/>
      <c r="C402" s="2289"/>
      <c r="D402" s="2291"/>
      <c r="E402" s="2163"/>
      <c r="F402" s="1789"/>
      <c r="G402" s="1552"/>
      <c r="H402" s="1552"/>
      <c r="I402" s="1552"/>
      <c r="J402" s="1552"/>
      <c r="K402" s="432" t="s">
        <v>596</v>
      </c>
      <c r="L402" s="591" t="s">
        <v>590</v>
      </c>
      <c r="M402" s="591">
        <v>34278.199999999997</v>
      </c>
      <c r="N402" s="139">
        <v>26965</v>
      </c>
      <c r="O402" s="591">
        <v>27931.1</v>
      </c>
      <c r="P402" s="797" t="s">
        <v>20</v>
      </c>
      <c r="Q402" s="798" t="s">
        <v>20</v>
      </c>
    </row>
    <row r="403" spans="1:17" s="20" customFormat="1" ht="38.25" x14ac:dyDescent="0.2">
      <c r="A403" s="125"/>
      <c r="B403" s="799">
        <v>3</v>
      </c>
      <c r="C403" s="800"/>
      <c r="D403" s="801"/>
      <c r="E403" s="93" t="s">
        <v>2516</v>
      </c>
      <c r="F403" s="1561">
        <f>F404+F407+F408</f>
        <v>109242.4</v>
      </c>
      <c r="G403" s="1561">
        <f>G404+G407+G408</f>
        <v>121797.90000000001</v>
      </c>
      <c r="H403" s="1561">
        <f>SUM(H404:H408)</f>
        <v>120555.1</v>
      </c>
      <c r="I403" s="1561">
        <f>SUM(I404:I408)</f>
        <v>118693.8</v>
      </c>
      <c r="J403" s="1561">
        <f>SUM(J404:J408)</f>
        <v>119826</v>
      </c>
      <c r="K403" s="697" t="s">
        <v>597</v>
      </c>
      <c r="L403" s="22" t="s">
        <v>16</v>
      </c>
      <c r="M403" s="22">
        <v>22.5</v>
      </c>
      <c r="N403" s="22">
        <v>22.5</v>
      </c>
      <c r="O403" s="22">
        <v>22.9</v>
      </c>
      <c r="P403" s="418">
        <v>23</v>
      </c>
      <c r="Q403" s="22">
        <v>23.1</v>
      </c>
    </row>
    <row r="404" spans="1:17" s="20" customFormat="1" ht="25.5" x14ac:dyDescent="0.2">
      <c r="A404" s="125"/>
      <c r="B404" s="2286"/>
      <c r="C404" s="2292">
        <v>1</v>
      </c>
      <c r="D404" s="2294"/>
      <c r="E404" s="2163" t="s">
        <v>598</v>
      </c>
      <c r="F404" s="2186">
        <v>8488.5</v>
      </c>
      <c r="G404" s="1597">
        <v>7196.4</v>
      </c>
      <c r="H404" s="1597">
        <v>6993.4</v>
      </c>
      <c r="I404" s="1597">
        <v>7127.3</v>
      </c>
      <c r="J404" s="1597">
        <v>7195.2</v>
      </c>
      <c r="K404" s="697" t="s">
        <v>599</v>
      </c>
      <c r="L404" s="22" t="s">
        <v>16</v>
      </c>
      <c r="M404" s="22">
        <v>22.5</v>
      </c>
      <c r="N404" s="22">
        <v>22.5</v>
      </c>
      <c r="O404" s="22">
        <v>22.9</v>
      </c>
      <c r="P404" s="418">
        <v>23</v>
      </c>
      <c r="Q404" s="22">
        <v>23.1</v>
      </c>
    </row>
    <row r="405" spans="1:17" s="20" customFormat="1" ht="38.25" x14ac:dyDescent="0.2">
      <c r="A405" s="125"/>
      <c r="B405" s="2287"/>
      <c r="C405" s="2293"/>
      <c r="D405" s="2295"/>
      <c r="E405" s="2163"/>
      <c r="F405" s="1788"/>
      <c r="G405" s="1581"/>
      <c r="H405" s="1581"/>
      <c r="I405" s="1581"/>
      <c r="J405" s="1581"/>
      <c r="K405" s="697" t="s">
        <v>600</v>
      </c>
      <c r="L405" s="22" t="s">
        <v>16</v>
      </c>
      <c r="M405" s="22">
        <v>0.5</v>
      </c>
      <c r="N405" s="22">
        <v>0.5</v>
      </c>
      <c r="O405" s="22">
        <v>0.5</v>
      </c>
      <c r="P405" s="22">
        <v>0.5</v>
      </c>
      <c r="Q405" s="22">
        <v>0.5</v>
      </c>
    </row>
    <row r="406" spans="1:17" s="20" customFormat="1" ht="25.5" x14ac:dyDescent="0.2">
      <c r="A406" s="125"/>
      <c r="B406" s="789"/>
      <c r="C406" s="502">
        <v>2</v>
      </c>
      <c r="D406" s="792"/>
      <c r="E406" s="604" t="s">
        <v>601</v>
      </c>
      <c r="F406" s="1789"/>
      <c r="G406" s="1552"/>
      <c r="H406" s="1552"/>
      <c r="I406" s="1552"/>
      <c r="J406" s="1552"/>
      <c r="K406" s="697" t="s">
        <v>602</v>
      </c>
      <c r="L406" s="22" t="s">
        <v>603</v>
      </c>
      <c r="M406" s="22">
        <v>3</v>
      </c>
      <c r="N406" s="22">
        <v>4</v>
      </c>
      <c r="O406" s="22">
        <v>4</v>
      </c>
      <c r="P406" s="22">
        <v>4</v>
      </c>
      <c r="Q406" s="22">
        <v>4</v>
      </c>
    </row>
    <row r="407" spans="1:17" s="20" customFormat="1" ht="25.5" x14ac:dyDescent="0.2">
      <c r="A407" s="125"/>
      <c r="B407" s="789"/>
      <c r="C407" s="502">
        <v>3</v>
      </c>
      <c r="D407" s="792"/>
      <c r="E407" s="604" t="s">
        <v>591</v>
      </c>
      <c r="F407" s="1547">
        <v>2829.5</v>
      </c>
      <c r="G407" s="1547">
        <v>2320.4</v>
      </c>
      <c r="H407" s="1547">
        <v>2410.4</v>
      </c>
      <c r="I407" s="1547">
        <v>2456.5</v>
      </c>
      <c r="J407" s="1547">
        <v>2480</v>
      </c>
      <c r="K407" s="697" t="s">
        <v>604</v>
      </c>
      <c r="L407" s="22" t="s">
        <v>590</v>
      </c>
      <c r="M407" s="695">
        <v>700</v>
      </c>
      <c r="N407" s="695">
        <v>700</v>
      </c>
      <c r="O407" s="695">
        <v>800</v>
      </c>
      <c r="P407" s="695">
        <v>900</v>
      </c>
      <c r="Q407" s="695">
        <v>900</v>
      </c>
    </row>
    <row r="408" spans="1:17" s="20" customFormat="1" ht="38.25" x14ac:dyDescent="0.2">
      <c r="A408" s="125"/>
      <c r="B408" s="789"/>
      <c r="C408" s="502">
        <v>4</v>
      </c>
      <c r="D408" s="792"/>
      <c r="E408" s="604" t="s">
        <v>605</v>
      </c>
      <c r="F408" s="1547">
        <v>97924.4</v>
      </c>
      <c r="G408" s="1547">
        <v>112281.1</v>
      </c>
      <c r="H408" s="1547">
        <v>111151.3</v>
      </c>
      <c r="I408" s="1547">
        <v>109110</v>
      </c>
      <c r="J408" s="1547">
        <v>110150.8</v>
      </c>
      <c r="K408" s="697" t="s">
        <v>606</v>
      </c>
      <c r="L408" s="22" t="s">
        <v>607</v>
      </c>
      <c r="M408" s="22">
        <v>71</v>
      </c>
      <c r="N408" s="22">
        <v>71</v>
      </c>
      <c r="O408" s="22">
        <v>71</v>
      </c>
      <c r="P408" s="22">
        <v>71</v>
      </c>
      <c r="Q408" s="22">
        <v>71</v>
      </c>
    </row>
    <row r="409" spans="1:17" s="20" customFormat="1" ht="38.25" x14ac:dyDescent="0.2">
      <c r="A409" s="125"/>
      <c r="B409" s="799">
        <v>4</v>
      </c>
      <c r="C409" s="800"/>
      <c r="D409" s="801"/>
      <c r="E409" s="93" t="s">
        <v>2517</v>
      </c>
      <c r="F409" s="1573">
        <f>F410</f>
        <v>6366.3</v>
      </c>
      <c r="G409" s="1573">
        <f>G410</f>
        <v>5017.6000000000004</v>
      </c>
      <c r="H409" s="1573">
        <f>H410</f>
        <v>5285.4</v>
      </c>
      <c r="I409" s="1573">
        <f>I410</f>
        <v>5386.6</v>
      </c>
      <c r="J409" s="1573">
        <f>J410</f>
        <v>5437.9</v>
      </c>
      <c r="K409" s="216" t="s">
        <v>608</v>
      </c>
      <c r="L409" s="628" t="s">
        <v>16</v>
      </c>
      <c r="M409" s="628" t="s">
        <v>609</v>
      </c>
      <c r="N409" s="628" t="s">
        <v>609</v>
      </c>
      <c r="O409" s="628" t="s">
        <v>609</v>
      </c>
      <c r="P409" s="628" t="s">
        <v>609</v>
      </c>
      <c r="Q409" s="628" t="s">
        <v>609</v>
      </c>
    </row>
    <row r="410" spans="1:17" s="20" customFormat="1" ht="25.5" x14ac:dyDescent="0.2">
      <c r="A410" s="125"/>
      <c r="B410" s="2286"/>
      <c r="C410" s="2299">
        <v>1</v>
      </c>
      <c r="D410" s="2300"/>
      <c r="E410" s="1845" t="s">
        <v>610</v>
      </c>
      <c r="F410" s="2186">
        <v>6366.3</v>
      </c>
      <c r="G410" s="1597">
        <v>5017.6000000000004</v>
      </c>
      <c r="H410" s="1597">
        <v>5285.4</v>
      </c>
      <c r="I410" s="1597">
        <v>5386.6</v>
      </c>
      <c r="J410" s="1597">
        <v>5437.9</v>
      </c>
      <c r="K410" s="697" t="s">
        <v>611</v>
      </c>
      <c r="L410" s="22" t="s">
        <v>612</v>
      </c>
      <c r="M410" s="22">
        <v>0</v>
      </c>
      <c r="N410" s="22">
        <v>0</v>
      </c>
      <c r="O410" s="22">
        <v>0</v>
      </c>
      <c r="P410" s="22">
        <v>0</v>
      </c>
      <c r="Q410" s="22">
        <v>0</v>
      </c>
    </row>
    <row r="411" spans="1:17" s="20" customFormat="1" ht="25.5" x14ac:dyDescent="0.2">
      <c r="A411" s="125"/>
      <c r="B411" s="2287"/>
      <c r="C411" s="2299"/>
      <c r="D411" s="2300"/>
      <c r="E411" s="1845"/>
      <c r="F411" s="1788"/>
      <c r="G411" s="1581"/>
      <c r="H411" s="1581"/>
      <c r="I411" s="1581"/>
      <c r="J411" s="1581"/>
      <c r="K411" s="697" t="s">
        <v>613</v>
      </c>
      <c r="L411" s="22" t="s">
        <v>16</v>
      </c>
      <c r="M411" s="22" t="s">
        <v>614</v>
      </c>
      <c r="N411" s="22" t="s">
        <v>614</v>
      </c>
      <c r="O411" s="22" t="s">
        <v>614</v>
      </c>
      <c r="P411" s="22" t="s">
        <v>614</v>
      </c>
      <c r="Q411" s="22" t="s">
        <v>614</v>
      </c>
    </row>
    <row r="412" spans="1:17" s="20" customFormat="1" ht="25.5" x14ac:dyDescent="0.2">
      <c r="A412" s="125"/>
      <c r="B412" s="2286"/>
      <c r="C412" s="2012">
        <v>2</v>
      </c>
      <c r="D412" s="2302"/>
      <c r="E412" s="2211" t="s">
        <v>615</v>
      </c>
      <c r="F412" s="1788"/>
      <c r="G412" s="1581"/>
      <c r="H412" s="1581"/>
      <c r="I412" s="1581"/>
      <c r="J412" s="1581"/>
      <c r="K412" s="697" t="s">
        <v>616</v>
      </c>
      <c r="L412" s="22" t="s">
        <v>16</v>
      </c>
      <c r="M412" s="22">
        <v>100</v>
      </c>
      <c r="N412" s="22">
        <v>100</v>
      </c>
      <c r="O412" s="22">
        <v>100</v>
      </c>
      <c r="P412" s="22">
        <v>100</v>
      </c>
      <c r="Q412" s="22">
        <v>100</v>
      </c>
    </row>
    <row r="413" spans="1:17" s="20" customFormat="1" ht="38.25" x14ac:dyDescent="0.2">
      <c r="A413" s="125"/>
      <c r="B413" s="2301"/>
      <c r="C413" s="2012"/>
      <c r="D413" s="2302"/>
      <c r="E413" s="2211"/>
      <c r="F413" s="1788"/>
      <c r="G413" s="1581"/>
      <c r="H413" s="1581"/>
      <c r="I413" s="1581"/>
      <c r="J413" s="1581"/>
      <c r="K413" s="697" t="s">
        <v>617</v>
      </c>
      <c r="L413" s="22" t="s">
        <v>618</v>
      </c>
      <c r="M413" s="22" t="s">
        <v>619</v>
      </c>
      <c r="N413" s="22" t="s">
        <v>620</v>
      </c>
      <c r="O413" s="22" t="s">
        <v>620</v>
      </c>
      <c r="P413" s="22" t="s">
        <v>620</v>
      </c>
      <c r="Q413" s="22" t="s">
        <v>620</v>
      </c>
    </row>
    <row r="414" spans="1:17" s="20" customFormat="1" ht="25.5" x14ac:dyDescent="0.2">
      <c r="A414" s="125"/>
      <c r="B414" s="2287"/>
      <c r="C414" s="2012"/>
      <c r="D414" s="2302"/>
      <c r="E414" s="2211"/>
      <c r="F414" s="1789"/>
      <c r="G414" s="1552"/>
      <c r="H414" s="1552"/>
      <c r="I414" s="1552"/>
      <c r="J414" s="1552"/>
      <c r="K414" s="697" t="s">
        <v>621</v>
      </c>
      <c r="L414" s="22" t="s">
        <v>612</v>
      </c>
      <c r="M414" s="22">
        <v>0</v>
      </c>
      <c r="N414" s="22">
        <v>0</v>
      </c>
      <c r="O414" s="22">
        <v>0</v>
      </c>
      <c r="P414" s="22">
        <v>0</v>
      </c>
      <c r="Q414" s="22">
        <v>0</v>
      </c>
    </row>
    <row r="415" spans="1:17" s="20" customFormat="1" ht="81" customHeight="1" x14ac:dyDescent="0.2">
      <c r="A415" s="125"/>
      <c r="B415" s="789">
        <v>5</v>
      </c>
      <c r="C415" s="802"/>
      <c r="D415" s="779"/>
      <c r="E415" s="803" t="s">
        <v>2518</v>
      </c>
      <c r="F415" s="1561">
        <f>F416</f>
        <v>141729.1</v>
      </c>
      <c r="G415" s="1561">
        <f>G416</f>
        <v>130373.9</v>
      </c>
      <c r="H415" s="1561">
        <f>H416</f>
        <v>131213.29999999999</v>
      </c>
      <c r="I415" s="1561">
        <f t="shared" ref="I415:J415" si="14">I416</f>
        <v>132189.6</v>
      </c>
      <c r="J415" s="1561">
        <f t="shared" si="14"/>
        <v>133450.5</v>
      </c>
      <c r="K415" s="697" t="s">
        <v>622</v>
      </c>
      <c r="L415" s="22" t="s">
        <v>16</v>
      </c>
      <c r="M415" s="22">
        <v>100</v>
      </c>
      <c r="N415" s="22">
        <v>100</v>
      </c>
      <c r="O415" s="22">
        <v>100</v>
      </c>
      <c r="P415" s="22">
        <v>100</v>
      </c>
      <c r="Q415" s="22">
        <v>100</v>
      </c>
    </row>
    <row r="416" spans="1:17" s="20" customFormat="1" ht="51" x14ac:dyDescent="0.2">
      <c r="A416" s="125"/>
      <c r="B416" s="2286"/>
      <c r="C416" s="2292">
        <v>1</v>
      </c>
      <c r="D416" s="2294"/>
      <c r="E416" s="1845" t="s">
        <v>623</v>
      </c>
      <c r="F416" s="2186">
        <v>141729.1</v>
      </c>
      <c r="G416" s="1597">
        <v>130373.9</v>
      </c>
      <c r="H416" s="1597">
        <v>131213.29999999999</v>
      </c>
      <c r="I416" s="1597">
        <v>132189.6</v>
      </c>
      <c r="J416" s="1597">
        <v>133450.5</v>
      </c>
      <c r="K416" s="606" t="s">
        <v>624</v>
      </c>
      <c r="L416" s="22" t="s">
        <v>16</v>
      </c>
      <c r="M416" s="22">
        <v>100</v>
      </c>
      <c r="N416" s="22">
        <v>100</v>
      </c>
      <c r="O416" s="22">
        <v>100</v>
      </c>
      <c r="P416" s="22">
        <v>100</v>
      </c>
      <c r="Q416" s="22">
        <v>100</v>
      </c>
    </row>
    <row r="417" spans="1:17" s="20" customFormat="1" ht="38.25" x14ac:dyDescent="0.2">
      <c r="A417" s="125"/>
      <c r="B417" s="2287"/>
      <c r="C417" s="2299"/>
      <c r="D417" s="2300"/>
      <c r="E417" s="1845"/>
      <c r="F417" s="1788"/>
      <c r="G417" s="1581"/>
      <c r="H417" s="1581"/>
      <c r="I417" s="1581"/>
      <c r="J417" s="1581"/>
      <c r="K417" s="606" t="s">
        <v>625</v>
      </c>
      <c r="L417" s="22" t="s">
        <v>16</v>
      </c>
      <c r="M417" s="22">
        <v>100</v>
      </c>
      <c r="N417" s="22">
        <v>100</v>
      </c>
      <c r="O417" s="22">
        <v>100</v>
      </c>
      <c r="P417" s="22">
        <v>100</v>
      </c>
      <c r="Q417" s="22">
        <v>100</v>
      </c>
    </row>
    <row r="418" spans="1:17" s="20" customFormat="1" ht="38.25" x14ac:dyDescent="0.2">
      <c r="A418" s="125"/>
      <c r="B418" s="789"/>
      <c r="C418" s="692">
        <v>2</v>
      </c>
      <c r="D418" s="804"/>
      <c r="E418" s="697" t="s">
        <v>626</v>
      </c>
      <c r="F418" s="1788"/>
      <c r="G418" s="1581"/>
      <c r="H418" s="1581"/>
      <c r="I418" s="1581"/>
      <c r="J418" s="1581"/>
      <c r="K418" s="697" t="s">
        <v>627</v>
      </c>
      <c r="L418" s="22" t="s">
        <v>16</v>
      </c>
      <c r="M418" s="626">
        <v>103</v>
      </c>
      <c r="N418" s="626">
        <v>103</v>
      </c>
      <c r="O418" s="626">
        <v>103</v>
      </c>
      <c r="P418" s="626">
        <v>103</v>
      </c>
      <c r="Q418" s="626">
        <v>103</v>
      </c>
    </row>
    <row r="419" spans="1:17" s="20" customFormat="1" ht="38.25" x14ac:dyDescent="0.2">
      <c r="A419" s="125"/>
      <c r="B419" s="2286"/>
      <c r="C419" s="2292">
        <v>3</v>
      </c>
      <c r="D419" s="2294"/>
      <c r="E419" s="1845" t="s">
        <v>628</v>
      </c>
      <c r="F419" s="1788"/>
      <c r="G419" s="1581"/>
      <c r="H419" s="1581"/>
      <c r="I419" s="1581"/>
      <c r="J419" s="1581"/>
      <c r="K419" s="606" t="s">
        <v>629</v>
      </c>
      <c r="L419" s="22" t="s">
        <v>630</v>
      </c>
      <c r="M419" s="419" t="s">
        <v>631</v>
      </c>
      <c r="N419" s="419" t="s">
        <v>631</v>
      </c>
      <c r="O419" s="419" t="s">
        <v>632</v>
      </c>
      <c r="P419" s="419" t="s">
        <v>632</v>
      </c>
      <c r="Q419" s="419" t="s">
        <v>632</v>
      </c>
    </row>
    <row r="420" spans="1:17" s="20" customFormat="1" ht="35.25" customHeight="1" x14ac:dyDescent="0.2">
      <c r="A420" s="125"/>
      <c r="B420" s="2301"/>
      <c r="C420" s="2299"/>
      <c r="D420" s="2300"/>
      <c r="E420" s="1845"/>
      <c r="F420" s="1788"/>
      <c r="G420" s="1581"/>
      <c r="H420" s="1581"/>
      <c r="I420" s="1581"/>
      <c r="J420" s="1581"/>
      <c r="K420" s="606" t="s">
        <v>633</v>
      </c>
      <c r="L420" s="22" t="s">
        <v>630</v>
      </c>
      <c r="M420" s="805">
        <v>43586</v>
      </c>
      <c r="N420" s="805">
        <v>43586</v>
      </c>
      <c r="O420" s="805">
        <v>43586</v>
      </c>
      <c r="P420" s="805">
        <v>43586</v>
      </c>
      <c r="Q420" s="805">
        <v>43586</v>
      </c>
    </row>
    <row r="421" spans="1:17" s="20" customFormat="1" ht="39.75" customHeight="1" x14ac:dyDescent="0.2">
      <c r="A421" s="125"/>
      <c r="B421" s="2287"/>
      <c r="C421" s="2293"/>
      <c r="D421" s="2295"/>
      <c r="E421" s="1845"/>
      <c r="F421" s="1788"/>
      <c r="G421" s="1581"/>
      <c r="H421" s="1581"/>
      <c r="I421" s="1581"/>
      <c r="J421" s="1581"/>
      <c r="K421" s="606" t="s">
        <v>634</v>
      </c>
      <c r="L421" s="22" t="s">
        <v>630</v>
      </c>
      <c r="M421" s="805">
        <v>43966</v>
      </c>
      <c r="N421" s="805">
        <v>43600</v>
      </c>
      <c r="O421" s="419" t="s">
        <v>635</v>
      </c>
      <c r="P421" s="419" t="s">
        <v>635</v>
      </c>
      <c r="Q421" s="419" t="s">
        <v>635</v>
      </c>
    </row>
    <row r="422" spans="1:17" s="20" customFormat="1" ht="63.75" x14ac:dyDescent="0.2">
      <c r="A422" s="125"/>
      <c r="B422" s="789"/>
      <c r="C422" s="692">
        <v>4</v>
      </c>
      <c r="D422" s="804"/>
      <c r="E422" s="606" t="s">
        <v>636</v>
      </c>
      <c r="F422" s="1789"/>
      <c r="G422" s="1552"/>
      <c r="H422" s="1552"/>
      <c r="I422" s="1552"/>
      <c r="J422" s="1552"/>
      <c r="K422" s="604" t="s">
        <v>637</v>
      </c>
      <c r="L422" s="22" t="s">
        <v>16</v>
      </c>
      <c r="M422" s="419">
        <v>100</v>
      </c>
      <c r="N422" s="419">
        <v>100</v>
      </c>
      <c r="O422" s="419">
        <v>100</v>
      </c>
      <c r="P422" s="419">
        <v>100</v>
      </c>
      <c r="Q422" s="419">
        <v>100</v>
      </c>
    </row>
    <row r="423" spans="1:17" s="20" customFormat="1" ht="76.5" x14ac:dyDescent="0.2">
      <c r="A423" s="125"/>
      <c r="B423" s="799">
        <v>6</v>
      </c>
      <c r="C423" s="802"/>
      <c r="D423" s="779"/>
      <c r="E423" s="216" t="s">
        <v>2519</v>
      </c>
      <c r="F423" s="1561">
        <f>F424</f>
        <v>23831.5</v>
      </c>
      <c r="G423" s="1561">
        <f>G424</f>
        <v>12431.5</v>
      </c>
      <c r="H423" s="1561">
        <f>H424</f>
        <v>10093.799999999999</v>
      </c>
      <c r="I423" s="1561">
        <f t="shared" ref="I423:J423" si="15">I424</f>
        <v>10287</v>
      </c>
      <c r="J423" s="1561">
        <f t="shared" si="15"/>
        <v>10385.1</v>
      </c>
      <c r="K423" s="216" t="s">
        <v>638</v>
      </c>
      <c r="L423" s="22" t="s">
        <v>16</v>
      </c>
      <c r="M423" s="22">
        <v>100</v>
      </c>
      <c r="N423" s="22"/>
      <c r="O423" s="95"/>
      <c r="P423" s="95"/>
      <c r="Q423" s="95"/>
    </row>
    <row r="424" spans="1:17" s="20" customFormat="1" ht="12.75" x14ac:dyDescent="0.2">
      <c r="A424" s="125"/>
      <c r="B424" s="2286"/>
      <c r="C424" s="2305">
        <v>3</v>
      </c>
      <c r="D424" s="2306"/>
      <c r="E424" s="1845" t="s">
        <v>639</v>
      </c>
      <c r="F424" s="2186">
        <v>23831.5</v>
      </c>
      <c r="G424" s="1597">
        <v>12431.5</v>
      </c>
      <c r="H424" s="1597">
        <v>10093.799999999999</v>
      </c>
      <c r="I424" s="1597">
        <v>10287</v>
      </c>
      <c r="J424" s="1597">
        <v>10385.1</v>
      </c>
      <c r="K424" s="806" t="s">
        <v>640</v>
      </c>
      <c r="L424" s="626" t="s">
        <v>30</v>
      </c>
      <c r="M424" s="626">
        <v>440</v>
      </c>
      <c r="N424" s="626"/>
      <c r="O424" s="670"/>
      <c r="P424" s="670"/>
      <c r="Q424" s="670"/>
    </row>
    <row r="425" spans="1:17" s="20" customFormat="1" ht="25.5" x14ac:dyDescent="0.2">
      <c r="A425" s="125"/>
      <c r="B425" s="2301"/>
      <c r="C425" s="2305"/>
      <c r="D425" s="2306"/>
      <c r="E425" s="1845"/>
      <c r="F425" s="1788"/>
      <c r="G425" s="1581"/>
      <c r="H425" s="1581"/>
      <c r="I425" s="1581"/>
      <c r="J425" s="1581"/>
      <c r="K425" s="606" t="s">
        <v>641</v>
      </c>
      <c r="L425" s="22" t="s">
        <v>16</v>
      </c>
      <c r="M425" s="22">
        <v>80</v>
      </c>
      <c r="N425" s="22"/>
      <c r="O425" s="95"/>
      <c r="P425" s="95"/>
      <c r="Q425" s="95"/>
    </row>
    <row r="426" spans="1:17" s="20" customFormat="1" ht="12.75" x14ac:dyDescent="0.2">
      <c r="A426" s="125"/>
      <c r="B426" s="2287"/>
      <c r="C426" s="2305"/>
      <c r="D426" s="2306"/>
      <c r="E426" s="1845"/>
      <c r="F426" s="1788"/>
      <c r="G426" s="1581"/>
      <c r="H426" s="1581"/>
      <c r="I426" s="1581"/>
      <c r="J426" s="1581"/>
      <c r="K426" s="606" t="s">
        <v>642</v>
      </c>
      <c r="L426" s="22" t="s">
        <v>643</v>
      </c>
      <c r="M426" s="418">
        <v>1480</v>
      </c>
      <c r="N426" s="418"/>
      <c r="O426" s="95"/>
      <c r="P426" s="95"/>
      <c r="Q426" s="95"/>
    </row>
    <row r="427" spans="1:17" s="20" customFormat="1" ht="25.5" x14ac:dyDescent="0.2">
      <c r="A427" s="125"/>
      <c r="B427" s="799"/>
      <c r="C427" s="807">
        <v>2</v>
      </c>
      <c r="D427" s="808"/>
      <c r="E427" s="606" t="s">
        <v>644</v>
      </c>
      <c r="F427" s="1788"/>
      <c r="G427" s="1581"/>
      <c r="H427" s="1581"/>
      <c r="I427" s="1581"/>
      <c r="J427" s="1581"/>
      <c r="K427" s="606" t="s">
        <v>645</v>
      </c>
      <c r="L427" s="22" t="s">
        <v>643</v>
      </c>
      <c r="M427" s="22">
        <v>2340</v>
      </c>
      <c r="N427" s="22">
        <v>2380</v>
      </c>
      <c r="O427" s="95">
        <v>2420</v>
      </c>
      <c r="P427" s="95">
        <v>2460</v>
      </c>
      <c r="Q427" s="95">
        <v>2460</v>
      </c>
    </row>
    <row r="428" spans="1:17" s="20" customFormat="1" ht="38.25" x14ac:dyDescent="0.2">
      <c r="A428" s="125"/>
      <c r="B428" s="799"/>
      <c r="C428" s="809">
        <v>3</v>
      </c>
      <c r="D428" s="810"/>
      <c r="E428" s="606" t="s">
        <v>646</v>
      </c>
      <c r="F428" s="1789"/>
      <c r="G428" s="1552"/>
      <c r="H428" s="1552"/>
      <c r="I428" s="1552"/>
      <c r="J428" s="1552"/>
      <c r="K428" s="606" t="s">
        <v>647</v>
      </c>
      <c r="L428" s="22" t="s">
        <v>16</v>
      </c>
      <c r="M428" s="22">
        <v>100</v>
      </c>
      <c r="N428" s="22"/>
      <c r="O428" s="95"/>
      <c r="P428" s="95"/>
      <c r="Q428" s="95"/>
    </row>
    <row r="429" spans="1:17" s="20" customFormat="1" ht="51" x14ac:dyDescent="0.2">
      <c r="A429" s="125"/>
      <c r="B429" s="799">
        <v>7</v>
      </c>
      <c r="C429" s="802"/>
      <c r="D429" s="779"/>
      <c r="E429" s="216" t="s">
        <v>2520</v>
      </c>
      <c r="F429" s="1561">
        <f>F430+F431+F432+F433</f>
        <v>22175.8</v>
      </c>
      <c r="G429" s="1561">
        <f>G430+G431+G432+G433</f>
        <v>20145.7</v>
      </c>
      <c r="H429" s="1561">
        <f>H430+H431+H432+H433</f>
        <v>20457.7</v>
      </c>
      <c r="I429" s="1561">
        <f t="shared" ref="I429" si="16">I430+I431+I432+I433</f>
        <v>20849.2</v>
      </c>
      <c r="J429" s="1561">
        <f>J430+J431+J432+J433</f>
        <v>21048.2</v>
      </c>
      <c r="K429" s="606" t="s">
        <v>648</v>
      </c>
      <c r="L429" s="22" t="s">
        <v>428</v>
      </c>
      <c r="M429" s="22" t="s">
        <v>649</v>
      </c>
      <c r="N429" s="22" t="s">
        <v>649</v>
      </c>
      <c r="O429" s="95" t="s">
        <v>650</v>
      </c>
      <c r="P429" s="95" t="s">
        <v>650</v>
      </c>
      <c r="Q429" s="95" t="s">
        <v>650</v>
      </c>
    </row>
    <row r="430" spans="1:17" s="20" customFormat="1" ht="12.75" x14ac:dyDescent="0.2">
      <c r="A430" s="125"/>
      <c r="B430" s="789"/>
      <c r="C430" s="502">
        <v>1</v>
      </c>
      <c r="D430" s="796"/>
      <c r="E430" s="606" t="s">
        <v>651</v>
      </c>
      <c r="F430" s="1547">
        <v>4244.2</v>
      </c>
      <c r="G430" s="1547">
        <v>4544.3999999999996</v>
      </c>
      <c r="H430" s="1547">
        <v>3539.4</v>
      </c>
      <c r="I430" s="1547">
        <v>3607.1</v>
      </c>
      <c r="J430" s="1547">
        <v>3641.6</v>
      </c>
      <c r="K430" s="606" t="s">
        <v>652</v>
      </c>
      <c r="L430" s="22" t="s">
        <v>163</v>
      </c>
      <c r="M430" s="22">
        <v>1460</v>
      </c>
      <c r="N430" s="22">
        <v>1491</v>
      </c>
      <c r="O430" s="22">
        <v>1492</v>
      </c>
      <c r="P430" s="22">
        <v>1471</v>
      </c>
      <c r="Q430" s="22">
        <v>1472</v>
      </c>
    </row>
    <row r="431" spans="1:17" s="20" customFormat="1" ht="25.5" x14ac:dyDescent="0.2">
      <c r="A431" s="125"/>
      <c r="B431" s="789"/>
      <c r="C431" s="811">
        <v>2</v>
      </c>
      <c r="D431" s="796"/>
      <c r="E431" s="606" t="s">
        <v>653</v>
      </c>
      <c r="F431" s="1547">
        <v>707.4</v>
      </c>
      <c r="G431" s="1547">
        <v>639.29999999999995</v>
      </c>
      <c r="H431" s="1547">
        <v>531</v>
      </c>
      <c r="I431" s="1547">
        <v>541.20000000000005</v>
      </c>
      <c r="J431" s="1547">
        <v>546.29999999999995</v>
      </c>
      <c r="K431" s="606" t="s">
        <v>648</v>
      </c>
      <c r="L431" s="22" t="s">
        <v>428</v>
      </c>
      <c r="M431" s="22" t="s">
        <v>654</v>
      </c>
      <c r="N431" s="22" t="s">
        <v>655</v>
      </c>
      <c r="O431" s="22" t="s">
        <v>655</v>
      </c>
      <c r="P431" s="22" t="s">
        <v>656</v>
      </c>
      <c r="Q431" s="22" t="s">
        <v>657</v>
      </c>
    </row>
    <row r="432" spans="1:17" s="20" customFormat="1" ht="38.25" x14ac:dyDescent="0.2">
      <c r="A432" s="125"/>
      <c r="B432" s="789"/>
      <c r="C432" s="811">
        <v>3</v>
      </c>
      <c r="D432" s="796"/>
      <c r="E432" s="606" t="s">
        <v>658</v>
      </c>
      <c r="F432" s="1547">
        <v>13687.3</v>
      </c>
      <c r="G432" s="1547">
        <v>12074.2</v>
      </c>
      <c r="H432" s="1547">
        <v>13346.2</v>
      </c>
      <c r="I432" s="1547">
        <v>13601.6</v>
      </c>
      <c r="J432" s="1547">
        <v>13731.4</v>
      </c>
      <c r="K432" s="604" t="s">
        <v>659</v>
      </c>
      <c r="L432" s="22"/>
      <c r="M432" s="22">
        <v>5</v>
      </c>
      <c r="N432" s="22">
        <v>5</v>
      </c>
      <c r="O432" s="22">
        <v>5</v>
      </c>
      <c r="P432" s="22">
        <v>5</v>
      </c>
      <c r="Q432" s="22">
        <v>5</v>
      </c>
    </row>
    <row r="433" spans="1:17" s="20" customFormat="1" ht="25.5" x14ac:dyDescent="0.2">
      <c r="A433" s="125"/>
      <c r="B433" s="789"/>
      <c r="C433" s="502">
        <v>4</v>
      </c>
      <c r="D433" s="796"/>
      <c r="E433" s="606" t="s">
        <v>660</v>
      </c>
      <c r="F433" s="1547">
        <v>3536.9</v>
      </c>
      <c r="G433" s="1547">
        <v>2887.8</v>
      </c>
      <c r="H433" s="1547">
        <v>3041.1</v>
      </c>
      <c r="I433" s="1547">
        <v>3099.3</v>
      </c>
      <c r="J433" s="1547">
        <v>3128.9</v>
      </c>
      <c r="K433" s="606" t="s">
        <v>661</v>
      </c>
      <c r="L433" s="22" t="s">
        <v>662</v>
      </c>
      <c r="M433" s="22">
        <v>11</v>
      </c>
      <c r="N433" s="22">
        <v>16</v>
      </c>
      <c r="O433" s="22">
        <v>16</v>
      </c>
      <c r="P433" s="22">
        <v>16</v>
      </c>
      <c r="Q433" s="22">
        <v>16</v>
      </c>
    </row>
    <row r="434" spans="1:17" s="20" customFormat="1" ht="51" x14ac:dyDescent="0.2">
      <c r="A434" s="125"/>
      <c r="B434" s="799">
        <v>8</v>
      </c>
      <c r="C434" s="802"/>
      <c r="D434" s="779"/>
      <c r="E434" s="216" t="s">
        <v>2521</v>
      </c>
      <c r="F434" s="1561">
        <f>F435+F436+F438+F443</f>
        <v>15991.6</v>
      </c>
      <c r="G434" s="1561">
        <f>G435+G436+G438+G443</f>
        <v>16330.3</v>
      </c>
      <c r="H434" s="1561">
        <f>H435+H436+H438+H443</f>
        <v>14447.9</v>
      </c>
      <c r="I434" s="1561">
        <f>I435+I436+I438+I443</f>
        <v>14724.4</v>
      </c>
      <c r="J434" s="1561">
        <f>J435+J436+J438+J443</f>
        <v>14864.899999999998</v>
      </c>
      <c r="K434" s="606" t="s">
        <v>663</v>
      </c>
      <c r="L434" s="591"/>
      <c r="M434" s="812" t="s">
        <v>664</v>
      </c>
      <c r="N434" s="812" t="s">
        <v>664</v>
      </c>
      <c r="O434" s="812" t="s">
        <v>664</v>
      </c>
      <c r="P434" s="812" t="s">
        <v>664</v>
      </c>
      <c r="Q434" s="812" t="s">
        <v>664</v>
      </c>
    </row>
    <row r="435" spans="1:17" s="20" customFormat="1" ht="38.25" x14ac:dyDescent="0.2">
      <c r="A435" s="125"/>
      <c r="B435" s="789"/>
      <c r="C435" s="502">
        <v>1</v>
      </c>
      <c r="D435" s="796"/>
      <c r="E435" s="606" t="s">
        <v>665</v>
      </c>
      <c r="F435" s="1547">
        <v>2122.1</v>
      </c>
      <c r="G435" s="1547">
        <v>2153.8000000000002</v>
      </c>
      <c r="H435" s="1547">
        <v>2174</v>
      </c>
      <c r="I435" s="1547">
        <v>2215.6</v>
      </c>
      <c r="J435" s="1547">
        <v>2236.6999999999998</v>
      </c>
      <c r="K435" s="606" t="s">
        <v>666</v>
      </c>
      <c r="L435" s="22" t="s">
        <v>667</v>
      </c>
      <c r="M435" s="22">
        <v>4</v>
      </c>
      <c r="N435" s="22">
        <v>1</v>
      </c>
      <c r="O435" s="22">
        <v>1</v>
      </c>
      <c r="P435" s="22">
        <v>1</v>
      </c>
      <c r="Q435" s="22">
        <v>1</v>
      </c>
    </row>
    <row r="436" spans="1:17" s="20" customFormat="1" ht="38.25" x14ac:dyDescent="0.2">
      <c r="A436" s="125"/>
      <c r="B436" s="2286"/>
      <c r="C436" s="2292">
        <v>2</v>
      </c>
      <c r="D436" s="2294"/>
      <c r="E436" s="1845" t="s">
        <v>668</v>
      </c>
      <c r="F436" s="2186">
        <v>2829.5</v>
      </c>
      <c r="G436" s="1597">
        <v>2527.5</v>
      </c>
      <c r="H436" s="1597">
        <v>2445.5</v>
      </c>
      <c r="I436" s="1597">
        <v>2492.3000000000002</v>
      </c>
      <c r="J436" s="1597">
        <v>2516.1</v>
      </c>
      <c r="K436" s="606" t="s">
        <v>669</v>
      </c>
      <c r="L436" s="22" t="s">
        <v>667</v>
      </c>
      <c r="M436" s="22">
        <v>3</v>
      </c>
      <c r="N436" s="22">
        <v>3</v>
      </c>
      <c r="O436" s="22">
        <v>3</v>
      </c>
      <c r="P436" s="22">
        <v>3</v>
      </c>
      <c r="Q436" s="22">
        <v>3</v>
      </c>
    </row>
    <row r="437" spans="1:17" s="20" customFormat="1" ht="12.75" x14ac:dyDescent="0.2">
      <c r="A437" s="125"/>
      <c r="B437" s="2287"/>
      <c r="C437" s="2293"/>
      <c r="D437" s="2295"/>
      <c r="E437" s="1845"/>
      <c r="F437" s="1789"/>
      <c r="G437" s="1552"/>
      <c r="H437" s="1552"/>
      <c r="I437" s="1552"/>
      <c r="J437" s="1552"/>
      <c r="K437" s="606"/>
      <c r="L437" s="628" t="s">
        <v>16</v>
      </c>
      <c r="M437" s="813">
        <v>1</v>
      </c>
      <c r="N437" s="813">
        <v>1</v>
      </c>
      <c r="O437" s="813">
        <v>1</v>
      </c>
      <c r="P437" s="813">
        <v>1</v>
      </c>
      <c r="Q437" s="813">
        <v>1</v>
      </c>
    </row>
    <row r="438" spans="1:17" s="20" customFormat="1" ht="12.75" x14ac:dyDescent="0.2">
      <c r="A438" s="125"/>
      <c r="B438" s="789"/>
      <c r="C438" s="502">
        <v>3</v>
      </c>
      <c r="D438" s="796"/>
      <c r="E438" s="606" t="s">
        <v>670</v>
      </c>
      <c r="F438" s="2186">
        <v>3258.9</v>
      </c>
      <c r="G438" s="1597">
        <v>4872</v>
      </c>
      <c r="H438" s="1597">
        <v>3600</v>
      </c>
      <c r="I438" s="1597">
        <v>3668.9</v>
      </c>
      <c r="J438" s="1597">
        <v>3703.9</v>
      </c>
      <c r="K438" s="606" t="s">
        <v>671</v>
      </c>
      <c r="L438" s="637"/>
      <c r="M438" s="626" t="s">
        <v>672</v>
      </c>
      <c r="N438" s="626" t="s">
        <v>672</v>
      </c>
      <c r="O438" s="626" t="s">
        <v>672</v>
      </c>
      <c r="P438" s="626" t="s">
        <v>672</v>
      </c>
      <c r="Q438" s="626" t="s">
        <v>672</v>
      </c>
    </row>
    <row r="439" spans="1:17" s="20" customFormat="1" ht="25.5" x14ac:dyDescent="0.2">
      <c r="A439" s="125"/>
      <c r="B439" s="789"/>
      <c r="C439" s="692">
        <v>4</v>
      </c>
      <c r="D439" s="796"/>
      <c r="E439" s="231" t="s">
        <v>673</v>
      </c>
      <c r="F439" s="1788"/>
      <c r="G439" s="1581"/>
      <c r="H439" s="1581"/>
      <c r="I439" s="1581"/>
      <c r="J439" s="1581"/>
      <c r="K439" s="606"/>
      <c r="L439" s="638"/>
      <c r="M439" s="628"/>
      <c r="N439" s="628"/>
      <c r="O439" s="628"/>
      <c r="P439" s="628"/>
      <c r="Q439" s="628"/>
    </row>
    <row r="440" spans="1:17" s="20" customFormat="1" ht="38.25" x14ac:dyDescent="0.2">
      <c r="A440" s="125"/>
      <c r="B440" s="2286"/>
      <c r="C440" s="2292">
        <v>5</v>
      </c>
      <c r="D440" s="2302"/>
      <c r="E440" s="2211" t="s">
        <v>674</v>
      </c>
      <c r="F440" s="1788"/>
      <c r="G440" s="1581"/>
      <c r="H440" s="1581"/>
      <c r="I440" s="1581"/>
      <c r="J440" s="1581"/>
      <c r="K440" s="606" t="s">
        <v>675</v>
      </c>
      <c r="L440" s="22"/>
      <c r="M440" s="22">
        <v>100</v>
      </c>
      <c r="N440" s="22">
        <v>100</v>
      </c>
      <c r="O440" s="22">
        <v>100</v>
      </c>
      <c r="P440" s="22">
        <v>100</v>
      </c>
      <c r="Q440" s="22">
        <v>100</v>
      </c>
    </row>
    <row r="441" spans="1:17" s="20" customFormat="1" ht="51" x14ac:dyDescent="0.2">
      <c r="A441" s="125"/>
      <c r="B441" s="2301"/>
      <c r="C441" s="2299"/>
      <c r="D441" s="2302"/>
      <c r="E441" s="2211"/>
      <c r="F441" s="1788"/>
      <c r="G441" s="1581"/>
      <c r="H441" s="1581"/>
      <c r="I441" s="1581"/>
      <c r="J441" s="1581"/>
      <c r="K441" s="606" t="s">
        <v>676</v>
      </c>
      <c r="L441" s="22"/>
      <c r="M441" s="22" t="s">
        <v>677</v>
      </c>
      <c r="N441" s="22" t="s">
        <v>678</v>
      </c>
      <c r="O441" s="22" t="s">
        <v>678</v>
      </c>
      <c r="P441" s="22" t="s">
        <v>678</v>
      </c>
      <c r="Q441" s="22" t="s">
        <v>679</v>
      </c>
    </row>
    <row r="442" spans="1:17" s="20" customFormat="1" ht="25.5" x14ac:dyDescent="0.2">
      <c r="A442" s="125"/>
      <c r="B442" s="2287"/>
      <c r="C442" s="2293"/>
      <c r="D442" s="2302"/>
      <c r="E442" s="2211"/>
      <c r="F442" s="1789"/>
      <c r="G442" s="1552"/>
      <c r="H442" s="1552"/>
      <c r="I442" s="1552"/>
      <c r="J442" s="1552"/>
      <c r="K442" s="606" t="s">
        <v>680</v>
      </c>
      <c r="L442" s="22"/>
      <c r="M442" s="22">
        <v>100</v>
      </c>
      <c r="N442" s="22">
        <v>100</v>
      </c>
      <c r="O442" s="22">
        <v>100</v>
      </c>
      <c r="P442" s="22">
        <v>100</v>
      </c>
      <c r="Q442" s="22">
        <v>100</v>
      </c>
    </row>
    <row r="443" spans="1:17" s="20" customFormat="1" ht="51" x14ac:dyDescent="0.2">
      <c r="A443" s="125"/>
      <c r="B443" s="789"/>
      <c r="C443" s="807">
        <v>6</v>
      </c>
      <c r="D443" s="814"/>
      <c r="E443" s="606" t="s">
        <v>681</v>
      </c>
      <c r="F443" s="2186">
        <v>7781.1</v>
      </c>
      <c r="G443" s="1597">
        <v>6777</v>
      </c>
      <c r="H443" s="1597">
        <v>6228.4</v>
      </c>
      <c r="I443" s="1597">
        <v>6347.6</v>
      </c>
      <c r="J443" s="1597">
        <v>6408.2</v>
      </c>
      <c r="K443" s="604" t="s">
        <v>682</v>
      </c>
      <c r="L443" s="646" t="s">
        <v>575</v>
      </c>
      <c r="M443" s="22">
        <v>40</v>
      </c>
      <c r="N443" s="22">
        <v>40</v>
      </c>
      <c r="O443" s="22">
        <v>40</v>
      </c>
      <c r="P443" s="22">
        <v>40</v>
      </c>
      <c r="Q443" s="22">
        <v>40</v>
      </c>
    </row>
    <row r="444" spans="1:17" s="20" customFormat="1" ht="38.25" x14ac:dyDescent="0.2">
      <c r="A444" s="125"/>
      <c r="B444" s="789"/>
      <c r="C444" s="809">
        <v>7</v>
      </c>
      <c r="D444" s="815"/>
      <c r="E444" s="816" t="s">
        <v>683</v>
      </c>
      <c r="F444" s="1789"/>
      <c r="G444" s="1552"/>
      <c r="H444" s="1552"/>
      <c r="I444" s="1552"/>
      <c r="J444" s="1552"/>
      <c r="K444" s="606" t="s">
        <v>684</v>
      </c>
      <c r="L444" s="646" t="s">
        <v>662</v>
      </c>
      <c r="M444" s="22">
        <v>4</v>
      </c>
      <c r="N444" s="22">
        <v>4</v>
      </c>
      <c r="O444" s="22">
        <v>4</v>
      </c>
      <c r="P444" s="22">
        <v>5</v>
      </c>
      <c r="Q444" s="22">
        <v>5</v>
      </c>
    </row>
    <row r="445" spans="1:17" s="20" customFormat="1" ht="38.25" x14ac:dyDescent="0.2">
      <c r="A445" s="125"/>
      <c r="B445" s="799">
        <v>9</v>
      </c>
      <c r="C445" s="802"/>
      <c r="D445" s="779"/>
      <c r="E445" s="216" t="s">
        <v>2522</v>
      </c>
      <c r="F445" s="1561">
        <f>F446</f>
        <v>88842.9</v>
      </c>
      <c r="G445" s="1561">
        <f>G446</f>
        <v>88842.9</v>
      </c>
      <c r="H445" s="1561">
        <f>H446</f>
        <v>87425.599999999991</v>
      </c>
      <c r="I445" s="1561">
        <f>I446</f>
        <v>74928.600000000006</v>
      </c>
      <c r="J445" s="1561">
        <f>J446</f>
        <v>75643.3</v>
      </c>
      <c r="K445" s="697" t="s">
        <v>0</v>
      </c>
      <c r="L445" s="22"/>
      <c r="M445" s="817"/>
      <c r="N445" s="817"/>
      <c r="O445" s="817"/>
      <c r="P445" s="817"/>
      <c r="Q445" s="817"/>
    </row>
    <row r="446" spans="1:17" s="20" customFormat="1" ht="25.5" x14ac:dyDescent="0.2">
      <c r="A446" s="125"/>
      <c r="B446" s="789"/>
      <c r="C446" s="818">
        <v>1</v>
      </c>
      <c r="D446" s="819"/>
      <c r="E446" s="820" t="s">
        <v>685</v>
      </c>
      <c r="F446" s="1640">
        <v>88842.9</v>
      </c>
      <c r="G446" s="1640">
        <v>88842.9</v>
      </c>
      <c r="H446" s="1640">
        <v>87425.599999999991</v>
      </c>
      <c r="I446" s="1640">
        <v>74928.600000000006</v>
      </c>
      <c r="J446" s="1640">
        <v>75643.3</v>
      </c>
      <c r="K446" s="821" t="s">
        <v>686</v>
      </c>
      <c r="L446" s="822" t="s">
        <v>590</v>
      </c>
      <c r="M446" s="822">
        <v>3063.8</v>
      </c>
      <c r="N446" s="823">
        <v>3746</v>
      </c>
      <c r="O446" s="158">
        <v>3576.8</v>
      </c>
      <c r="P446" s="592">
        <v>3572.6</v>
      </c>
      <c r="Q446" s="592">
        <v>3572.6</v>
      </c>
    </row>
    <row r="447" spans="1:17" s="20" customFormat="1" ht="12.75" x14ac:dyDescent="0.2">
      <c r="A447" s="125"/>
      <c r="B447" s="824">
        <v>10</v>
      </c>
      <c r="C447" s="651"/>
      <c r="D447" s="825"/>
      <c r="E447" s="93" t="s">
        <v>687</v>
      </c>
      <c r="F447" s="1641"/>
      <c r="G447" s="1641">
        <f>G448</f>
        <v>108337</v>
      </c>
      <c r="H447" s="1641">
        <f>H448</f>
        <v>3173529.1</v>
      </c>
      <c r="I447" s="1642"/>
      <c r="J447" s="1642"/>
      <c r="K447" s="826"/>
      <c r="L447" s="827"/>
      <c r="M447" s="828"/>
      <c r="N447" s="828"/>
      <c r="O447" s="828"/>
      <c r="P447" s="828"/>
      <c r="Q447" s="828"/>
    </row>
    <row r="448" spans="1:17" s="20" customFormat="1" ht="12.75" x14ac:dyDescent="0.2">
      <c r="A448" s="125"/>
      <c r="B448" s="829"/>
      <c r="C448" s="676" t="s">
        <v>114</v>
      </c>
      <c r="D448" s="249"/>
      <c r="E448" s="371" t="s">
        <v>688</v>
      </c>
      <c r="F448" s="1639"/>
      <c r="G448" s="1568">
        <f>190+108147</f>
        <v>108337</v>
      </c>
      <c r="H448" s="1553">
        <v>3173529.1</v>
      </c>
      <c r="I448" s="1643"/>
      <c r="J448" s="1643"/>
      <c r="K448" s="830"/>
      <c r="L448" s="827"/>
      <c r="M448" s="827"/>
      <c r="N448" s="828"/>
      <c r="O448" s="828"/>
      <c r="P448" s="828"/>
      <c r="Q448" s="828"/>
    </row>
    <row r="449" spans="1:34" s="120" customFormat="1" ht="27.75" customHeight="1" x14ac:dyDescent="0.2">
      <c r="A449" s="2169" t="s">
        <v>68</v>
      </c>
      <c r="B449" s="2170"/>
      <c r="C449" s="2170"/>
      <c r="D449" s="2170"/>
      <c r="E449" s="2238"/>
      <c r="F449" s="1580">
        <v>616539.59</v>
      </c>
      <c r="G449" s="1580">
        <v>605139.6</v>
      </c>
      <c r="H449" s="1580">
        <f>H384+H393+H403+H409+H415+H423+H429+H434+H445+H447</f>
        <v>3758620.7</v>
      </c>
      <c r="I449" s="1580">
        <v>576305.01591000007</v>
      </c>
      <c r="J449" s="1580">
        <v>581802.88945676549</v>
      </c>
      <c r="K449" s="119"/>
      <c r="L449" s="82"/>
      <c r="M449" s="82"/>
      <c r="N449" s="82"/>
      <c r="O449" s="82"/>
      <c r="P449" s="82"/>
      <c r="Q449" s="82"/>
    </row>
    <row r="450" spans="1:34" s="120" customFormat="1" ht="23.25" customHeight="1" x14ac:dyDescent="0.2">
      <c r="A450" s="251"/>
      <c r="B450" s="1912" t="s">
        <v>689</v>
      </c>
      <c r="C450" s="1913"/>
      <c r="D450" s="1913"/>
      <c r="E450" s="1913"/>
      <c r="F450" s="1913"/>
      <c r="G450" s="1913"/>
      <c r="H450" s="1913"/>
      <c r="I450" s="1913"/>
      <c r="J450" s="1913"/>
      <c r="K450" s="252"/>
      <c r="L450" s="252"/>
      <c r="M450" s="252"/>
      <c r="N450" s="252"/>
      <c r="O450" s="252"/>
      <c r="P450" s="252"/>
      <c r="Q450" s="253"/>
    </row>
    <row r="451" spans="1:34" s="120" customFormat="1" ht="20.25" customHeight="1" x14ac:dyDescent="0.2">
      <c r="A451" s="251"/>
      <c r="B451" s="1912" t="s">
        <v>690</v>
      </c>
      <c r="C451" s="1913"/>
      <c r="D451" s="1913"/>
      <c r="E451" s="1913"/>
      <c r="F451" s="1913"/>
      <c r="G451" s="1913"/>
      <c r="H451" s="1913"/>
      <c r="I451" s="1913"/>
      <c r="J451" s="1913"/>
      <c r="K451" s="252"/>
      <c r="L451" s="252"/>
      <c r="M451" s="252"/>
      <c r="N451" s="252"/>
      <c r="O451" s="252"/>
      <c r="P451" s="252"/>
      <c r="Q451" s="253"/>
    </row>
    <row r="452" spans="1:34" ht="25.5" x14ac:dyDescent="0.2">
      <c r="B452" s="2303" t="s">
        <v>111</v>
      </c>
      <c r="C452" s="2303"/>
      <c r="D452" s="2303"/>
      <c r="E452" s="2304" t="s">
        <v>2523</v>
      </c>
      <c r="F452" s="1539"/>
      <c r="G452" s="1539"/>
      <c r="H452" s="1539"/>
      <c r="I452" s="1539"/>
      <c r="J452" s="1540"/>
      <c r="K452" s="600" t="s">
        <v>691</v>
      </c>
      <c r="L452" s="52" t="s">
        <v>16</v>
      </c>
      <c r="M452" s="80">
        <v>0.7</v>
      </c>
      <c r="N452" s="80">
        <v>0.71</v>
      </c>
      <c r="O452" s="80">
        <v>0.72</v>
      </c>
      <c r="P452" s="80">
        <v>0.73</v>
      </c>
      <c r="Q452" s="254"/>
    </row>
    <row r="453" spans="1:34" ht="38.25" customHeight="1" x14ac:dyDescent="0.2">
      <c r="B453" s="1982"/>
      <c r="C453" s="1982"/>
      <c r="D453" s="1982"/>
      <c r="E453" s="2304"/>
      <c r="F453" s="1541"/>
      <c r="G453" s="1541"/>
      <c r="H453" s="1541"/>
      <c r="I453" s="1541"/>
      <c r="J453" s="1542"/>
      <c r="K453" s="600" t="s">
        <v>692</v>
      </c>
      <c r="L453" s="52" t="s">
        <v>19</v>
      </c>
      <c r="M453" s="255">
        <v>35</v>
      </c>
      <c r="N453" s="255">
        <v>36</v>
      </c>
      <c r="O453" s="255">
        <v>36.5</v>
      </c>
      <c r="P453" s="255">
        <v>37</v>
      </c>
      <c r="Q453" s="254"/>
    </row>
    <row r="454" spans="1:34" ht="38.25" x14ac:dyDescent="0.2">
      <c r="B454" s="581"/>
      <c r="C454" s="581" t="s">
        <v>114</v>
      </c>
      <c r="D454" s="581"/>
      <c r="E454" s="72" t="s">
        <v>182</v>
      </c>
      <c r="F454" s="1339">
        <v>2895.1</v>
      </c>
      <c r="G454" s="1339">
        <v>2877.3</v>
      </c>
      <c r="H454" s="1339">
        <v>2751.9</v>
      </c>
      <c r="I454" s="1339">
        <v>2751.9</v>
      </c>
      <c r="J454" s="1339">
        <v>2751.9</v>
      </c>
      <c r="K454" s="600" t="s">
        <v>693</v>
      </c>
      <c r="L454" s="52" t="s">
        <v>16</v>
      </c>
      <c r="M454" s="80" t="s">
        <v>2758</v>
      </c>
      <c r="N454" s="80" t="s">
        <v>2759</v>
      </c>
      <c r="O454" s="80" t="s">
        <v>2759</v>
      </c>
      <c r="P454" s="80" t="s">
        <v>2759</v>
      </c>
      <c r="Q454" s="254"/>
    </row>
    <row r="455" spans="1:34" ht="38.25" x14ac:dyDescent="0.2">
      <c r="B455" s="581"/>
      <c r="C455" s="581" t="s">
        <v>116</v>
      </c>
      <c r="D455" s="581"/>
      <c r="E455" s="72" t="s">
        <v>694</v>
      </c>
      <c r="F455" s="1339">
        <v>6584.2</v>
      </c>
      <c r="G455" s="1339">
        <v>6659.5</v>
      </c>
      <c r="H455" s="1339">
        <v>6695.6</v>
      </c>
      <c r="I455" s="1339">
        <v>6695.6</v>
      </c>
      <c r="J455" s="1339">
        <v>6695.6</v>
      </c>
      <c r="K455" s="600" t="s">
        <v>695</v>
      </c>
      <c r="L455" s="52" t="s">
        <v>16</v>
      </c>
      <c r="M455" s="80" t="s">
        <v>2759</v>
      </c>
      <c r="N455" s="80" t="s">
        <v>2759</v>
      </c>
      <c r="O455" s="80" t="s">
        <v>2759</v>
      </c>
      <c r="P455" s="80" t="s">
        <v>2759</v>
      </c>
      <c r="Q455" s="254"/>
    </row>
    <row r="456" spans="1:34" ht="25.5" x14ac:dyDescent="0.2">
      <c r="B456" s="581"/>
      <c r="C456" s="581" t="s">
        <v>119</v>
      </c>
      <c r="D456" s="581"/>
      <c r="E456" s="831" t="s">
        <v>696</v>
      </c>
      <c r="F456" s="1339">
        <v>1798.5</v>
      </c>
      <c r="G456" s="1339">
        <v>1811</v>
      </c>
      <c r="H456" s="1339">
        <v>1780.3</v>
      </c>
      <c r="I456" s="1339">
        <v>1780.3</v>
      </c>
      <c r="J456" s="1339">
        <v>1780.3</v>
      </c>
      <c r="K456" s="600" t="s">
        <v>697</v>
      </c>
      <c r="L456" s="52" t="s">
        <v>16</v>
      </c>
      <c r="M456" s="256">
        <v>0.85</v>
      </c>
      <c r="N456" s="256">
        <v>0.9</v>
      </c>
      <c r="O456" s="256">
        <v>0.95</v>
      </c>
      <c r="P456" s="256">
        <v>0.95</v>
      </c>
      <c r="Q456" s="254"/>
    </row>
    <row r="457" spans="1:34" ht="38.25" x14ac:dyDescent="0.2">
      <c r="B457" s="2210"/>
      <c r="C457" s="2210" t="s">
        <v>124</v>
      </c>
      <c r="D457" s="2210"/>
      <c r="E457" s="2308" t="s">
        <v>698</v>
      </c>
      <c r="F457" s="2307">
        <v>3213.5</v>
      </c>
      <c r="G457" s="2307">
        <v>3234.2</v>
      </c>
      <c r="H457" s="2307">
        <v>3070.8</v>
      </c>
      <c r="I457" s="2307">
        <v>3070.8</v>
      </c>
      <c r="J457" s="2307">
        <v>3070.8</v>
      </c>
      <c r="K457" s="600" t="s">
        <v>699</v>
      </c>
      <c r="L457" s="52" t="s">
        <v>700</v>
      </c>
      <c r="M457" s="257" t="s">
        <v>2761</v>
      </c>
      <c r="N457" s="257" t="s">
        <v>2760</v>
      </c>
      <c r="O457" s="257" t="s">
        <v>2760</v>
      </c>
      <c r="P457" s="257" t="s">
        <v>2760</v>
      </c>
      <c r="Q457" s="254"/>
      <c r="R457" s="252"/>
      <c r="S457" s="252"/>
      <c r="T457" s="252"/>
      <c r="U457" s="252"/>
      <c r="V457" s="252"/>
      <c r="W457" s="252"/>
      <c r="X457" s="252"/>
      <c r="Y457" s="252"/>
      <c r="Z457" s="252"/>
      <c r="AA457" s="252"/>
      <c r="AB457" s="252"/>
      <c r="AC457" s="252"/>
      <c r="AD457" s="252"/>
      <c r="AE457" s="252"/>
      <c r="AF457" s="252"/>
      <c r="AG457" s="252"/>
      <c r="AH457" s="253"/>
    </row>
    <row r="458" spans="1:34" ht="38.25" x14ac:dyDescent="0.2">
      <c r="B458" s="2210"/>
      <c r="C458" s="2210"/>
      <c r="D458" s="2210"/>
      <c r="E458" s="2308"/>
      <c r="F458" s="2172"/>
      <c r="G458" s="2172"/>
      <c r="H458" s="2172"/>
      <c r="I458" s="2172"/>
      <c r="J458" s="2172"/>
      <c r="K458" s="600" t="s">
        <v>701</v>
      </c>
      <c r="L458" s="52" t="s">
        <v>700</v>
      </c>
      <c r="M458" s="654" t="s">
        <v>2762</v>
      </c>
      <c r="N458" s="654" t="s">
        <v>2762</v>
      </c>
      <c r="O458" s="654" t="s">
        <v>2762</v>
      </c>
      <c r="P458" s="654" t="s">
        <v>2762</v>
      </c>
      <c r="Q458" s="254"/>
      <c r="R458" s="252"/>
      <c r="S458" s="252"/>
      <c r="T458" s="252"/>
      <c r="U458" s="252"/>
      <c r="V458" s="252"/>
      <c r="W458" s="252"/>
      <c r="X458" s="252"/>
      <c r="Y458" s="252"/>
      <c r="Z458" s="252"/>
      <c r="AA458" s="252"/>
      <c r="AB458" s="252"/>
      <c r="AC458" s="252"/>
      <c r="AD458" s="252"/>
      <c r="AE458" s="252"/>
      <c r="AF458" s="252"/>
      <c r="AG458" s="252"/>
      <c r="AH458" s="253"/>
    </row>
    <row r="459" spans="1:34" ht="38.25" x14ac:dyDescent="0.2">
      <c r="B459" s="581"/>
      <c r="C459" s="581" t="s">
        <v>128</v>
      </c>
      <c r="D459" s="581"/>
      <c r="E459" s="72" t="s">
        <v>702</v>
      </c>
      <c r="F459" s="1339">
        <v>4897.6000000000004</v>
      </c>
      <c r="G459" s="1339">
        <v>4903.2</v>
      </c>
      <c r="H459" s="1339">
        <v>3443.3</v>
      </c>
      <c r="I459" s="1339">
        <v>3443.3</v>
      </c>
      <c r="J459" s="1339">
        <v>3443.3</v>
      </c>
      <c r="K459" s="832" t="s">
        <v>703</v>
      </c>
      <c r="L459" s="52" t="s">
        <v>16</v>
      </c>
      <c r="M459" s="80" t="s">
        <v>2758</v>
      </c>
      <c r="N459" s="80" t="s">
        <v>2758</v>
      </c>
      <c r="O459" s="80" t="s">
        <v>2758</v>
      </c>
      <c r="P459" s="80" t="s">
        <v>2758</v>
      </c>
      <c r="Q459" s="254"/>
    </row>
    <row r="460" spans="1:34" ht="25.5" x14ac:dyDescent="0.2">
      <c r="B460" s="2210"/>
      <c r="C460" s="2210" t="s">
        <v>202</v>
      </c>
      <c r="D460" s="2210"/>
      <c r="E460" s="2308" t="s">
        <v>704</v>
      </c>
      <c r="F460" s="2307">
        <v>3783.6</v>
      </c>
      <c r="G460" s="2307">
        <v>3767.6</v>
      </c>
      <c r="H460" s="2307">
        <v>3554.4</v>
      </c>
      <c r="I460" s="2307">
        <v>3554.4</v>
      </c>
      <c r="J460" s="2307">
        <v>3554.4</v>
      </c>
      <c r="K460" s="600" t="s">
        <v>705</v>
      </c>
      <c r="L460" s="258" t="s">
        <v>30</v>
      </c>
      <c r="M460" s="259">
        <v>1062</v>
      </c>
      <c r="N460" s="259">
        <v>1062</v>
      </c>
      <c r="O460" s="259">
        <v>1062</v>
      </c>
      <c r="P460" s="259">
        <v>1062</v>
      </c>
      <c r="Q460" s="254"/>
    </row>
    <row r="461" spans="1:34" ht="12.75" x14ac:dyDescent="0.2">
      <c r="B461" s="2210"/>
      <c r="C461" s="2210"/>
      <c r="D461" s="2210"/>
      <c r="E461" s="2308"/>
      <c r="F461" s="2171"/>
      <c r="G461" s="2171"/>
      <c r="H461" s="2171"/>
      <c r="I461" s="2171"/>
      <c r="J461" s="2171"/>
      <c r="K461" s="600" t="s">
        <v>706</v>
      </c>
      <c r="L461" s="258" t="s">
        <v>30</v>
      </c>
      <c r="M461" s="259">
        <v>6750</v>
      </c>
      <c r="N461" s="259">
        <v>6750</v>
      </c>
      <c r="O461" s="259">
        <v>6750</v>
      </c>
      <c r="P461" s="259">
        <v>6750</v>
      </c>
      <c r="Q461" s="254"/>
    </row>
    <row r="462" spans="1:34" ht="12.75" x14ac:dyDescent="0.2">
      <c r="B462" s="2210"/>
      <c r="C462" s="2210"/>
      <c r="D462" s="2210"/>
      <c r="E462" s="2308"/>
      <c r="F462" s="2172"/>
      <c r="G462" s="2172"/>
      <c r="H462" s="2172"/>
      <c r="I462" s="2172"/>
      <c r="J462" s="2172"/>
      <c r="K462" s="600" t="s">
        <v>707</v>
      </c>
      <c r="L462" s="258" t="s">
        <v>30</v>
      </c>
      <c r="M462" s="259">
        <v>560</v>
      </c>
      <c r="N462" s="259">
        <v>560</v>
      </c>
      <c r="O462" s="259">
        <v>560</v>
      </c>
      <c r="P462" s="259">
        <v>560</v>
      </c>
      <c r="Q462" s="254"/>
    </row>
    <row r="463" spans="1:34" ht="25.5" x14ac:dyDescent="0.2">
      <c r="B463" s="581"/>
      <c r="C463" s="581" t="s">
        <v>149</v>
      </c>
      <c r="D463" s="581"/>
      <c r="E463" s="833" t="s">
        <v>2589</v>
      </c>
      <c r="F463" s="1339">
        <v>2651.3</v>
      </c>
      <c r="G463" s="1339">
        <v>2713.3</v>
      </c>
      <c r="H463" s="1339">
        <v>2545.3000000000002</v>
      </c>
      <c r="I463" s="1339">
        <v>2545.3000000000002</v>
      </c>
      <c r="J463" s="1339">
        <v>2545.3000000000002</v>
      </c>
      <c r="K463" s="600" t="s">
        <v>708</v>
      </c>
      <c r="L463" s="52" t="s">
        <v>30</v>
      </c>
      <c r="M463" s="259">
        <v>11</v>
      </c>
      <c r="N463" s="259">
        <v>12</v>
      </c>
      <c r="O463" s="259">
        <v>13</v>
      </c>
      <c r="P463" s="259">
        <v>13</v>
      </c>
      <c r="Q463" s="254"/>
    </row>
    <row r="464" spans="1:34" ht="25.5" x14ac:dyDescent="0.2">
      <c r="B464" s="2303"/>
      <c r="C464" s="2303" t="s">
        <v>152</v>
      </c>
      <c r="D464" s="2303"/>
      <c r="E464" s="2308" t="s">
        <v>709</v>
      </c>
      <c r="F464" s="2307">
        <v>8978.9</v>
      </c>
      <c r="G464" s="2307">
        <v>15684.5</v>
      </c>
      <c r="H464" s="2307">
        <v>21000</v>
      </c>
      <c r="I464" s="2307">
        <v>26000</v>
      </c>
      <c r="J464" s="2307">
        <v>31000</v>
      </c>
      <c r="K464" s="600" t="s">
        <v>710</v>
      </c>
      <c r="L464" s="52" t="s">
        <v>16</v>
      </c>
      <c r="M464" s="79">
        <v>0.95</v>
      </c>
      <c r="N464" s="79">
        <v>0.98</v>
      </c>
      <c r="O464" s="79">
        <v>1</v>
      </c>
      <c r="P464" s="79">
        <v>1</v>
      </c>
      <c r="Q464" s="254"/>
    </row>
    <row r="465" spans="2:17" ht="25.5" x14ac:dyDescent="0.2">
      <c r="B465" s="1982"/>
      <c r="C465" s="1982"/>
      <c r="D465" s="1982"/>
      <c r="E465" s="2308"/>
      <c r="F465" s="2172"/>
      <c r="G465" s="2172"/>
      <c r="H465" s="2172"/>
      <c r="I465" s="2172"/>
      <c r="J465" s="2172"/>
      <c r="K465" s="600" t="s">
        <v>711</v>
      </c>
      <c r="L465" s="52" t="s">
        <v>16</v>
      </c>
      <c r="M465" s="79">
        <v>0.05</v>
      </c>
      <c r="N465" s="79">
        <v>0.06</v>
      </c>
      <c r="O465" s="79">
        <v>7.0000000000000007E-2</v>
      </c>
      <c r="P465" s="79">
        <v>0.08</v>
      </c>
      <c r="Q465" s="254"/>
    </row>
    <row r="466" spans="2:17" ht="25.5" x14ac:dyDescent="0.2">
      <c r="B466" s="581"/>
      <c r="C466" s="581" t="s">
        <v>279</v>
      </c>
      <c r="D466" s="581"/>
      <c r="E466" s="72" t="s">
        <v>712</v>
      </c>
      <c r="F466" s="1339">
        <v>15265.9</v>
      </c>
      <c r="G466" s="1339">
        <v>18699.5</v>
      </c>
      <c r="H466" s="1339">
        <v>36935</v>
      </c>
      <c r="I466" s="1339">
        <v>36935</v>
      </c>
      <c r="J466" s="1339">
        <v>36935</v>
      </c>
      <c r="K466" s="600" t="s">
        <v>713</v>
      </c>
      <c r="L466" s="52" t="s">
        <v>16</v>
      </c>
      <c r="M466" s="256" t="s">
        <v>2763</v>
      </c>
      <c r="N466" s="256" t="str">
        <f>M466</f>
        <v>20% дан көп эмес</v>
      </c>
      <c r="O466" s="256" t="str">
        <f>N466</f>
        <v>20% дан көп эмес</v>
      </c>
      <c r="P466" s="256" t="str">
        <f>O466</f>
        <v>20% дан көп эмес</v>
      </c>
      <c r="Q466" s="254"/>
    </row>
    <row r="467" spans="2:17" ht="25.5" x14ac:dyDescent="0.2">
      <c r="B467" s="2303"/>
      <c r="C467" s="2303" t="s">
        <v>284</v>
      </c>
      <c r="D467" s="2303"/>
      <c r="E467" s="2308" t="s">
        <v>714</v>
      </c>
      <c r="F467" s="2307">
        <v>82535.199999999997</v>
      </c>
      <c r="G467" s="2307">
        <v>81406.7</v>
      </c>
      <c r="H467" s="2307">
        <v>89223.4</v>
      </c>
      <c r="I467" s="2307">
        <v>89223.4</v>
      </c>
      <c r="J467" s="2307">
        <v>89223.4</v>
      </c>
      <c r="K467" s="600" t="s">
        <v>715</v>
      </c>
      <c r="L467" s="52" t="s">
        <v>16</v>
      </c>
      <c r="M467" s="260" t="s">
        <v>2764</v>
      </c>
      <c r="N467" s="260" t="s">
        <v>2765</v>
      </c>
      <c r="O467" s="260" t="s">
        <v>2765</v>
      </c>
      <c r="P467" s="260" t="s">
        <v>2766</v>
      </c>
      <c r="Q467" s="254"/>
    </row>
    <row r="468" spans="2:17" ht="38.25" x14ac:dyDescent="0.2">
      <c r="B468" s="1981"/>
      <c r="C468" s="1981"/>
      <c r="D468" s="1981"/>
      <c r="E468" s="2308"/>
      <c r="F468" s="2171"/>
      <c r="G468" s="2171"/>
      <c r="H468" s="2171"/>
      <c r="I468" s="2171"/>
      <c r="J468" s="2171"/>
      <c r="K468" s="600" t="s">
        <v>716</v>
      </c>
      <c r="L468" s="52" t="s">
        <v>16</v>
      </c>
      <c r="M468" s="80" t="s">
        <v>2767</v>
      </c>
      <c r="N468" s="80" t="s">
        <v>2767</v>
      </c>
      <c r="O468" s="80" t="s">
        <v>2767</v>
      </c>
      <c r="P468" s="80" t="s">
        <v>2767</v>
      </c>
      <c r="Q468" s="254"/>
    </row>
    <row r="469" spans="2:17" ht="25.5" customHeight="1" x14ac:dyDescent="0.2">
      <c r="B469" s="1982"/>
      <c r="C469" s="1982"/>
      <c r="D469" s="1982"/>
      <c r="E469" s="2308"/>
      <c r="F469" s="2172"/>
      <c r="G469" s="2172"/>
      <c r="H469" s="2172"/>
      <c r="I469" s="2172"/>
      <c r="J469" s="2172"/>
      <c r="K469" s="600" t="s">
        <v>717</v>
      </c>
      <c r="L469" s="52" t="s">
        <v>16</v>
      </c>
      <c r="M469" s="80" t="s">
        <v>2767</v>
      </c>
      <c r="N469" s="80" t="s">
        <v>2767</v>
      </c>
      <c r="O469" s="80" t="s">
        <v>2768</v>
      </c>
      <c r="P469" s="80" t="s">
        <v>2768</v>
      </c>
      <c r="Q469" s="254"/>
    </row>
    <row r="470" spans="2:17" ht="12.75" x14ac:dyDescent="0.2">
      <c r="B470" s="262"/>
      <c r="C470" s="581"/>
      <c r="D470" s="581"/>
      <c r="E470" s="834" t="s">
        <v>2590</v>
      </c>
      <c r="F470" s="1340">
        <f>SUM(F454:F469)</f>
        <v>132603.79999999999</v>
      </c>
      <c r="G470" s="1340">
        <f>SUM(G454:G469)</f>
        <v>141756.79999999999</v>
      </c>
      <c r="H470" s="1340">
        <f>SUM(H454:H469)</f>
        <v>171000</v>
      </c>
      <c r="I470" s="1340">
        <f>SUM(I454:I469)</f>
        <v>176000</v>
      </c>
      <c r="J470" s="1340">
        <f>SUM(J454:J469)</f>
        <v>181000</v>
      </c>
      <c r="K470" s="81"/>
      <c r="L470" s="52"/>
      <c r="M470" s="260"/>
      <c r="N470" s="260"/>
      <c r="O470" s="260"/>
      <c r="P470" s="260"/>
      <c r="Q470" s="254"/>
    </row>
    <row r="471" spans="2:17" ht="38.25" x14ac:dyDescent="0.2">
      <c r="B471" s="2303" t="s">
        <v>131</v>
      </c>
      <c r="C471" s="2303"/>
      <c r="D471" s="2303"/>
      <c r="E471" s="2309" t="s">
        <v>2524</v>
      </c>
      <c r="F471" s="1539"/>
      <c r="G471" s="1539"/>
      <c r="H471" s="1539"/>
      <c r="I471" s="1539"/>
      <c r="J471" s="1540"/>
      <c r="K471" s="600" t="s">
        <v>718</v>
      </c>
      <c r="L471" s="52" t="s">
        <v>16</v>
      </c>
      <c r="M471" s="80">
        <v>0.38287459948650127</v>
      </c>
      <c r="N471" s="80">
        <v>0.35321297170787036</v>
      </c>
      <c r="O471" s="80">
        <v>0.36502480389027964</v>
      </c>
      <c r="P471" s="80">
        <v>0.36505092752441137</v>
      </c>
      <c r="Q471" s="254"/>
    </row>
    <row r="472" spans="2:17" ht="12.75" x14ac:dyDescent="0.2">
      <c r="B472" s="1981"/>
      <c r="C472" s="1981"/>
      <c r="D472" s="1981"/>
      <c r="E472" s="2309"/>
      <c r="F472" s="1543"/>
      <c r="G472" s="1543"/>
      <c r="H472" s="1543"/>
      <c r="I472" s="1543"/>
      <c r="J472" s="1544"/>
      <c r="K472" s="600" t="s">
        <v>719</v>
      </c>
      <c r="L472" s="52" t="s">
        <v>30</v>
      </c>
      <c r="M472" s="263">
        <v>2.5</v>
      </c>
      <c r="N472" s="263">
        <v>2.5</v>
      </c>
      <c r="O472" s="263">
        <v>2.6</v>
      </c>
      <c r="P472" s="263">
        <v>2.7</v>
      </c>
      <c r="Q472" s="254"/>
    </row>
    <row r="473" spans="2:17" ht="25.5" x14ac:dyDescent="0.2">
      <c r="B473" s="1981"/>
      <c r="C473" s="1981"/>
      <c r="D473" s="1981"/>
      <c r="E473" s="2309"/>
      <c r="F473" s="1543"/>
      <c r="G473" s="1543"/>
      <c r="H473" s="1543"/>
      <c r="I473" s="1543"/>
      <c r="J473" s="1544"/>
      <c r="K473" s="600" t="s">
        <v>720</v>
      </c>
      <c r="L473" s="52" t="s">
        <v>16</v>
      </c>
      <c r="M473" s="80">
        <v>1</v>
      </c>
      <c r="N473" s="80">
        <v>1</v>
      </c>
      <c r="O473" s="80">
        <v>1</v>
      </c>
      <c r="P473" s="80">
        <v>1</v>
      </c>
      <c r="Q473" s="254"/>
    </row>
    <row r="474" spans="2:17" ht="39.75" customHeight="1" x14ac:dyDescent="0.2">
      <c r="B474" s="611"/>
      <c r="C474" s="611"/>
      <c r="D474" s="611"/>
      <c r="E474" s="2309"/>
      <c r="F474" s="1541"/>
      <c r="G474" s="1541"/>
      <c r="H474" s="1541"/>
      <c r="I474" s="1541"/>
      <c r="J474" s="1542"/>
      <c r="K474" s="600" t="s">
        <v>721</v>
      </c>
      <c r="L474" s="52" t="s">
        <v>16</v>
      </c>
      <c r="M474" s="80">
        <v>0.7</v>
      </c>
      <c r="N474" s="80">
        <v>0.72</v>
      </c>
      <c r="O474" s="80">
        <v>0.73</v>
      </c>
      <c r="P474" s="80">
        <v>0.75</v>
      </c>
      <c r="Q474" s="254"/>
    </row>
    <row r="475" spans="2:17" ht="25.5" x14ac:dyDescent="0.2">
      <c r="B475" s="2303"/>
      <c r="C475" s="2303" t="s">
        <v>114</v>
      </c>
      <c r="D475" s="2303"/>
      <c r="E475" s="2308" t="s">
        <v>722</v>
      </c>
      <c r="F475" s="2268">
        <v>427199.7</v>
      </c>
      <c r="G475" s="2268">
        <v>593367.9</v>
      </c>
      <c r="H475" s="2268">
        <v>447802.4</v>
      </c>
      <c r="I475" s="2268">
        <v>447802.4</v>
      </c>
      <c r="J475" s="2268">
        <v>447802.4</v>
      </c>
      <c r="K475" s="600" t="s">
        <v>723</v>
      </c>
      <c r="L475" s="52" t="s">
        <v>16</v>
      </c>
      <c r="M475" s="80">
        <v>0.96</v>
      </c>
      <c r="N475" s="80">
        <v>0.96</v>
      </c>
      <c r="O475" s="80">
        <v>1</v>
      </c>
      <c r="P475" s="80">
        <v>1</v>
      </c>
      <c r="Q475" s="254"/>
    </row>
    <row r="476" spans="2:17" ht="33.75" customHeight="1" x14ac:dyDescent="0.2">
      <c r="B476" s="1982"/>
      <c r="C476" s="1982"/>
      <c r="D476" s="1982"/>
      <c r="E476" s="2308"/>
      <c r="F476" s="1919"/>
      <c r="G476" s="1919"/>
      <c r="H476" s="1919"/>
      <c r="I476" s="1919"/>
      <c r="J476" s="1919"/>
      <c r="K476" s="600" t="s">
        <v>724</v>
      </c>
      <c r="L476" s="52" t="s">
        <v>725</v>
      </c>
      <c r="M476" s="263">
        <v>100.7</v>
      </c>
      <c r="N476" s="264">
        <v>100.7</v>
      </c>
      <c r="O476" s="264">
        <v>100.7</v>
      </c>
      <c r="P476" s="263">
        <v>100.7</v>
      </c>
      <c r="Q476" s="254"/>
    </row>
    <row r="477" spans="2:17" ht="51" x14ac:dyDescent="0.2">
      <c r="B477" s="2303"/>
      <c r="C477" s="2303" t="s">
        <v>116</v>
      </c>
      <c r="D477" s="2303"/>
      <c r="E477" s="2310" t="s">
        <v>726</v>
      </c>
      <c r="F477" s="2268">
        <v>4048761.2</v>
      </c>
      <c r="G477" s="2268">
        <v>4036376.8</v>
      </c>
      <c r="H477" s="2268">
        <v>4022287.8</v>
      </c>
      <c r="I477" s="2268">
        <v>4248436.5999999996</v>
      </c>
      <c r="J477" s="2268">
        <v>4297806.5</v>
      </c>
      <c r="K477" s="600" t="s">
        <v>727</v>
      </c>
      <c r="L477" s="52" t="s">
        <v>16</v>
      </c>
      <c r="M477" s="79">
        <v>0.83</v>
      </c>
      <c r="N477" s="79">
        <v>0.84</v>
      </c>
      <c r="O477" s="79">
        <v>0.85</v>
      </c>
      <c r="P477" s="79">
        <v>0.9</v>
      </c>
      <c r="Q477" s="254"/>
    </row>
    <row r="478" spans="2:17" ht="25.5" x14ac:dyDescent="0.2">
      <c r="B478" s="1981"/>
      <c r="C478" s="1981"/>
      <c r="D478" s="1981"/>
      <c r="E478" s="2311"/>
      <c r="F478" s="1918"/>
      <c r="G478" s="1918"/>
      <c r="H478" s="1918"/>
      <c r="I478" s="1918"/>
      <c r="J478" s="1918"/>
      <c r="K478" s="600" t="s">
        <v>728</v>
      </c>
      <c r="L478" s="52" t="s">
        <v>16</v>
      </c>
      <c r="M478" s="79">
        <v>0.83</v>
      </c>
      <c r="N478" s="79">
        <v>0.84</v>
      </c>
      <c r="O478" s="79">
        <v>0.85</v>
      </c>
      <c r="P478" s="79">
        <v>0.87</v>
      </c>
      <c r="Q478" s="254"/>
    </row>
    <row r="479" spans="2:17" ht="25.5" x14ac:dyDescent="0.2">
      <c r="B479" s="1981"/>
      <c r="C479" s="1981"/>
      <c r="D479" s="1981"/>
      <c r="E479" s="2311"/>
      <c r="F479" s="1918"/>
      <c r="G479" s="1918"/>
      <c r="H479" s="1918"/>
      <c r="I479" s="1918"/>
      <c r="J479" s="1919"/>
      <c r="K479" s="600" t="s">
        <v>729</v>
      </c>
      <c r="L479" s="582" t="s">
        <v>16</v>
      </c>
      <c r="M479" s="79">
        <v>0.75</v>
      </c>
      <c r="N479" s="79">
        <v>0.77</v>
      </c>
      <c r="O479" s="79">
        <v>0.8</v>
      </c>
      <c r="P479" s="79">
        <v>0.85</v>
      </c>
      <c r="Q479" s="254"/>
    </row>
    <row r="480" spans="2:17" ht="25.5" x14ac:dyDescent="0.2">
      <c r="B480" s="2303"/>
      <c r="C480" s="2303" t="s">
        <v>119</v>
      </c>
      <c r="D480" s="2303"/>
      <c r="E480" s="2310" t="s">
        <v>730</v>
      </c>
      <c r="F480" s="2268"/>
      <c r="G480" s="2268">
        <v>286919.3</v>
      </c>
      <c r="H480" s="2268">
        <v>283417.5</v>
      </c>
      <c r="I480" s="2268">
        <v>283417.5</v>
      </c>
      <c r="J480" s="2268">
        <v>283417.5</v>
      </c>
      <c r="K480" s="600" t="s">
        <v>731</v>
      </c>
      <c r="L480" s="52" t="s">
        <v>700</v>
      </c>
      <c r="M480" s="265">
        <v>30133</v>
      </c>
      <c r="N480" s="265">
        <v>30500</v>
      </c>
      <c r="O480" s="265">
        <v>30700</v>
      </c>
      <c r="P480" s="265">
        <v>40100</v>
      </c>
      <c r="Q480" s="254"/>
    </row>
    <row r="481" spans="2:17" ht="25.5" x14ac:dyDescent="0.2">
      <c r="B481" s="1981"/>
      <c r="C481" s="1981"/>
      <c r="D481" s="1981"/>
      <c r="E481" s="2311"/>
      <c r="F481" s="1918"/>
      <c r="G481" s="1918"/>
      <c r="H481" s="1918"/>
      <c r="I481" s="1918"/>
      <c r="J481" s="1918"/>
      <c r="K481" s="59" t="s">
        <v>732</v>
      </c>
      <c r="L481" s="583" t="s">
        <v>16</v>
      </c>
      <c r="M481" s="79">
        <v>0.72</v>
      </c>
      <c r="N481" s="79">
        <v>0.73</v>
      </c>
      <c r="O481" s="79">
        <v>0.74</v>
      </c>
      <c r="P481" s="79">
        <v>0.75</v>
      </c>
      <c r="Q481" s="254"/>
    </row>
    <row r="482" spans="2:17" ht="25.5" x14ac:dyDescent="0.2">
      <c r="B482" s="1981"/>
      <c r="C482" s="1981"/>
      <c r="D482" s="1981"/>
      <c r="E482" s="2311"/>
      <c r="F482" s="1918"/>
      <c r="G482" s="1918"/>
      <c r="H482" s="1918"/>
      <c r="I482" s="1918"/>
      <c r="J482" s="1918"/>
      <c r="K482" s="59" t="s">
        <v>733</v>
      </c>
      <c r="L482" s="583" t="s">
        <v>16</v>
      </c>
      <c r="M482" s="79">
        <v>0.75</v>
      </c>
      <c r="N482" s="79">
        <v>0.76</v>
      </c>
      <c r="O482" s="79">
        <v>0.77</v>
      </c>
      <c r="P482" s="79">
        <v>0.78</v>
      </c>
      <c r="Q482" s="254"/>
    </row>
    <row r="483" spans="2:17" ht="25.5" x14ac:dyDescent="0.2">
      <c r="B483" s="1982"/>
      <c r="C483" s="1982"/>
      <c r="D483" s="1982"/>
      <c r="E483" s="2311"/>
      <c r="F483" s="1919"/>
      <c r="G483" s="1919"/>
      <c r="H483" s="1919"/>
      <c r="I483" s="1919"/>
      <c r="J483" s="1919"/>
      <c r="K483" s="59" t="s">
        <v>734</v>
      </c>
      <c r="L483" s="583" t="s">
        <v>16</v>
      </c>
      <c r="M483" s="79">
        <v>0.57999999999999996</v>
      </c>
      <c r="N483" s="79">
        <v>0.59</v>
      </c>
      <c r="O483" s="79">
        <v>0.6</v>
      </c>
      <c r="P483" s="79">
        <v>0.61</v>
      </c>
      <c r="Q483" s="254"/>
    </row>
    <row r="484" spans="2:17" ht="38.25" x14ac:dyDescent="0.2">
      <c r="B484" s="611"/>
      <c r="C484" s="611" t="s">
        <v>124</v>
      </c>
      <c r="D484" s="611"/>
      <c r="E484" s="72" t="s">
        <v>730</v>
      </c>
      <c r="F484" s="1629">
        <v>32352</v>
      </c>
      <c r="G484" s="1629">
        <v>34236</v>
      </c>
      <c r="H484" s="1629">
        <v>33096</v>
      </c>
      <c r="I484" s="1629">
        <v>33096</v>
      </c>
      <c r="J484" s="1629">
        <v>33096</v>
      </c>
      <c r="K484" s="59" t="s">
        <v>735</v>
      </c>
      <c r="L484" s="583" t="s">
        <v>30</v>
      </c>
      <c r="M484" s="265">
        <v>2320</v>
      </c>
      <c r="N484" s="265">
        <v>2500</v>
      </c>
      <c r="O484" s="265">
        <v>4036</v>
      </c>
      <c r="P484" s="265">
        <v>3638</v>
      </c>
      <c r="Q484" s="254"/>
    </row>
    <row r="485" spans="2:17" ht="79.5" customHeight="1" x14ac:dyDescent="0.2">
      <c r="B485" s="581"/>
      <c r="C485" s="581" t="s">
        <v>128</v>
      </c>
      <c r="D485" s="581"/>
      <c r="E485" s="72" t="s">
        <v>736</v>
      </c>
      <c r="F485" s="1340">
        <v>48000</v>
      </c>
      <c r="G485" s="1340">
        <v>55000</v>
      </c>
      <c r="H485" s="1340">
        <v>55000</v>
      </c>
      <c r="I485" s="1340">
        <v>55000</v>
      </c>
      <c r="J485" s="1340">
        <v>55000</v>
      </c>
      <c r="K485" s="600" t="s">
        <v>737</v>
      </c>
      <c r="L485" s="52" t="s">
        <v>16</v>
      </c>
      <c r="M485" s="80" t="s">
        <v>2769</v>
      </c>
      <c r="N485" s="80" t="s">
        <v>2759</v>
      </c>
      <c r="O485" s="80" t="s">
        <v>2759</v>
      </c>
      <c r="P485" s="80" t="s">
        <v>2759</v>
      </c>
      <c r="Q485" s="254"/>
    </row>
    <row r="486" spans="2:17" ht="25.5" x14ac:dyDescent="0.2">
      <c r="B486" s="581"/>
      <c r="C486" s="581" t="s">
        <v>202</v>
      </c>
      <c r="D486" s="581"/>
      <c r="E486" s="72" t="s">
        <v>738</v>
      </c>
      <c r="F486" s="1340">
        <v>286430</v>
      </c>
      <c r="G486" s="1340">
        <v>307149.2</v>
      </c>
      <c r="H486" s="1340">
        <v>353745.9</v>
      </c>
      <c r="I486" s="1340">
        <v>398557.8</v>
      </c>
      <c r="J486" s="1340">
        <v>450091.5</v>
      </c>
      <c r="K486" s="600" t="s">
        <v>739</v>
      </c>
      <c r="L486" s="52" t="s">
        <v>16</v>
      </c>
      <c r="M486" s="79">
        <v>0.55000000000000004</v>
      </c>
      <c r="N486" s="79">
        <v>0.56000000000000005</v>
      </c>
      <c r="O486" s="79">
        <v>0.57999999999999996</v>
      </c>
      <c r="P486" s="79">
        <v>0.6</v>
      </c>
      <c r="Q486" s="254"/>
    </row>
    <row r="487" spans="2:17" ht="25.5" x14ac:dyDescent="0.2">
      <c r="B487" s="581"/>
      <c r="C487" s="581" t="s">
        <v>149</v>
      </c>
      <c r="D487" s="581"/>
      <c r="E487" s="72" t="s">
        <v>740</v>
      </c>
      <c r="F487" s="1340">
        <v>57980.6</v>
      </c>
      <c r="G487" s="1340">
        <v>298543.90000000002</v>
      </c>
      <c r="H487" s="1340">
        <v>72241.899999999994</v>
      </c>
      <c r="I487" s="1340">
        <v>72241.899999999994</v>
      </c>
      <c r="J487" s="1340">
        <v>72241.899999999994</v>
      </c>
      <c r="K487" s="600" t="s">
        <v>741</v>
      </c>
      <c r="L487" s="582" t="s">
        <v>16</v>
      </c>
      <c r="M487" s="266">
        <v>0.83699999999999997</v>
      </c>
      <c r="N487" s="266">
        <v>1</v>
      </c>
      <c r="O487" s="266">
        <v>1</v>
      </c>
      <c r="P487" s="266">
        <v>1</v>
      </c>
      <c r="Q487" s="254"/>
    </row>
    <row r="488" spans="2:17" ht="38.25" x14ac:dyDescent="0.2">
      <c r="B488" s="581"/>
      <c r="C488" s="581" t="s">
        <v>152</v>
      </c>
      <c r="D488" s="581"/>
      <c r="E488" s="72" t="s">
        <v>742</v>
      </c>
      <c r="F488" s="1340">
        <v>185339.6</v>
      </c>
      <c r="G488" s="1340">
        <v>577418.9</v>
      </c>
      <c r="H488" s="1340">
        <v>183844.7</v>
      </c>
      <c r="I488" s="1340">
        <v>183844.7</v>
      </c>
      <c r="J488" s="1644">
        <v>183844.7</v>
      </c>
      <c r="K488" s="600" t="s">
        <v>743</v>
      </c>
      <c r="L488" s="582" t="s">
        <v>16</v>
      </c>
      <c r="M488" s="80" t="s">
        <v>2774</v>
      </c>
      <c r="N488" s="266">
        <v>1</v>
      </c>
      <c r="O488" s="266">
        <v>1</v>
      </c>
      <c r="P488" s="266">
        <v>1</v>
      </c>
      <c r="Q488" s="254"/>
    </row>
    <row r="489" spans="2:17" ht="38.25" x14ac:dyDescent="0.2">
      <c r="B489" s="581"/>
      <c r="C489" s="581" t="s">
        <v>279</v>
      </c>
      <c r="D489" s="581"/>
      <c r="E489" s="72" t="s">
        <v>744</v>
      </c>
      <c r="F489" s="1340">
        <v>63119.1</v>
      </c>
      <c r="G489" s="1340">
        <v>70000</v>
      </c>
      <c r="H489" s="1340"/>
      <c r="I489" s="1340"/>
      <c r="J489" s="1644"/>
      <c r="K489" s="835"/>
      <c r="L489" s="582" t="s">
        <v>16</v>
      </c>
      <c r="M489" s="80">
        <v>1</v>
      </c>
      <c r="N489" s="80">
        <v>1</v>
      </c>
      <c r="O489" s="80">
        <v>1</v>
      </c>
      <c r="P489" s="267">
        <v>1</v>
      </c>
      <c r="Q489" s="254"/>
    </row>
    <row r="490" spans="2:17" ht="12.75" x14ac:dyDescent="0.2">
      <c r="B490" s="262"/>
      <c r="C490" s="262"/>
      <c r="D490" s="262"/>
      <c r="E490" s="834" t="s">
        <v>2591</v>
      </c>
      <c r="F490" s="1340">
        <f>SUM(F475:F489)</f>
        <v>5149182.1999999993</v>
      </c>
      <c r="G490" s="1340">
        <f>SUM(G475:G489)</f>
        <v>6259012.0000000009</v>
      </c>
      <c r="H490" s="1340">
        <f>SUM(H475:H489)</f>
        <v>5451436.2000000011</v>
      </c>
      <c r="I490" s="1340">
        <f>SUM(I475:I489)</f>
        <v>5722396.9000000004</v>
      </c>
      <c r="J490" s="1340">
        <f>SUM(J475:J489)</f>
        <v>5823300.5000000009</v>
      </c>
      <c r="L490" s="268"/>
      <c r="M490" s="269"/>
      <c r="N490" s="269"/>
      <c r="O490" s="269"/>
      <c r="P490" s="270"/>
      <c r="Q490" s="254"/>
    </row>
    <row r="491" spans="2:17" ht="34.5" customHeight="1" x14ac:dyDescent="0.2">
      <c r="B491" s="2314" t="s">
        <v>155</v>
      </c>
      <c r="C491" s="2303"/>
      <c r="D491" s="2303"/>
      <c r="E491" s="2315" t="s">
        <v>745</v>
      </c>
      <c r="F491" s="1539"/>
      <c r="G491" s="1539"/>
      <c r="H491" s="1539"/>
      <c r="I491" s="1539"/>
      <c r="J491" s="1540"/>
      <c r="K491" s="836" t="s">
        <v>746</v>
      </c>
      <c r="L491" s="583" t="s">
        <v>16</v>
      </c>
      <c r="M491" s="271" t="s">
        <v>2770</v>
      </c>
      <c r="N491" s="271" t="s">
        <v>2771</v>
      </c>
      <c r="O491" s="271" t="s">
        <v>2772</v>
      </c>
      <c r="P491" s="271" t="s">
        <v>2773</v>
      </c>
      <c r="Q491" s="254"/>
    </row>
    <row r="492" spans="2:17" ht="25.5" x14ac:dyDescent="0.2">
      <c r="B492" s="2139"/>
      <c r="C492" s="1981"/>
      <c r="D492" s="1981"/>
      <c r="E492" s="2316"/>
      <c r="F492" s="1543"/>
      <c r="G492" s="1543"/>
      <c r="H492" s="1543"/>
      <c r="I492" s="1543"/>
      <c r="J492" s="1544"/>
      <c r="K492" s="59" t="s">
        <v>747</v>
      </c>
      <c r="L492" s="612" t="s">
        <v>16</v>
      </c>
      <c r="M492" s="272">
        <v>0.82</v>
      </c>
      <c r="N492" s="272">
        <v>0.83</v>
      </c>
      <c r="O492" s="272">
        <v>0.85</v>
      </c>
      <c r="P492" s="80" t="s">
        <v>2775</v>
      </c>
      <c r="Q492" s="254"/>
    </row>
    <row r="493" spans="2:17" ht="25.5" x14ac:dyDescent="0.2">
      <c r="B493" s="2139"/>
      <c r="C493" s="1981"/>
      <c r="D493" s="1981"/>
      <c r="E493" s="2316"/>
      <c r="F493" s="1543"/>
      <c r="G493" s="1543"/>
      <c r="H493" s="1543"/>
      <c r="I493" s="1543"/>
      <c r="J493" s="1544"/>
      <c r="K493" s="836" t="s">
        <v>748</v>
      </c>
      <c r="L493" s="2214" t="s">
        <v>16</v>
      </c>
      <c r="M493" s="266"/>
      <c r="N493" s="266"/>
      <c r="O493" s="266"/>
      <c r="P493" s="266"/>
      <c r="Q493" s="254"/>
    </row>
    <row r="494" spans="2:17" ht="12.75" x14ac:dyDescent="0.2">
      <c r="B494" s="611"/>
      <c r="C494" s="611"/>
      <c r="D494" s="611"/>
      <c r="E494" s="2316"/>
      <c r="F494" s="1543"/>
      <c r="G494" s="1543"/>
      <c r="H494" s="1543"/>
      <c r="I494" s="1543"/>
      <c r="J494" s="1544"/>
      <c r="K494" s="836" t="s">
        <v>749</v>
      </c>
      <c r="L494" s="2312"/>
      <c r="M494" s="272">
        <v>0.14899999999999999</v>
      </c>
      <c r="N494" s="272">
        <v>0.15</v>
      </c>
      <c r="O494" s="272">
        <v>0.151</v>
      </c>
      <c r="P494" s="272">
        <v>0.152</v>
      </c>
      <c r="Q494" s="254"/>
    </row>
    <row r="495" spans="2:17" ht="12.75" x14ac:dyDescent="0.2">
      <c r="B495" s="611"/>
      <c r="C495" s="611"/>
      <c r="D495" s="611"/>
      <c r="E495" s="2317"/>
      <c r="F495" s="1541"/>
      <c r="G495" s="1541"/>
      <c r="H495" s="1541"/>
      <c r="I495" s="1541"/>
      <c r="J495" s="1542"/>
      <c r="K495" s="836" t="s">
        <v>750</v>
      </c>
      <c r="L495" s="2215"/>
      <c r="M495" s="271">
        <v>5.5E-2</v>
      </c>
      <c r="N495" s="271">
        <v>5.6000000000000001E-2</v>
      </c>
      <c r="O495" s="271">
        <v>5.7000000000000002E-2</v>
      </c>
      <c r="P495" s="271">
        <v>5.8000000000000003E-2</v>
      </c>
      <c r="Q495" s="254"/>
    </row>
    <row r="496" spans="2:17" ht="25.5" x14ac:dyDescent="0.2">
      <c r="B496" s="2303"/>
      <c r="C496" s="2303" t="s">
        <v>114</v>
      </c>
      <c r="D496" s="2303"/>
      <c r="E496" s="2310" t="s">
        <v>751</v>
      </c>
      <c r="F496" s="1862">
        <v>6272748.0999999996</v>
      </c>
      <c r="G496" s="1862">
        <v>6391248.2999999998</v>
      </c>
      <c r="H496" s="1862">
        <v>6231419.2999999998</v>
      </c>
      <c r="I496" s="1862">
        <v>6581774</v>
      </c>
      <c r="J496" s="1862">
        <v>6658259.0999999996</v>
      </c>
      <c r="K496" s="600" t="s">
        <v>752</v>
      </c>
      <c r="L496" s="52" t="s">
        <v>16</v>
      </c>
      <c r="M496" s="80" t="s">
        <v>2775</v>
      </c>
      <c r="N496" s="80" t="s">
        <v>2775</v>
      </c>
      <c r="O496" s="80" t="s">
        <v>2775</v>
      </c>
      <c r="P496" s="80" t="s">
        <v>2775</v>
      </c>
      <c r="Q496" s="254"/>
    </row>
    <row r="497" spans="2:17" ht="12.75" x14ac:dyDescent="0.2">
      <c r="B497" s="1981"/>
      <c r="C497" s="1981"/>
      <c r="D497" s="1981"/>
      <c r="E497" s="2311"/>
      <c r="F497" s="1862"/>
      <c r="G497" s="1862"/>
      <c r="H497" s="1862"/>
      <c r="I497" s="1862"/>
      <c r="J497" s="1862"/>
      <c r="K497" s="211" t="s">
        <v>753</v>
      </c>
      <c r="L497" s="52" t="s">
        <v>16</v>
      </c>
      <c r="M497" s="80">
        <v>6.5000000000000002E-2</v>
      </c>
      <c r="N497" s="80">
        <v>7.0000000000000007E-2</v>
      </c>
      <c r="O497" s="80">
        <v>7.4999999999999997E-2</v>
      </c>
      <c r="P497" s="80">
        <v>0.08</v>
      </c>
      <c r="Q497" s="254"/>
    </row>
    <row r="498" spans="2:17" ht="25.5" x14ac:dyDescent="0.2">
      <c r="B498" s="1981"/>
      <c r="C498" s="1981"/>
      <c r="D498" s="1981"/>
      <c r="E498" s="2311"/>
      <c r="F498" s="1862"/>
      <c r="G498" s="1862"/>
      <c r="H498" s="1862"/>
      <c r="I498" s="1862"/>
      <c r="J498" s="1862"/>
      <c r="K498" s="600" t="s">
        <v>754</v>
      </c>
      <c r="L498" s="583" t="s">
        <v>16</v>
      </c>
      <c r="M498" s="271">
        <v>1.05</v>
      </c>
      <c r="N498" s="271">
        <v>1.03</v>
      </c>
      <c r="O498" s="271">
        <v>1.01</v>
      </c>
      <c r="P498" s="271">
        <v>1</v>
      </c>
      <c r="Q498" s="254"/>
    </row>
    <row r="499" spans="2:17" ht="25.5" x14ac:dyDescent="0.2">
      <c r="B499" s="1981"/>
      <c r="C499" s="1981"/>
      <c r="D499" s="1981"/>
      <c r="E499" s="2311"/>
      <c r="F499" s="1862"/>
      <c r="G499" s="1862"/>
      <c r="H499" s="1862"/>
      <c r="I499" s="1862"/>
      <c r="J499" s="1862"/>
      <c r="K499" s="600" t="s">
        <v>755</v>
      </c>
      <c r="L499" s="52" t="s">
        <v>16</v>
      </c>
      <c r="M499" s="80" t="s">
        <v>2776</v>
      </c>
      <c r="N499" s="80" t="s">
        <v>2776</v>
      </c>
      <c r="O499" s="80" t="s">
        <v>2776</v>
      </c>
      <c r="P499" s="80" t="s">
        <v>2776</v>
      </c>
      <c r="Q499" s="254"/>
    </row>
    <row r="500" spans="2:17" ht="25.5" x14ac:dyDescent="0.2">
      <c r="B500" s="1982"/>
      <c r="C500" s="1982"/>
      <c r="D500" s="1982"/>
      <c r="E500" s="2313"/>
      <c r="F500" s="1862"/>
      <c r="G500" s="1862"/>
      <c r="H500" s="1862"/>
      <c r="I500" s="1862"/>
      <c r="J500" s="1862"/>
      <c r="K500" s="600" t="s">
        <v>755</v>
      </c>
      <c r="L500" s="52" t="s">
        <v>16</v>
      </c>
      <c r="M500" s="80">
        <v>1.06</v>
      </c>
      <c r="N500" s="80">
        <v>1.02</v>
      </c>
      <c r="O500" s="80" t="s">
        <v>756</v>
      </c>
      <c r="P500" s="80" t="s">
        <v>756</v>
      </c>
      <c r="Q500" s="254"/>
    </row>
    <row r="501" spans="2:17" ht="38.25" x14ac:dyDescent="0.2">
      <c r="B501" s="581"/>
      <c r="C501" s="581" t="s">
        <v>116</v>
      </c>
      <c r="D501" s="581"/>
      <c r="E501" s="72" t="s">
        <v>757</v>
      </c>
      <c r="F501" s="1340">
        <v>789601.6</v>
      </c>
      <c r="G501" s="1340">
        <v>676147</v>
      </c>
      <c r="H501" s="1340">
        <v>647299.4</v>
      </c>
      <c r="I501" s="1340">
        <v>647299.4</v>
      </c>
      <c r="J501" s="1340">
        <v>647299.4</v>
      </c>
      <c r="K501" s="600" t="s">
        <v>755</v>
      </c>
      <c r="L501" s="583" t="s">
        <v>16</v>
      </c>
      <c r="M501" s="271">
        <v>1</v>
      </c>
      <c r="N501" s="271">
        <v>1</v>
      </c>
      <c r="O501" s="271">
        <v>1</v>
      </c>
      <c r="P501" s="271">
        <v>1</v>
      </c>
      <c r="Q501" s="254"/>
    </row>
    <row r="502" spans="2:17" ht="38.25" x14ac:dyDescent="0.2">
      <c r="B502" s="609"/>
      <c r="C502" s="609" t="s">
        <v>119</v>
      </c>
      <c r="D502" s="609"/>
      <c r="E502" s="72" t="s">
        <v>758</v>
      </c>
      <c r="F502" s="1340">
        <v>172714.2</v>
      </c>
      <c r="G502" s="1340">
        <v>235864</v>
      </c>
      <c r="H502" s="1340">
        <v>230680.3</v>
      </c>
      <c r="I502" s="1340">
        <v>230680.3</v>
      </c>
      <c r="J502" s="1340">
        <v>230680.3</v>
      </c>
      <c r="K502" s="600" t="s">
        <v>755</v>
      </c>
      <c r="L502" s="583" t="s">
        <v>16</v>
      </c>
      <c r="M502" s="271" t="s">
        <v>2777</v>
      </c>
      <c r="N502" s="271" t="s">
        <v>2777</v>
      </c>
      <c r="O502" s="271" t="s">
        <v>2777</v>
      </c>
      <c r="P502" s="271" t="s">
        <v>2777</v>
      </c>
      <c r="Q502" s="254"/>
    </row>
    <row r="503" spans="2:17" ht="25.5" x14ac:dyDescent="0.2">
      <c r="B503" s="609"/>
      <c r="C503" s="609" t="s">
        <v>124</v>
      </c>
      <c r="D503" s="609"/>
      <c r="E503" s="72" t="s">
        <v>759</v>
      </c>
      <c r="F503" s="1340">
        <v>50943.7</v>
      </c>
      <c r="G503" s="1340">
        <v>46414.2</v>
      </c>
      <c r="H503" s="1340">
        <v>51929.9</v>
      </c>
      <c r="I503" s="1340">
        <v>51929.9</v>
      </c>
      <c r="J503" s="1340">
        <v>51929.9</v>
      </c>
      <c r="K503" s="600" t="s">
        <v>755</v>
      </c>
      <c r="L503" s="583" t="s">
        <v>16</v>
      </c>
      <c r="M503" s="271" t="s">
        <v>2777</v>
      </c>
      <c r="N503" s="271" t="s">
        <v>2777</v>
      </c>
      <c r="O503" s="271" t="s">
        <v>2777</v>
      </c>
      <c r="P503" s="271" t="s">
        <v>2777</v>
      </c>
      <c r="Q503" s="254"/>
    </row>
    <row r="504" spans="2:17" ht="25.5" x14ac:dyDescent="0.2">
      <c r="B504" s="609"/>
      <c r="C504" s="609" t="s">
        <v>128</v>
      </c>
      <c r="D504" s="609"/>
      <c r="E504" s="72" t="s">
        <v>760</v>
      </c>
      <c r="F504" s="1340">
        <v>277663.40000000002</v>
      </c>
      <c r="G504" s="1340">
        <v>275283.40000000002</v>
      </c>
      <c r="H504" s="1340">
        <v>274574.2</v>
      </c>
      <c r="I504" s="1340">
        <v>274574.2</v>
      </c>
      <c r="J504" s="1340">
        <v>274574.2</v>
      </c>
      <c r="K504" s="600" t="s">
        <v>755</v>
      </c>
      <c r="L504" s="583" t="s">
        <v>16</v>
      </c>
      <c r="M504" s="271" t="s">
        <v>2777</v>
      </c>
      <c r="N504" s="271" t="s">
        <v>2777</v>
      </c>
      <c r="O504" s="271" t="s">
        <v>2777</v>
      </c>
      <c r="P504" s="271" t="s">
        <v>2777</v>
      </c>
      <c r="Q504" s="254"/>
    </row>
    <row r="505" spans="2:17" ht="38.25" x14ac:dyDescent="0.2">
      <c r="B505" s="609"/>
      <c r="C505" s="609" t="s">
        <v>202</v>
      </c>
      <c r="D505" s="609"/>
      <c r="E505" s="72" t="s">
        <v>761</v>
      </c>
      <c r="F505" s="1340">
        <v>437579.9</v>
      </c>
      <c r="G505" s="1340">
        <v>278547.59999999998</v>
      </c>
      <c r="H505" s="1340">
        <v>448136.3</v>
      </c>
      <c r="I505" s="1340">
        <v>448136.3</v>
      </c>
      <c r="J505" s="1340">
        <v>448136.3</v>
      </c>
      <c r="K505" s="600" t="s">
        <v>762</v>
      </c>
      <c r="L505" s="583" t="s">
        <v>700</v>
      </c>
      <c r="M505" s="271">
        <v>0.95</v>
      </c>
      <c r="N505" s="271">
        <v>0.95</v>
      </c>
      <c r="O505" s="271">
        <v>0.95</v>
      </c>
      <c r="P505" s="271">
        <v>0.95</v>
      </c>
      <c r="Q505" s="254"/>
    </row>
    <row r="506" spans="2:17" ht="38.25" x14ac:dyDescent="0.2">
      <c r="B506" s="609"/>
      <c r="C506" s="609" t="s">
        <v>149</v>
      </c>
      <c r="D506" s="609"/>
      <c r="E506" s="273" t="s">
        <v>742</v>
      </c>
      <c r="F506" s="1340">
        <v>310220.90000000002</v>
      </c>
      <c r="G506" s="1340">
        <v>494322.4</v>
      </c>
      <c r="H506" s="1340">
        <v>373830.9</v>
      </c>
      <c r="I506" s="1340">
        <v>373830.9</v>
      </c>
      <c r="J506" s="1340">
        <v>373830.9</v>
      </c>
      <c r="K506" s="600" t="s">
        <v>763</v>
      </c>
      <c r="L506" s="583" t="s">
        <v>700</v>
      </c>
      <c r="M506" s="271">
        <v>0.83</v>
      </c>
      <c r="N506" s="271">
        <v>0.83</v>
      </c>
      <c r="O506" s="271">
        <v>0.83</v>
      </c>
      <c r="P506" s="271">
        <v>0.83</v>
      </c>
      <c r="Q506" s="254"/>
    </row>
    <row r="507" spans="2:17" ht="38.25" x14ac:dyDescent="0.2">
      <c r="B507" s="581"/>
      <c r="C507" s="581" t="s">
        <v>152</v>
      </c>
      <c r="D507" s="581"/>
      <c r="E507" s="273" t="s">
        <v>764</v>
      </c>
      <c r="F507" s="1340">
        <v>155695.79999999999</v>
      </c>
      <c r="G507" s="1340">
        <v>90787.5</v>
      </c>
      <c r="H507" s="1340"/>
      <c r="I507" s="1340"/>
      <c r="J507" s="1340"/>
      <c r="K507" s="600" t="s">
        <v>765</v>
      </c>
      <c r="L507" s="52" t="s">
        <v>16</v>
      </c>
      <c r="M507" s="80">
        <v>0.83699999999999997</v>
      </c>
      <c r="N507" s="80">
        <v>1</v>
      </c>
      <c r="O507" s="80">
        <v>1</v>
      </c>
      <c r="P507" s="80">
        <v>1</v>
      </c>
      <c r="Q507" s="254"/>
    </row>
    <row r="508" spans="2:17" ht="12.75" x14ac:dyDescent="0.2">
      <c r="B508" s="262"/>
      <c r="C508" s="262"/>
      <c r="D508" s="262"/>
      <c r="E508" s="834" t="s">
        <v>2592</v>
      </c>
      <c r="F508" s="1340">
        <f>SUM(F496:F507)</f>
        <v>8467167.6000000015</v>
      </c>
      <c r="G508" s="1340">
        <f>SUM(G496:G507)</f>
        <v>8488614.4000000004</v>
      </c>
      <c r="H508" s="1340">
        <f>SUM(H496:H507)</f>
        <v>8257870.3000000007</v>
      </c>
      <c r="I508" s="1340">
        <f>SUM(I496:I507)</f>
        <v>8608225</v>
      </c>
      <c r="J508" s="1340">
        <f>SUM(J496:J507)</f>
        <v>8684710.0999999996</v>
      </c>
      <c r="L508" s="268"/>
      <c r="M508" s="268"/>
      <c r="N508" s="268"/>
      <c r="O508" s="268"/>
      <c r="P508" s="274"/>
      <c r="Q508" s="254"/>
    </row>
    <row r="509" spans="2:17" ht="76.5" x14ac:dyDescent="0.2">
      <c r="B509" s="872" t="s">
        <v>164</v>
      </c>
      <c r="C509" s="581"/>
      <c r="D509" s="581"/>
      <c r="E509" s="127" t="s">
        <v>2525</v>
      </c>
      <c r="F509" s="1545"/>
      <c r="G509" s="1545"/>
      <c r="H509" s="1545"/>
      <c r="I509" s="1545"/>
      <c r="J509" s="1546"/>
      <c r="K509" s="600" t="s">
        <v>766</v>
      </c>
      <c r="L509" s="52" t="s">
        <v>16</v>
      </c>
      <c r="M509" s="79">
        <v>0.78</v>
      </c>
      <c r="N509" s="79">
        <v>0.79</v>
      </c>
      <c r="O509" s="79">
        <v>0.8</v>
      </c>
      <c r="P509" s="79">
        <v>0.81</v>
      </c>
      <c r="Q509" s="254"/>
    </row>
    <row r="510" spans="2:17" ht="89.25" x14ac:dyDescent="0.2">
      <c r="B510" s="581"/>
      <c r="C510" s="581" t="s">
        <v>114</v>
      </c>
      <c r="D510" s="581"/>
      <c r="E510" s="72" t="s">
        <v>767</v>
      </c>
      <c r="F510" s="1340">
        <v>527233.30000000005</v>
      </c>
      <c r="G510" s="1340">
        <f>682700+75000</f>
        <v>757700</v>
      </c>
      <c r="H510" s="1340">
        <v>757700</v>
      </c>
      <c r="I510" s="1340">
        <v>757700</v>
      </c>
      <c r="J510" s="1340">
        <v>757700</v>
      </c>
      <c r="K510" s="600" t="s">
        <v>768</v>
      </c>
      <c r="L510" s="52" t="s">
        <v>86</v>
      </c>
      <c r="M510" s="275">
        <v>170</v>
      </c>
      <c r="N510" s="275">
        <v>190</v>
      </c>
      <c r="O510" s="275"/>
      <c r="P510" s="275"/>
      <c r="Q510" s="254"/>
    </row>
    <row r="511" spans="2:17" ht="51" x14ac:dyDescent="0.2">
      <c r="B511" s="581"/>
      <c r="C511" s="610" t="s">
        <v>116</v>
      </c>
      <c r="D511" s="610"/>
      <c r="E511" s="72" t="s">
        <v>2593</v>
      </c>
      <c r="F511" s="1646"/>
      <c r="G511" s="1646">
        <v>200337.1</v>
      </c>
      <c r="H511" s="1646">
        <v>216510.1</v>
      </c>
      <c r="I511" s="1646">
        <v>232012.5</v>
      </c>
      <c r="J511" s="1646">
        <v>247211.6</v>
      </c>
      <c r="K511" s="600" t="s">
        <v>2597</v>
      </c>
      <c r="L511" s="52" t="s">
        <v>16</v>
      </c>
      <c r="M511" s="80">
        <v>1.2999999999999999E-2</v>
      </c>
      <c r="N511" s="80">
        <v>1.2999999999999999E-2</v>
      </c>
      <c r="O511" s="80">
        <v>1.2999999999999999E-2</v>
      </c>
      <c r="P511" s="80">
        <v>1.2999999999999999E-2</v>
      </c>
      <c r="Q511" s="254"/>
    </row>
    <row r="512" spans="2:17" ht="25.5" x14ac:dyDescent="0.2">
      <c r="B512" s="581"/>
      <c r="C512" s="610" t="s">
        <v>119</v>
      </c>
      <c r="D512" s="610"/>
      <c r="E512" s="72" t="s">
        <v>2594</v>
      </c>
      <c r="F512" s="1646">
        <v>8175.7</v>
      </c>
      <c r="G512" s="1646">
        <v>25000</v>
      </c>
      <c r="H512" s="1646">
        <v>25000</v>
      </c>
      <c r="I512" s="1646">
        <v>25000</v>
      </c>
      <c r="J512" s="1646">
        <v>25000</v>
      </c>
      <c r="K512" s="600" t="s">
        <v>2595</v>
      </c>
      <c r="L512" s="52" t="s">
        <v>16</v>
      </c>
      <c r="M512" s="80">
        <v>2E-3</v>
      </c>
      <c r="N512" s="80">
        <v>2E-3</v>
      </c>
      <c r="O512" s="80">
        <v>2E-3</v>
      </c>
      <c r="P512" s="80">
        <v>2E-3</v>
      </c>
      <c r="Q512" s="254"/>
    </row>
    <row r="513" spans="1:17" ht="25.5" x14ac:dyDescent="0.2">
      <c r="B513" s="2303"/>
      <c r="C513" s="2303" t="s">
        <v>124</v>
      </c>
      <c r="D513" s="2303"/>
      <c r="E513" s="2310" t="s">
        <v>769</v>
      </c>
      <c r="F513" s="2307">
        <v>357481.7</v>
      </c>
      <c r="G513" s="2307">
        <v>300000</v>
      </c>
      <c r="H513" s="2307">
        <v>243533.9</v>
      </c>
      <c r="I513" s="2307"/>
      <c r="J513" s="2307"/>
      <c r="K513" s="59" t="s">
        <v>770</v>
      </c>
      <c r="L513" s="52" t="s">
        <v>16</v>
      </c>
      <c r="M513" s="80">
        <v>1</v>
      </c>
      <c r="N513" s="80"/>
      <c r="O513" s="261"/>
      <c r="P513" s="261"/>
      <c r="Q513" s="254"/>
    </row>
    <row r="514" spans="1:17" ht="25.5" x14ac:dyDescent="0.2">
      <c r="B514" s="1981"/>
      <c r="C514" s="1981"/>
      <c r="D514" s="1981"/>
      <c r="E514" s="2313"/>
      <c r="F514" s="2171"/>
      <c r="G514" s="2171"/>
      <c r="H514" s="2171"/>
      <c r="I514" s="2171"/>
      <c r="J514" s="2171"/>
      <c r="K514" s="59" t="s">
        <v>2598</v>
      </c>
      <c r="L514" s="52" t="s">
        <v>700</v>
      </c>
      <c r="M514" s="275">
        <v>6</v>
      </c>
      <c r="N514" s="275"/>
      <c r="O514" s="259"/>
      <c r="P514" s="259"/>
      <c r="Q514" s="254"/>
    </row>
    <row r="515" spans="1:17" ht="25.5" x14ac:dyDescent="0.2">
      <c r="B515" s="581"/>
      <c r="C515" s="581" t="s">
        <v>128</v>
      </c>
      <c r="D515" s="581"/>
      <c r="E515" s="273" t="s">
        <v>771</v>
      </c>
      <c r="F515" s="1339"/>
      <c r="G515" s="1339"/>
      <c r="H515" s="1339">
        <v>155400</v>
      </c>
      <c r="I515" s="1339"/>
      <c r="J515" s="1339"/>
      <c r="K515" s="59"/>
      <c r="L515" s="52"/>
      <c r="M515" s="275"/>
      <c r="N515" s="275"/>
      <c r="O515" s="259"/>
      <c r="P515" s="259"/>
      <c r="Q515" s="254"/>
    </row>
    <row r="516" spans="1:17" ht="12.75" x14ac:dyDescent="0.2">
      <c r="B516" s="581"/>
      <c r="C516" s="581" t="s">
        <v>202</v>
      </c>
      <c r="D516" s="581"/>
      <c r="E516" s="72" t="s">
        <v>772</v>
      </c>
      <c r="F516" s="1339"/>
      <c r="G516" s="1339">
        <v>175000</v>
      </c>
      <c r="H516" s="1339">
        <v>77700</v>
      </c>
      <c r="I516" s="1339">
        <v>155400</v>
      </c>
      <c r="J516" s="1339">
        <v>233100</v>
      </c>
      <c r="K516" s="59" t="s">
        <v>773</v>
      </c>
      <c r="L516" s="52" t="s">
        <v>16</v>
      </c>
      <c r="M516" s="79"/>
      <c r="N516" s="275"/>
      <c r="O516" s="259"/>
      <c r="P516" s="259"/>
      <c r="Q516" s="254"/>
    </row>
    <row r="517" spans="1:17" ht="12.75" x14ac:dyDescent="0.2">
      <c r="B517" s="581"/>
      <c r="C517" s="581" t="s">
        <v>149</v>
      </c>
      <c r="D517" s="581"/>
      <c r="E517" s="72" t="s">
        <v>2596</v>
      </c>
      <c r="F517" s="1339"/>
      <c r="G517" s="1339"/>
      <c r="H517" s="1339">
        <v>77700</v>
      </c>
      <c r="I517" s="1339"/>
      <c r="J517" s="1339"/>
      <c r="K517" s="59"/>
      <c r="L517" s="52"/>
      <c r="M517" s="79"/>
      <c r="N517" s="275"/>
      <c r="O517" s="259"/>
      <c r="P517" s="259"/>
      <c r="Q517" s="254"/>
    </row>
    <row r="518" spans="1:17" ht="12.75" x14ac:dyDescent="0.2">
      <c r="B518" s="669"/>
      <c r="C518" s="669"/>
      <c r="D518" s="669"/>
      <c r="E518" s="834" t="s">
        <v>2599</v>
      </c>
      <c r="F518" s="1340">
        <f>SUM(F510:F513)</f>
        <v>892890.7</v>
      </c>
      <c r="G518" s="1340">
        <f>SUM(G510:G516)</f>
        <v>1458037.1</v>
      </c>
      <c r="H518" s="1340">
        <f>SUM(H510:H517)</f>
        <v>1553544</v>
      </c>
      <c r="I518" s="1340">
        <f t="shared" ref="I518:J518" si="17">SUM(I510:I516)</f>
        <v>1170112.5</v>
      </c>
      <c r="J518" s="1340">
        <f t="shared" si="17"/>
        <v>1263011.6000000001</v>
      </c>
      <c r="K518" s="2318"/>
      <c r="L518" s="2319"/>
      <c r="M518" s="2319"/>
      <c r="N518" s="2319"/>
      <c r="O518" s="2320"/>
      <c r="P518" s="254"/>
      <c r="Q518" s="254"/>
    </row>
    <row r="519" spans="1:17" ht="12.75" x14ac:dyDescent="0.2">
      <c r="B519" s="276"/>
      <c r="C519" s="276"/>
      <c r="D519" s="276"/>
      <c r="E519" s="1388" t="s">
        <v>3105</v>
      </c>
      <c r="F519" s="1580">
        <f>F470+F490+F508+F518</f>
        <v>14641844.300000001</v>
      </c>
      <c r="G519" s="1580">
        <f>G470+G490+G508+G518</f>
        <v>16347420.300000001</v>
      </c>
      <c r="H519" s="1580">
        <f>H470+H490+H508+H518</f>
        <v>15433850.500000002</v>
      </c>
      <c r="I519" s="1580">
        <f>I470+I490+I508+I518</f>
        <v>15676734.4</v>
      </c>
      <c r="J519" s="1580">
        <f>J470+J490+J508+J518</f>
        <v>15952022.200000001</v>
      </c>
      <c r="K519" s="2321"/>
      <c r="L519" s="2321"/>
      <c r="M519" s="2321"/>
      <c r="N519" s="2321"/>
      <c r="O519" s="2321"/>
      <c r="P519" s="254"/>
      <c r="Q519" s="254"/>
    </row>
    <row r="520" spans="1:17" s="20" customFormat="1" ht="27" customHeight="1" x14ac:dyDescent="0.2">
      <c r="A520" s="125"/>
      <c r="B520" s="1424"/>
      <c r="C520" s="1425"/>
      <c r="D520" s="1426"/>
      <c r="E520" s="1347" t="s">
        <v>3005</v>
      </c>
      <c r="F520" s="1647"/>
      <c r="G520" s="1647"/>
      <c r="H520" s="1647"/>
      <c r="I520" s="1647"/>
      <c r="J520" s="1647"/>
      <c r="K520" s="1428"/>
      <c r="L520" s="1427"/>
      <c r="M520" s="1427"/>
      <c r="N520" s="1427"/>
      <c r="O520" s="1427"/>
      <c r="P520" s="1427"/>
      <c r="Q520" s="1427"/>
    </row>
    <row r="521" spans="1:17" s="20" customFormat="1" ht="12.75" x14ac:dyDescent="0.2">
      <c r="A521" s="125"/>
      <c r="B521" s="585"/>
      <c r="C521" s="581" t="s">
        <v>114</v>
      </c>
      <c r="D521" s="75"/>
      <c r="E521" s="586" t="s">
        <v>774</v>
      </c>
      <c r="F521" s="1568">
        <v>165100</v>
      </c>
      <c r="G521" s="1340">
        <v>165100</v>
      </c>
      <c r="H521" s="1567"/>
      <c r="I521" s="1567"/>
      <c r="J521" s="1567"/>
      <c r="K521" s="244"/>
      <c r="L521" s="243"/>
      <c r="M521" s="243"/>
      <c r="N521" s="243"/>
      <c r="O521" s="243"/>
      <c r="P521" s="243"/>
      <c r="Q521" s="243"/>
    </row>
    <row r="522" spans="1:17" s="20" customFormat="1" ht="12.75" x14ac:dyDescent="0.2">
      <c r="A522" s="125"/>
      <c r="B522" s="585"/>
      <c r="C522" s="581" t="s">
        <v>116</v>
      </c>
      <c r="D522" s="75"/>
      <c r="E522" s="586" t="s">
        <v>775</v>
      </c>
      <c r="F522" s="1568">
        <v>14100</v>
      </c>
      <c r="G522" s="1340">
        <v>14100</v>
      </c>
      <c r="H522" s="1567"/>
      <c r="I522" s="1567"/>
      <c r="J522" s="1567"/>
      <c r="K522" s="244"/>
      <c r="L522" s="243"/>
      <c r="M522" s="243"/>
      <c r="N522" s="243"/>
      <c r="O522" s="243"/>
      <c r="P522" s="243"/>
      <c r="Q522" s="243"/>
    </row>
    <row r="523" spans="1:17" s="20" customFormat="1" ht="38.25" x14ac:dyDescent="0.2">
      <c r="A523" s="125"/>
      <c r="B523" s="585"/>
      <c r="C523" s="581" t="s">
        <v>119</v>
      </c>
      <c r="D523" s="75"/>
      <c r="E523" s="586" t="s">
        <v>776</v>
      </c>
      <c r="F523" s="1568">
        <v>200000</v>
      </c>
      <c r="G523" s="1340">
        <f>120000+80000</f>
        <v>200000</v>
      </c>
      <c r="H523" s="1567">
        <v>70500</v>
      </c>
      <c r="I523" s="1567"/>
      <c r="J523" s="1567"/>
      <c r="K523" s="244"/>
      <c r="L523" s="243"/>
      <c r="M523" s="243"/>
      <c r="N523" s="243"/>
      <c r="O523" s="243"/>
      <c r="P523" s="243"/>
      <c r="Q523" s="243"/>
    </row>
    <row r="524" spans="1:17" s="20" customFormat="1" ht="12.75" x14ac:dyDescent="0.2">
      <c r="A524" s="125"/>
      <c r="B524" s="585"/>
      <c r="C524" s="581" t="s">
        <v>124</v>
      </c>
      <c r="D524" s="75"/>
      <c r="E524" s="586" t="s">
        <v>1951</v>
      </c>
      <c r="F524" s="1568">
        <v>500000</v>
      </c>
      <c r="G524" s="1340">
        <v>500000</v>
      </c>
      <c r="H524" s="1567">
        <v>500000</v>
      </c>
      <c r="I524" s="1567"/>
      <c r="J524" s="1567"/>
      <c r="K524" s="244"/>
      <c r="L524" s="243"/>
      <c r="M524" s="243"/>
      <c r="N524" s="243"/>
      <c r="O524" s="243"/>
      <c r="P524" s="243"/>
      <c r="Q524" s="243"/>
    </row>
    <row r="525" spans="1:17" s="20" customFormat="1" ht="12.75" x14ac:dyDescent="0.2">
      <c r="A525" s="125"/>
      <c r="B525" s="585"/>
      <c r="C525" s="581" t="s">
        <v>128</v>
      </c>
      <c r="D525" s="75"/>
      <c r="E525" s="586" t="s">
        <v>777</v>
      </c>
      <c r="F525" s="1568">
        <v>2000000</v>
      </c>
      <c r="G525" s="1340">
        <v>1000000</v>
      </c>
      <c r="H525" s="1567"/>
      <c r="I525" s="1567"/>
      <c r="J525" s="1567"/>
      <c r="K525" s="244"/>
      <c r="L525" s="243"/>
      <c r="M525" s="243"/>
      <c r="N525" s="243"/>
      <c r="O525" s="243"/>
      <c r="P525" s="243"/>
      <c r="Q525" s="243"/>
    </row>
    <row r="526" spans="1:17" s="20" customFormat="1" ht="12.75" x14ac:dyDescent="0.2">
      <c r="A526" s="125"/>
      <c r="B526" s="585"/>
      <c r="C526" s="581" t="s">
        <v>202</v>
      </c>
      <c r="D526" s="75"/>
      <c r="E526" s="586" t="s">
        <v>778</v>
      </c>
      <c r="F526" s="1568">
        <v>140111.20000000001</v>
      </c>
      <c r="G526" s="1340">
        <v>1543589.9</v>
      </c>
      <c r="H526" s="1567">
        <v>600000</v>
      </c>
      <c r="I526" s="1567"/>
      <c r="J526" s="1567"/>
      <c r="K526" s="244"/>
      <c r="L526" s="243"/>
      <c r="M526" s="243"/>
      <c r="N526" s="243"/>
      <c r="O526" s="243"/>
      <c r="P526" s="243"/>
      <c r="Q526" s="243"/>
    </row>
    <row r="527" spans="1:17" s="20" customFormat="1" ht="12.75" x14ac:dyDescent="0.2">
      <c r="A527" s="125"/>
      <c r="B527" s="585"/>
      <c r="C527" s="581" t="s">
        <v>149</v>
      </c>
      <c r="D527" s="75"/>
      <c r="E527" s="586" t="s">
        <v>779</v>
      </c>
      <c r="F527" s="1568">
        <v>635000</v>
      </c>
      <c r="G527" s="1340">
        <v>635000</v>
      </c>
      <c r="H527" s="1567">
        <v>500000</v>
      </c>
      <c r="I527" s="1567"/>
      <c r="J527" s="1567"/>
      <c r="K527" s="244"/>
      <c r="L527" s="243"/>
      <c r="M527" s="243"/>
      <c r="N527" s="243"/>
      <c r="O527" s="243"/>
      <c r="P527" s="243"/>
      <c r="Q527" s="243"/>
    </row>
    <row r="528" spans="1:17" s="20" customFormat="1" ht="12.75" x14ac:dyDescent="0.2">
      <c r="A528" s="125"/>
      <c r="B528" s="585"/>
      <c r="C528" s="581" t="s">
        <v>152</v>
      </c>
      <c r="D528" s="75"/>
      <c r="E528" s="600" t="s">
        <v>780</v>
      </c>
      <c r="F528" s="1568">
        <v>8048193.2000000002</v>
      </c>
      <c r="G528" s="1340">
        <f>4328691.7+4093189.3</f>
        <v>8421881</v>
      </c>
      <c r="H528" s="1567">
        <v>9904618.5999999996</v>
      </c>
      <c r="I528" s="1567"/>
      <c r="J528" s="1567"/>
      <c r="K528" s="244"/>
      <c r="L528" s="243"/>
      <c r="M528" s="243"/>
      <c r="N528" s="243"/>
      <c r="O528" s="243"/>
      <c r="P528" s="243"/>
      <c r="Q528" s="243"/>
    </row>
    <row r="529" spans="1:17" s="20" customFormat="1" ht="12.75" x14ac:dyDescent="0.2">
      <c r="A529" s="125"/>
      <c r="B529" s="585"/>
      <c r="C529" s="581" t="s">
        <v>279</v>
      </c>
      <c r="D529" s="75"/>
      <c r="E529" s="600" t="s">
        <v>781</v>
      </c>
      <c r="F529" s="1568">
        <v>500000</v>
      </c>
      <c r="G529" s="1340">
        <v>500000</v>
      </c>
      <c r="H529" s="1567">
        <v>500000</v>
      </c>
      <c r="I529" s="1567"/>
      <c r="J529" s="1567"/>
      <c r="K529" s="244"/>
      <c r="L529" s="243"/>
      <c r="M529" s="243"/>
      <c r="N529" s="243"/>
      <c r="O529" s="243"/>
      <c r="P529" s="243"/>
      <c r="Q529" s="243"/>
    </row>
    <row r="530" spans="1:17" s="20" customFormat="1" ht="12.75" x14ac:dyDescent="0.2">
      <c r="A530" s="125"/>
      <c r="B530" s="585"/>
      <c r="C530" s="581" t="s">
        <v>284</v>
      </c>
      <c r="D530" s="75"/>
      <c r="E530" s="600" t="s">
        <v>782</v>
      </c>
      <c r="F530" s="1568">
        <v>190300.79999999999</v>
      </c>
      <c r="G530" s="1340">
        <v>190300.79999999999</v>
      </c>
      <c r="H530" s="1567">
        <v>30300.799999999999</v>
      </c>
      <c r="I530" s="1567"/>
      <c r="J530" s="1567"/>
      <c r="K530" s="244"/>
      <c r="L530" s="243"/>
      <c r="M530" s="243"/>
      <c r="N530" s="243"/>
      <c r="O530" s="243"/>
      <c r="P530" s="243"/>
      <c r="Q530" s="243"/>
    </row>
    <row r="531" spans="1:17" s="20" customFormat="1" ht="12.75" x14ac:dyDescent="0.2">
      <c r="A531" s="125"/>
      <c r="B531" s="585"/>
      <c r="C531" s="581" t="s">
        <v>286</v>
      </c>
      <c r="D531" s="75"/>
      <c r="E531" s="600" t="s">
        <v>783</v>
      </c>
      <c r="F531" s="1568">
        <v>77861.399999999994</v>
      </c>
      <c r="G531" s="1340">
        <v>45000</v>
      </c>
      <c r="H531" s="1567">
        <v>45000</v>
      </c>
      <c r="I531" s="1567"/>
      <c r="J531" s="1567"/>
      <c r="K531" s="244"/>
      <c r="L531" s="243"/>
      <c r="M531" s="243"/>
      <c r="N531" s="243"/>
      <c r="O531" s="243"/>
      <c r="P531" s="243"/>
      <c r="Q531" s="243"/>
    </row>
    <row r="532" spans="1:17" s="20" customFormat="1" ht="12.75" x14ac:dyDescent="0.2">
      <c r="A532" s="125"/>
      <c r="B532" s="585"/>
      <c r="C532" s="581" t="s">
        <v>288</v>
      </c>
      <c r="D532" s="75"/>
      <c r="E532" s="600" t="s">
        <v>2600</v>
      </c>
      <c r="F532" s="1568">
        <v>105500</v>
      </c>
      <c r="G532" s="1340">
        <v>0</v>
      </c>
      <c r="H532" s="1567"/>
      <c r="I532" s="1567"/>
      <c r="J532" s="1567"/>
      <c r="K532" s="244"/>
      <c r="L532" s="243"/>
      <c r="M532" s="243"/>
      <c r="N532" s="243"/>
      <c r="O532" s="243"/>
      <c r="P532" s="243"/>
      <c r="Q532" s="243"/>
    </row>
    <row r="533" spans="1:17" s="20" customFormat="1" ht="12.75" x14ac:dyDescent="0.2">
      <c r="A533" s="125"/>
      <c r="B533" s="585"/>
      <c r="C533" s="581" t="s">
        <v>291</v>
      </c>
      <c r="D533" s="75"/>
      <c r="E533" s="600" t="s">
        <v>784</v>
      </c>
      <c r="F533" s="1568">
        <v>984900</v>
      </c>
      <c r="G533" s="1340">
        <v>804700</v>
      </c>
      <c r="H533" s="1567">
        <v>2365216</v>
      </c>
      <c r="I533" s="1567"/>
      <c r="J533" s="1567"/>
      <c r="K533" s="244"/>
      <c r="L533" s="243"/>
      <c r="M533" s="243"/>
      <c r="N533" s="243"/>
      <c r="O533" s="243"/>
      <c r="P533" s="243"/>
      <c r="Q533" s="243"/>
    </row>
    <row r="534" spans="1:17" s="20" customFormat="1" ht="12.75" x14ac:dyDescent="0.2">
      <c r="A534" s="125"/>
      <c r="B534" s="585"/>
      <c r="C534" s="581" t="s">
        <v>293</v>
      </c>
      <c r="D534" s="75"/>
      <c r="E534" s="600" t="s">
        <v>785</v>
      </c>
      <c r="F534" s="1568">
        <v>100000</v>
      </c>
      <c r="G534" s="1340">
        <v>100000</v>
      </c>
      <c r="H534" s="1567">
        <v>100000</v>
      </c>
      <c r="I534" s="1567"/>
      <c r="J534" s="1567"/>
      <c r="K534" s="244"/>
      <c r="L534" s="243"/>
      <c r="M534" s="243"/>
      <c r="N534" s="243"/>
      <c r="O534" s="243"/>
      <c r="P534" s="243"/>
      <c r="Q534" s="243"/>
    </row>
    <row r="535" spans="1:17" s="20" customFormat="1" ht="12.75" x14ac:dyDescent="0.2">
      <c r="A535" s="125"/>
      <c r="B535" s="585"/>
      <c r="C535" s="581" t="s">
        <v>295</v>
      </c>
      <c r="D535" s="75"/>
      <c r="E535" s="600" t="s">
        <v>2601</v>
      </c>
      <c r="F535" s="1568">
        <v>500000</v>
      </c>
      <c r="G535" s="1340">
        <v>500000</v>
      </c>
      <c r="H535" s="1567">
        <v>500000</v>
      </c>
      <c r="I535" s="1567"/>
      <c r="J535" s="1567"/>
      <c r="K535" s="244"/>
      <c r="L535" s="243"/>
      <c r="M535" s="243"/>
      <c r="N535" s="243"/>
      <c r="O535" s="243"/>
      <c r="P535" s="243"/>
      <c r="Q535" s="243"/>
    </row>
    <row r="536" spans="1:17" s="20" customFormat="1" ht="12.75" x14ac:dyDescent="0.2">
      <c r="A536" s="125"/>
      <c r="B536" s="242">
        <v>7</v>
      </c>
      <c r="C536" s="581"/>
      <c r="D536" s="75"/>
      <c r="E536" s="93" t="s">
        <v>786</v>
      </c>
      <c r="F536" s="1340">
        <f>SUM(F537:F545)</f>
        <v>9124624.9999999981</v>
      </c>
      <c r="G536" s="1340">
        <f>SUM(G537:G547)</f>
        <v>22567948.900000002</v>
      </c>
      <c r="H536" s="1567"/>
      <c r="I536" s="1567"/>
      <c r="J536" s="1567"/>
      <c r="K536" s="244"/>
      <c r="L536" s="243"/>
      <c r="M536" s="243"/>
      <c r="N536" s="243"/>
      <c r="O536" s="243"/>
      <c r="P536" s="243"/>
      <c r="Q536" s="243"/>
    </row>
    <row r="537" spans="1:17" s="20" customFormat="1" ht="12.75" x14ac:dyDescent="0.2">
      <c r="A537" s="125"/>
      <c r="B537" s="242"/>
      <c r="C537" s="581" t="s">
        <v>114</v>
      </c>
      <c r="D537" s="75"/>
      <c r="E537" s="600" t="s">
        <v>787</v>
      </c>
      <c r="F537" s="1568">
        <v>3139687</v>
      </c>
      <c r="G537" s="1340">
        <v>6000000</v>
      </c>
      <c r="H537" s="1567">
        <v>3000000</v>
      </c>
      <c r="I537" s="1567"/>
      <c r="J537" s="1567"/>
      <c r="K537" s="244"/>
      <c r="L537" s="243"/>
      <c r="M537" s="243"/>
      <c r="N537" s="243"/>
      <c r="O537" s="243"/>
      <c r="P537" s="243"/>
      <c r="Q537" s="243"/>
    </row>
    <row r="538" spans="1:17" s="20" customFormat="1" ht="12.75" x14ac:dyDescent="0.2">
      <c r="A538" s="125"/>
      <c r="B538" s="242"/>
      <c r="C538" s="581" t="s">
        <v>116</v>
      </c>
      <c r="D538" s="75"/>
      <c r="E538" s="600" t="s">
        <v>2602</v>
      </c>
      <c r="F538" s="1568">
        <v>350000</v>
      </c>
      <c r="G538" s="1340">
        <v>350000</v>
      </c>
      <c r="H538" s="1567">
        <v>150000</v>
      </c>
      <c r="I538" s="1567"/>
      <c r="J538" s="1567"/>
      <c r="K538" s="244"/>
      <c r="L538" s="243"/>
      <c r="M538" s="243"/>
      <c r="N538" s="243"/>
      <c r="O538" s="243"/>
      <c r="P538" s="243"/>
      <c r="Q538" s="243"/>
    </row>
    <row r="539" spans="1:17" s="20" customFormat="1" ht="12.75" x14ac:dyDescent="0.2">
      <c r="A539" s="125"/>
      <c r="B539" s="242"/>
      <c r="C539" s="581" t="s">
        <v>119</v>
      </c>
      <c r="D539" s="75"/>
      <c r="E539" s="600" t="s">
        <v>788</v>
      </c>
      <c r="F539" s="1568">
        <v>1059693.8</v>
      </c>
      <c r="G539" s="1340">
        <f>11281446.6-4699.5+4000</f>
        <v>11280747.1</v>
      </c>
      <c r="H539" s="1567">
        <v>1237807.7</v>
      </c>
      <c r="I539" s="1567"/>
      <c r="J539" s="1567"/>
      <c r="K539" s="244"/>
      <c r="L539" s="243"/>
      <c r="M539" s="243"/>
      <c r="N539" s="243"/>
      <c r="O539" s="243"/>
      <c r="P539" s="243"/>
      <c r="Q539" s="243"/>
    </row>
    <row r="540" spans="1:17" s="20" customFormat="1" ht="12.75" x14ac:dyDescent="0.2">
      <c r="A540" s="125"/>
      <c r="B540" s="242"/>
      <c r="C540" s="581" t="s">
        <v>124</v>
      </c>
      <c r="D540" s="75"/>
      <c r="E540" s="600" t="s">
        <v>2603</v>
      </c>
      <c r="F540" s="1568">
        <v>2000300</v>
      </c>
      <c r="G540" s="1340">
        <v>1967300</v>
      </c>
      <c r="H540" s="1567">
        <v>1967300</v>
      </c>
      <c r="I540" s="1567"/>
      <c r="J540" s="1567"/>
      <c r="K540" s="244"/>
      <c r="L540" s="243"/>
      <c r="M540" s="243"/>
      <c r="N540" s="243"/>
      <c r="O540" s="243"/>
      <c r="P540" s="243"/>
      <c r="Q540" s="243"/>
    </row>
    <row r="541" spans="1:17" s="20" customFormat="1" ht="12.75" x14ac:dyDescent="0.2">
      <c r="A541" s="125"/>
      <c r="B541" s="242"/>
      <c r="C541" s="581" t="s">
        <v>128</v>
      </c>
      <c r="D541" s="75"/>
      <c r="E541" s="600" t="s">
        <v>2604</v>
      </c>
      <c r="F541" s="1568">
        <v>1057000</v>
      </c>
      <c r="G541" s="1340">
        <v>1057000</v>
      </c>
      <c r="H541" s="1567">
        <v>1038234.9</v>
      </c>
      <c r="I541" s="1567"/>
      <c r="J541" s="1567"/>
      <c r="K541" s="244"/>
      <c r="L541" s="243"/>
      <c r="M541" s="243"/>
      <c r="N541" s="243"/>
      <c r="O541" s="243"/>
      <c r="P541" s="243"/>
      <c r="Q541" s="243"/>
    </row>
    <row r="542" spans="1:17" s="20" customFormat="1" ht="12.75" x14ac:dyDescent="0.2">
      <c r="A542" s="125"/>
      <c r="B542" s="242"/>
      <c r="C542" s="581" t="s">
        <v>202</v>
      </c>
      <c r="D542" s="75"/>
      <c r="E542" s="600" t="s">
        <v>789</v>
      </c>
      <c r="F542" s="1568">
        <v>600000</v>
      </c>
      <c r="G542" s="1340">
        <v>600000</v>
      </c>
      <c r="H542" s="1567">
        <v>600000</v>
      </c>
      <c r="I542" s="1567"/>
      <c r="J542" s="1567"/>
      <c r="K542" s="244"/>
      <c r="L542" s="243"/>
      <c r="M542" s="243"/>
      <c r="N542" s="243"/>
      <c r="O542" s="243"/>
      <c r="P542" s="243"/>
      <c r="Q542" s="243"/>
    </row>
    <row r="543" spans="1:17" s="20" customFormat="1" ht="25.5" x14ac:dyDescent="0.2">
      <c r="A543" s="125"/>
      <c r="B543" s="585"/>
      <c r="C543" s="581" t="s">
        <v>149</v>
      </c>
      <c r="D543" s="75"/>
      <c r="E543" s="59" t="s">
        <v>790</v>
      </c>
      <c r="F543" s="1568">
        <v>195514.4</v>
      </c>
      <c r="G543" s="1340">
        <f>194514.4+500</f>
        <v>195014.39999999999</v>
      </c>
      <c r="H543" s="2524">
        <v>201540.8</v>
      </c>
      <c r="I543" s="1567"/>
      <c r="J543" s="1567"/>
      <c r="K543" s="244"/>
      <c r="L543" s="243"/>
      <c r="M543" s="243"/>
      <c r="N543" s="243"/>
      <c r="O543" s="243"/>
      <c r="P543" s="243"/>
      <c r="Q543" s="243"/>
    </row>
    <row r="544" spans="1:17" s="20" customFormat="1" ht="25.5" x14ac:dyDescent="0.2">
      <c r="A544" s="125"/>
      <c r="B544" s="585"/>
      <c r="C544" s="581" t="s">
        <v>152</v>
      </c>
      <c r="D544" s="75"/>
      <c r="E544" s="59" t="s">
        <v>791</v>
      </c>
      <c r="F544" s="1568">
        <v>356869.2</v>
      </c>
      <c r="G544" s="1340">
        <f>351326.8+1000</f>
        <v>352326.8</v>
      </c>
      <c r="H544" s="1567">
        <v>371590.40000000002</v>
      </c>
      <c r="I544" s="1567"/>
      <c r="J544" s="1567"/>
      <c r="K544" s="244"/>
      <c r="L544" s="243"/>
      <c r="M544" s="243"/>
      <c r="N544" s="243"/>
      <c r="O544" s="243"/>
      <c r="P544" s="243"/>
      <c r="Q544" s="243"/>
    </row>
    <row r="545" spans="1:17" s="20" customFormat="1" ht="12.75" x14ac:dyDescent="0.2">
      <c r="A545" s="125"/>
      <c r="B545" s="585"/>
      <c r="C545" s="581" t="s">
        <v>279</v>
      </c>
      <c r="D545" s="75"/>
      <c r="E545" s="59" t="s">
        <v>792</v>
      </c>
      <c r="F545" s="1568">
        <v>365560.6</v>
      </c>
      <c r="G545" s="1340">
        <v>665560.6</v>
      </c>
      <c r="H545" s="1567">
        <v>2311061.7000000002</v>
      </c>
      <c r="I545" s="1567"/>
      <c r="J545" s="1567"/>
      <c r="K545" s="244"/>
      <c r="L545" s="243"/>
      <c r="M545" s="243"/>
      <c r="N545" s="243"/>
      <c r="O545" s="243"/>
      <c r="P545" s="243"/>
      <c r="Q545" s="243"/>
    </row>
    <row r="546" spans="1:17" s="20" customFormat="1" ht="12.75" x14ac:dyDescent="0.2">
      <c r="A546" s="125"/>
      <c r="B546" s="712"/>
      <c r="C546" s="710" t="s">
        <v>284</v>
      </c>
      <c r="D546" s="75"/>
      <c r="E546" s="59" t="s">
        <v>3106</v>
      </c>
      <c r="F546" s="1570"/>
      <c r="G546" s="1645"/>
      <c r="H546" s="1567">
        <v>2000000</v>
      </c>
      <c r="I546" s="1567"/>
      <c r="J546" s="1567"/>
      <c r="K546" s="244"/>
      <c r="L546" s="243"/>
      <c r="M546" s="243"/>
      <c r="N546" s="243"/>
      <c r="O546" s="243"/>
      <c r="P546" s="243"/>
      <c r="Q546" s="243"/>
    </row>
    <row r="547" spans="1:17" s="20" customFormat="1" ht="12.75" x14ac:dyDescent="0.2">
      <c r="A547" s="125"/>
      <c r="B547" s="585"/>
      <c r="C547" s="581" t="s">
        <v>286</v>
      </c>
      <c r="D547" s="75"/>
      <c r="E547" s="59" t="s">
        <v>793</v>
      </c>
      <c r="F547" s="1568"/>
      <c r="G547" s="1340">
        <v>100000</v>
      </c>
      <c r="H547" s="1567"/>
      <c r="I547" s="1567"/>
      <c r="J547" s="1567"/>
      <c r="K547" s="244"/>
      <c r="L547" s="243"/>
      <c r="M547" s="243"/>
      <c r="N547" s="243"/>
      <c r="O547" s="243"/>
      <c r="P547" s="243"/>
      <c r="Q547" s="243"/>
    </row>
    <row r="548" spans="1:17" s="120" customFormat="1" ht="27.75" customHeight="1" x14ac:dyDescent="0.2">
      <c r="A548" s="277"/>
      <c r="B548" s="1912" t="s">
        <v>794</v>
      </c>
      <c r="C548" s="1913"/>
      <c r="D548" s="1913"/>
      <c r="E548" s="1913"/>
      <c r="F548" s="1913"/>
      <c r="G548" s="1913"/>
      <c r="H548" s="1913"/>
      <c r="I548" s="1913"/>
      <c r="J548" s="1913"/>
      <c r="K548" s="1913"/>
      <c r="L548" s="1913"/>
      <c r="M548" s="1913"/>
      <c r="N548" s="1913"/>
      <c r="O548" s="1913"/>
      <c r="P548" s="1913"/>
      <c r="Q548" s="1913"/>
    </row>
    <row r="549" spans="1:17" s="20" customFormat="1" ht="38.25" x14ac:dyDescent="0.2">
      <c r="A549" s="125"/>
      <c r="B549" s="837" t="s">
        <v>111</v>
      </c>
      <c r="C549" s="696"/>
      <c r="D549" s="696" t="s">
        <v>795</v>
      </c>
      <c r="E549" s="659" t="s">
        <v>2745</v>
      </c>
      <c r="F549" s="1561">
        <v>21038980.099999998</v>
      </c>
      <c r="G549" s="1561">
        <v>22525507.399999999</v>
      </c>
      <c r="H549" s="1561">
        <v>24094175.599999998</v>
      </c>
      <c r="I549" s="1561">
        <v>25396656.300000001</v>
      </c>
      <c r="J549" s="1561">
        <v>26754723.699999999</v>
      </c>
      <c r="K549" s="41" t="s">
        <v>2526</v>
      </c>
      <c r="L549" s="22" t="s">
        <v>16</v>
      </c>
      <c r="M549" s="22">
        <v>38</v>
      </c>
      <c r="N549" s="22" t="s">
        <v>796</v>
      </c>
      <c r="O549" s="22">
        <v>37</v>
      </c>
      <c r="P549" s="22">
        <v>36</v>
      </c>
      <c r="Q549" s="22">
        <v>35</v>
      </c>
    </row>
    <row r="550" spans="1:17" s="20" customFormat="1" ht="38.25" x14ac:dyDescent="0.2">
      <c r="A550" s="125"/>
      <c r="B550" s="837"/>
      <c r="C550" s="696" t="s">
        <v>114</v>
      </c>
      <c r="D550" s="696" t="s">
        <v>795</v>
      </c>
      <c r="E550" s="41" t="s">
        <v>797</v>
      </c>
      <c r="F550" s="1547">
        <v>12668740.199999999</v>
      </c>
      <c r="G550" s="1547">
        <v>13520624.4</v>
      </c>
      <c r="H550" s="1547">
        <v>14235364.6</v>
      </c>
      <c r="I550" s="1547">
        <v>14986555.300000001</v>
      </c>
      <c r="J550" s="1547">
        <v>15781823.4</v>
      </c>
      <c r="K550" s="433" t="s">
        <v>798</v>
      </c>
      <c r="L550" s="22" t="s">
        <v>83</v>
      </c>
      <c r="M550" s="22">
        <v>0</v>
      </c>
      <c r="N550" s="22">
        <v>0</v>
      </c>
      <c r="O550" s="22">
        <v>0</v>
      </c>
      <c r="P550" s="22">
        <v>0</v>
      </c>
      <c r="Q550" s="22">
        <v>0</v>
      </c>
    </row>
    <row r="551" spans="1:17" s="20" customFormat="1" ht="38.25" x14ac:dyDescent="0.2">
      <c r="A551" s="125"/>
      <c r="B551" s="837"/>
      <c r="C551" s="696" t="s">
        <v>116</v>
      </c>
      <c r="D551" s="696" t="s">
        <v>795</v>
      </c>
      <c r="E551" s="41" t="s">
        <v>799</v>
      </c>
      <c r="F551" s="1547">
        <v>1882616.2</v>
      </c>
      <c r="G551" s="1547">
        <v>1910982.5</v>
      </c>
      <c r="H551" s="1547">
        <v>1954252.4</v>
      </c>
      <c r="I551" s="1547">
        <v>1997177.3</v>
      </c>
      <c r="J551" s="1547">
        <v>2039733</v>
      </c>
      <c r="K551" s="433" t="s">
        <v>798</v>
      </c>
      <c r="L551" s="22" t="s">
        <v>83</v>
      </c>
      <c r="M551" s="22">
        <v>0</v>
      </c>
      <c r="N551" s="22">
        <v>0</v>
      </c>
      <c r="O551" s="22">
        <v>0</v>
      </c>
      <c r="P551" s="22">
        <v>0</v>
      </c>
      <c r="Q551" s="22">
        <v>0</v>
      </c>
    </row>
    <row r="552" spans="1:17" s="20" customFormat="1" ht="38.25" x14ac:dyDescent="0.2">
      <c r="A552" s="125"/>
      <c r="B552" s="837"/>
      <c r="C552" s="696" t="s">
        <v>119</v>
      </c>
      <c r="D552" s="696" t="s">
        <v>795</v>
      </c>
      <c r="E552" s="41" t="s">
        <v>800</v>
      </c>
      <c r="F552" s="1547">
        <v>2680914.5</v>
      </c>
      <c r="G552" s="1547">
        <v>3336000</v>
      </c>
      <c r="H552" s="1547">
        <v>3881253.4</v>
      </c>
      <c r="I552" s="1547">
        <v>4199983.7</v>
      </c>
      <c r="J552" s="1547">
        <v>4518725.0999999996</v>
      </c>
      <c r="K552" s="433" t="s">
        <v>798</v>
      </c>
      <c r="L552" s="22" t="s">
        <v>83</v>
      </c>
      <c r="M552" s="22">
        <v>0</v>
      </c>
      <c r="N552" s="22">
        <v>0</v>
      </c>
      <c r="O552" s="22">
        <v>0</v>
      </c>
      <c r="P552" s="22">
        <v>0</v>
      </c>
      <c r="Q552" s="22">
        <v>0</v>
      </c>
    </row>
    <row r="553" spans="1:17" s="20" customFormat="1" ht="38.25" x14ac:dyDescent="0.2">
      <c r="A553" s="125"/>
      <c r="B553" s="837"/>
      <c r="C553" s="696" t="s">
        <v>124</v>
      </c>
      <c r="D553" s="696" t="s">
        <v>795</v>
      </c>
      <c r="E553" s="41" t="s">
        <v>801</v>
      </c>
      <c r="F553" s="1547">
        <v>3806709.2</v>
      </c>
      <c r="G553" s="1547">
        <v>3757900.5</v>
      </c>
      <c r="H553" s="1547">
        <v>4023305.2</v>
      </c>
      <c r="I553" s="1547">
        <v>4212940</v>
      </c>
      <c r="J553" s="1547">
        <v>4414442.2</v>
      </c>
      <c r="K553" s="433" t="s">
        <v>798</v>
      </c>
      <c r="L553" s="22" t="s">
        <v>83</v>
      </c>
      <c r="M553" s="22">
        <v>0</v>
      </c>
      <c r="N553" s="22">
        <v>0</v>
      </c>
      <c r="O553" s="22">
        <v>0</v>
      </c>
      <c r="P553" s="22">
        <v>0</v>
      </c>
      <c r="Q553" s="22">
        <v>0</v>
      </c>
    </row>
    <row r="554" spans="1:17" s="51" customFormat="1" ht="12.75" customHeight="1" x14ac:dyDescent="0.2">
      <c r="A554" s="2169" t="s">
        <v>68</v>
      </c>
      <c r="B554" s="2170"/>
      <c r="C554" s="2170"/>
      <c r="D554" s="2170"/>
      <c r="E554" s="2238"/>
      <c r="F554" s="1590">
        <v>21038980.099999998</v>
      </c>
      <c r="G554" s="1590">
        <v>22525507.399999999</v>
      </c>
      <c r="H554" s="1590">
        <v>24094175.599999998</v>
      </c>
      <c r="I554" s="1590">
        <v>25396656.300000001</v>
      </c>
      <c r="J554" s="1590">
        <v>26754723.699999999</v>
      </c>
      <c r="K554" s="2322"/>
      <c r="L554" s="2323"/>
      <c r="M554" s="2323"/>
      <c r="N554" s="2323"/>
      <c r="O554" s="2323"/>
      <c r="P554" s="2323"/>
      <c r="Q554" s="2324"/>
    </row>
    <row r="555" spans="1:17" s="120" customFormat="1" ht="20.25" customHeight="1" x14ac:dyDescent="0.2">
      <c r="A555" s="2231" t="s">
        <v>802</v>
      </c>
      <c r="B555" s="2232"/>
      <c r="C555" s="2232"/>
      <c r="D555" s="2232"/>
      <c r="E555" s="2232"/>
      <c r="F555" s="2232"/>
      <c r="G555" s="2232"/>
      <c r="H555" s="2232"/>
      <c r="I555" s="2232"/>
      <c r="J555" s="2232"/>
      <c r="K555" s="2232"/>
      <c r="L555" s="2232"/>
      <c r="M555" s="2232"/>
      <c r="N555" s="2232"/>
      <c r="O555" s="2232"/>
      <c r="P555" s="2232"/>
      <c r="Q555" s="2233"/>
    </row>
    <row r="556" spans="1:17" s="120" customFormat="1" ht="86.25" customHeight="1" x14ac:dyDescent="0.2">
      <c r="A556" s="587"/>
      <c r="B556" s="1423" t="s">
        <v>111</v>
      </c>
      <c r="C556" s="1422"/>
      <c r="D556" s="1422"/>
      <c r="E556" s="49" t="s">
        <v>2746</v>
      </c>
      <c r="F556" s="1914">
        <v>153969.60000000001</v>
      </c>
      <c r="G556" s="1914">
        <v>146918.70000000001</v>
      </c>
      <c r="H556" s="1914">
        <v>131587.6</v>
      </c>
      <c r="I556" s="1914">
        <v>128010.5</v>
      </c>
      <c r="J556" s="1914">
        <v>129241.3</v>
      </c>
      <c r="K556" s="49"/>
      <c r="L556" s="49"/>
      <c r="M556" s="49"/>
      <c r="N556" s="49"/>
      <c r="O556" s="49"/>
      <c r="P556" s="49"/>
      <c r="Q556" s="49"/>
    </row>
    <row r="557" spans="1:17" s="120" customFormat="1" ht="12.75" customHeight="1" x14ac:dyDescent="0.2">
      <c r="A557" s="587"/>
      <c r="B557" s="1422"/>
      <c r="C557" s="1422"/>
      <c r="D557" s="1422"/>
      <c r="E557" s="49"/>
      <c r="F557" s="1916"/>
      <c r="G557" s="1916"/>
      <c r="H557" s="1916"/>
      <c r="I557" s="1916"/>
      <c r="J557" s="1916"/>
      <c r="K557" s="49"/>
      <c r="L557" s="49"/>
      <c r="M557" s="49"/>
      <c r="N557" s="49"/>
      <c r="O557" s="49"/>
      <c r="P557" s="49"/>
      <c r="Q557" s="49"/>
    </row>
    <row r="558" spans="1:17" s="51" customFormat="1" ht="12.75" x14ac:dyDescent="0.2">
      <c r="A558" s="49"/>
      <c r="B558" s="1701"/>
      <c r="C558" s="1701" t="s">
        <v>114</v>
      </c>
      <c r="D558" s="1701"/>
      <c r="E558" s="1710" t="s">
        <v>2987</v>
      </c>
      <c r="F558" s="1548">
        <v>30177</v>
      </c>
      <c r="G558" s="1548">
        <v>25486.7</v>
      </c>
      <c r="H558" s="1917">
        <v>26006.9</v>
      </c>
      <c r="I558" s="1548">
        <v>26356.9</v>
      </c>
      <c r="J558" s="1548">
        <v>26557.9</v>
      </c>
      <c r="K558" s="394" t="s">
        <v>2249</v>
      </c>
      <c r="L558" s="839" t="s">
        <v>16</v>
      </c>
      <c r="M558" s="668">
        <v>104.5</v>
      </c>
      <c r="N558" s="668">
        <v>94.7</v>
      </c>
      <c r="O558" s="668">
        <v>104</v>
      </c>
      <c r="P558" s="668">
        <v>105.7</v>
      </c>
      <c r="Q558" s="668">
        <v>100.6</v>
      </c>
    </row>
    <row r="559" spans="1:17" s="51" customFormat="1" ht="12.75" customHeight="1" x14ac:dyDescent="0.2">
      <c r="A559" s="49"/>
      <c r="B559" s="1702"/>
      <c r="C559" s="1702"/>
      <c r="D559" s="1702"/>
      <c r="E559" s="1712"/>
      <c r="F559" s="1549"/>
      <c r="G559" s="1549"/>
      <c r="H559" s="1919"/>
      <c r="I559" s="1549"/>
      <c r="J559" s="1549"/>
      <c r="K559" s="840" t="s">
        <v>2250</v>
      </c>
      <c r="L559" s="841" t="s">
        <v>16</v>
      </c>
      <c r="M559" s="842" t="s">
        <v>803</v>
      </c>
      <c r="N559" s="842" t="s">
        <v>804</v>
      </c>
      <c r="O559" s="842" t="s">
        <v>805</v>
      </c>
      <c r="P559" s="842" t="s">
        <v>806</v>
      </c>
      <c r="Q559" s="842" t="s">
        <v>806</v>
      </c>
    </row>
    <row r="560" spans="1:17" s="20" customFormat="1" ht="12.75" customHeight="1" x14ac:dyDescent="0.2">
      <c r="A560" s="125"/>
      <c r="B560" s="1701"/>
      <c r="C560" s="1701" t="s">
        <v>116</v>
      </c>
      <c r="D560" s="1701"/>
      <c r="E560" s="1717" t="s">
        <v>2988</v>
      </c>
      <c r="F560" s="1548">
        <v>11531.9</v>
      </c>
      <c r="G560" s="1548">
        <v>13243.7</v>
      </c>
      <c r="H560" s="1917">
        <v>13475.5</v>
      </c>
      <c r="I560" s="1548">
        <v>13710.4</v>
      </c>
      <c r="J560" s="1548">
        <v>13910.4</v>
      </c>
      <c r="K560" s="844" t="s">
        <v>2251</v>
      </c>
      <c r="L560" s="845" t="s">
        <v>16</v>
      </c>
      <c r="M560" s="654">
        <v>107</v>
      </c>
      <c r="N560" s="668">
        <v>93.8</v>
      </c>
      <c r="O560" s="668">
        <v>108.5</v>
      </c>
      <c r="P560" s="668">
        <v>112.5</v>
      </c>
      <c r="Q560" s="668">
        <v>88.9</v>
      </c>
    </row>
    <row r="561" spans="1:17" s="20" customFormat="1" ht="12.75" customHeight="1" x14ac:dyDescent="0.2">
      <c r="A561" s="125"/>
      <c r="B561" s="1702"/>
      <c r="C561" s="1702"/>
      <c r="D561" s="1702"/>
      <c r="E561" s="1718"/>
      <c r="F561" s="1549"/>
      <c r="G561" s="1549"/>
      <c r="H561" s="1919"/>
      <c r="I561" s="1549"/>
      <c r="J561" s="1549"/>
      <c r="K561" s="846" t="s">
        <v>2252</v>
      </c>
      <c r="L561" s="847"/>
      <c r="M561" s="654">
        <v>42.4</v>
      </c>
      <c r="N561" s="668">
        <v>55.3</v>
      </c>
      <c r="O561" s="668">
        <v>53.4</v>
      </c>
      <c r="P561" s="668">
        <v>55.9</v>
      </c>
      <c r="Q561" s="668">
        <v>47.1</v>
      </c>
    </row>
    <row r="562" spans="1:17" s="20" customFormat="1" ht="25.5" x14ac:dyDescent="0.2">
      <c r="A562" s="125"/>
      <c r="B562" s="1422"/>
      <c r="C562" s="843" t="s">
        <v>119</v>
      </c>
      <c r="D562" s="843"/>
      <c r="E562" s="848" t="s">
        <v>2989</v>
      </c>
      <c r="F562" s="1548">
        <v>15599.7</v>
      </c>
      <c r="G562" s="1549">
        <v>11099.3</v>
      </c>
      <c r="H562" s="1629">
        <v>11309.9</v>
      </c>
      <c r="I562" s="1549">
        <v>11559.9</v>
      </c>
      <c r="J562" s="1549">
        <v>11859.9</v>
      </c>
      <c r="K562" s="217" t="s">
        <v>2253</v>
      </c>
      <c r="L562" s="849" t="s">
        <v>807</v>
      </c>
      <c r="M562" s="623">
        <v>876</v>
      </c>
      <c r="N562" s="623">
        <v>670</v>
      </c>
      <c r="O562" s="623">
        <v>750</v>
      </c>
      <c r="P562" s="850">
        <v>850</v>
      </c>
      <c r="Q562" s="850">
        <v>950</v>
      </c>
    </row>
    <row r="563" spans="1:17" s="20" customFormat="1" ht="25.5" x14ac:dyDescent="0.2">
      <c r="A563" s="125"/>
      <c r="B563" s="1422"/>
      <c r="C563" s="851" t="s">
        <v>124</v>
      </c>
      <c r="D563" s="851"/>
      <c r="E563" s="838" t="s">
        <v>2990</v>
      </c>
      <c r="F563" s="1567">
        <v>5602.5</v>
      </c>
      <c r="G563" s="1557">
        <v>4734.8</v>
      </c>
      <c r="H563" s="1646">
        <v>4824.8</v>
      </c>
      <c r="I563" s="1557">
        <v>4914.8</v>
      </c>
      <c r="J563" s="1557">
        <v>5114.8</v>
      </c>
      <c r="K563" s="372" t="s">
        <v>2254</v>
      </c>
      <c r="L563" s="668" t="s">
        <v>808</v>
      </c>
      <c r="M563" s="580">
        <v>1500</v>
      </c>
      <c r="N563" s="852">
        <v>3000</v>
      </c>
      <c r="O563" s="580">
        <v>4000</v>
      </c>
      <c r="P563" s="580">
        <v>5000</v>
      </c>
      <c r="Q563" s="580">
        <v>7000</v>
      </c>
    </row>
    <row r="564" spans="1:17" s="20" customFormat="1" ht="38.25" x14ac:dyDescent="0.2">
      <c r="A564" s="125"/>
      <c r="B564" s="1703"/>
      <c r="C564" s="1980" t="s">
        <v>128</v>
      </c>
      <c r="D564" s="1980"/>
      <c r="E564" s="1710" t="s">
        <v>2991</v>
      </c>
      <c r="F564" s="1548">
        <v>6522.9</v>
      </c>
      <c r="G564" s="1548">
        <v>4489.8999999999996</v>
      </c>
      <c r="H564" s="1917">
        <v>4551.8</v>
      </c>
      <c r="I564" s="1548">
        <v>4726.8</v>
      </c>
      <c r="J564" s="1548">
        <v>4926.8</v>
      </c>
      <c r="K564" s="372" t="s">
        <v>2605</v>
      </c>
      <c r="L564" s="668" t="s">
        <v>2179</v>
      </c>
      <c r="M564" s="623">
        <v>80</v>
      </c>
      <c r="N564" s="623">
        <v>70</v>
      </c>
      <c r="O564" s="623">
        <v>60</v>
      </c>
      <c r="P564" s="623">
        <v>50</v>
      </c>
      <c r="Q564" s="623">
        <v>50</v>
      </c>
    </row>
    <row r="565" spans="1:17" s="20" customFormat="1" ht="12.75" x14ac:dyDescent="0.2">
      <c r="A565" s="125"/>
      <c r="B565" s="1704"/>
      <c r="C565" s="1981"/>
      <c r="D565" s="1981"/>
      <c r="E565" s="1711"/>
      <c r="F565" s="1550"/>
      <c r="G565" s="1550"/>
      <c r="H565" s="1918"/>
      <c r="I565" s="1550"/>
      <c r="J565" s="1550"/>
      <c r="K565" s="838" t="s">
        <v>2255</v>
      </c>
      <c r="L565" s="668" t="s">
        <v>2179</v>
      </c>
      <c r="M565" s="854">
        <v>78</v>
      </c>
      <c r="N565" s="854">
        <v>70</v>
      </c>
      <c r="O565" s="854">
        <v>60</v>
      </c>
      <c r="P565" s="854">
        <v>50</v>
      </c>
      <c r="Q565" s="854">
        <v>50</v>
      </c>
    </row>
    <row r="566" spans="1:17" s="20" customFormat="1" ht="12.75" x14ac:dyDescent="0.2">
      <c r="A566" s="125"/>
      <c r="B566" s="1705"/>
      <c r="C566" s="1982"/>
      <c r="D566" s="1982"/>
      <c r="E566" s="1712"/>
      <c r="F566" s="1549"/>
      <c r="G566" s="1549"/>
      <c r="H566" s="1919"/>
      <c r="I566" s="1549"/>
      <c r="J566" s="1549"/>
      <c r="K566" s="838" t="s">
        <v>2256</v>
      </c>
      <c r="L566" s="841" t="s">
        <v>2179</v>
      </c>
      <c r="M566" s="854">
        <v>117</v>
      </c>
      <c r="N566" s="854">
        <v>115</v>
      </c>
      <c r="O566" s="854">
        <v>110</v>
      </c>
      <c r="P566" s="854">
        <v>100</v>
      </c>
      <c r="Q566" s="854">
        <v>100</v>
      </c>
    </row>
    <row r="567" spans="1:17" s="20" customFormat="1" ht="79.5" customHeight="1" x14ac:dyDescent="0.2">
      <c r="A567" s="125"/>
      <c r="B567" s="1422"/>
      <c r="C567" s="851" t="s">
        <v>202</v>
      </c>
      <c r="D567" s="851"/>
      <c r="E567" s="838" t="s">
        <v>2992</v>
      </c>
      <c r="F567" s="1548">
        <v>3631.6</v>
      </c>
      <c r="G567" s="1548">
        <v>5208.6000000000004</v>
      </c>
      <c r="H567" s="1342">
        <v>5273.6</v>
      </c>
      <c r="I567" s="1548">
        <v>5438.6</v>
      </c>
      <c r="J567" s="1548">
        <v>5638.6</v>
      </c>
      <c r="K567" s="855" t="s">
        <v>2257</v>
      </c>
      <c r="L567" s="856" t="s">
        <v>16</v>
      </c>
      <c r="M567" s="857">
        <v>30</v>
      </c>
      <c r="N567" s="857">
        <v>40</v>
      </c>
      <c r="O567" s="857">
        <v>50</v>
      </c>
      <c r="P567" s="857">
        <v>60</v>
      </c>
      <c r="Q567" s="857">
        <v>70</v>
      </c>
    </row>
    <row r="568" spans="1:17" s="20" customFormat="1" ht="54" customHeight="1" x14ac:dyDescent="0.2">
      <c r="A568" s="125"/>
      <c r="B568" s="1422"/>
      <c r="C568" s="858" t="s">
        <v>149</v>
      </c>
      <c r="D568" s="858"/>
      <c r="E568" s="371" t="s">
        <v>2993</v>
      </c>
      <c r="F568" s="1568">
        <v>3598</v>
      </c>
      <c r="G568" s="1568">
        <v>3022</v>
      </c>
      <c r="H568" s="1340">
        <v>3077</v>
      </c>
      <c r="I568" s="1568">
        <v>3232</v>
      </c>
      <c r="J568" s="1568">
        <v>3332</v>
      </c>
      <c r="K568" s="349" t="s">
        <v>2258</v>
      </c>
      <c r="L568" s="859" t="s">
        <v>16</v>
      </c>
      <c r="M568" s="859">
        <v>10</v>
      </c>
      <c r="N568" s="859">
        <v>15</v>
      </c>
      <c r="O568" s="859">
        <v>50</v>
      </c>
      <c r="P568" s="859">
        <v>80</v>
      </c>
      <c r="Q568" s="859">
        <v>100</v>
      </c>
    </row>
    <row r="569" spans="1:17" s="20" customFormat="1" ht="25.5" x14ac:dyDescent="0.2">
      <c r="A569" s="125"/>
      <c r="B569" s="1703"/>
      <c r="C569" s="1701" t="s">
        <v>152</v>
      </c>
      <c r="D569" s="1701"/>
      <c r="E569" s="1710" t="s">
        <v>2994</v>
      </c>
      <c r="F569" s="1551">
        <v>77306</v>
      </c>
      <c r="G569" s="1551">
        <v>79633.700000000012</v>
      </c>
      <c r="H569" s="1842">
        <v>63068.100000000006</v>
      </c>
      <c r="I569" s="1551">
        <v>58071.1</v>
      </c>
      <c r="J569" s="1551">
        <v>57900.899999999994</v>
      </c>
      <c r="K569" s="371" t="s">
        <v>2259</v>
      </c>
      <c r="L569" s="604" t="s">
        <v>16</v>
      </c>
      <c r="M569" s="668">
        <v>100</v>
      </c>
      <c r="N569" s="668">
        <v>100</v>
      </c>
      <c r="O569" s="623">
        <v>100</v>
      </c>
      <c r="P569" s="623">
        <v>100</v>
      </c>
      <c r="Q569" s="623">
        <v>100</v>
      </c>
    </row>
    <row r="570" spans="1:17" s="20" customFormat="1" ht="25.5" x14ac:dyDescent="0.2">
      <c r="A570" s="125"/>
      <c r="B570" s="1705"/>
      <c r="C570" s="1702"/>
      <c r="D570" s="1702"/>
      <c r="E570" s="1712"/>
      <c r="F570" s="1552"/>
      <c r="G570" s="1552"/>
      <c r="H570" s="1844"/>
      <c r="I570" s="1552"/>
      <c r="J570" s="1552"/>
      <c r="K570" s="371" t="s">
        <v>2260</v>
      </c>
      <c r="L570" s="393" t="s">
        <v>16</v>
      </c>
      <c r="M570" s="623">
        <v>44</v>
      </c>
      <c r="N570" s="623">
        <v>50</v>
      </c>
      <c r="O570" s="623">
        <v>50</v>
      </c>
      <c r="P570" s="623">
        <v>50</v>
      </c>
      <c r="Q570" s="623">
        <v>50</v>
      </c>
    </row>
    <row r="571" spans="1:17" s="20" customFormat="1" ht="25.5" x14ac:dyDescent="0.2">
      <c r="A571" s="125"/>
      <c r="B571" s="1706" t="s">
        <v>131</v>
      </c>
      <c r="C571" s="1986"/>
      <c r="D571" s="1701"/>
      <c r="E571" s="860" t="s">
        <v>2747</v>
      </c>
      <c r="F571" s="1553">
        <v>102271.1</v>
      </c>
      <c r="G571" s="1553">
        <v>126217.20000000001</v>
      </c>
      <c r="H571" s="1914">
        <f t="shared" ref="H571" si="18">H573+H575+H576+H578+H580+H581+H582+H587+H589+H591</f>
        <v>107167.2</v>
      </c>
      <c r="I571" s="1553">
        <v>109269.6</v>
      </c>
      <c r="J571" s="1553">
        <v>110385.09999999998</v>
      </c>
      <c r="K571" s="861" t="s">
        <v>1479</v>
      </c>
      <c r="L571" s="861" t="s">
        <v>2248</v>
      </c>
      <c r="M571" s="207" t="s">
        <v>11</v>
      </c>
      <c r="N571" s="863" t="s">
        <v>2261</v>
      </c>
      <c r="O571" s="864"/>
      <c r="P571" s="864"/>
      <c r="Q571" s="865"/>
    </row>
    <row r="572" spans="1:17" s="20" customFormat="1" ht="42.75" customHeight="1" x14ac:dyDescent="0.2">
      <c r="A572" s="125"/>
      <c r="B572" s="1707"/>
      <c r="C572" s="1987"/>
      <c r="D572" s="1702"/>
      <c r="E572" s="1308" t="s">
        <v>2262</v>
      </c>
      <c r="F572" s="1554"/>
      <c r="G572" s="1554"/>
      <c r="H572" s="1916"/>
      <c r="I572" s="1554"/>
      <c r="J572" s="1554"/>
      <c r="K572" s="208"/>
      <c r="L572" s="208"/>
      <c r="M572" s="866">
        <v>2019</v>
      </c>
      <c r="N572" s="866">
        <v>2020</v>
      </c>
      <c r="O572" s="866">
        <v>2021</v>
      </c>
      <c r="P572" s="866">
        <v>2022</v>
      </c>
      <c r="Q572" s="866">
        <v>2023</v>
      </c>
    </row>
    <row r="573" spans="1:17" s="51" customFormat="1" ht="38.25" x14ac:dyDescent="0.2">
      <c r="A573" s="49"/>
      <c r="B573" s="1703"/>
      <c r="C573" s="1701" t="s">
        <v>114</v>
      </c>
      <c r="D573" s="1701"/>
      <c r="E573" s="867" t="s">
        <v>2995</v>
      </c>
      <c r="F573" s="1548">
        <v>24245.7</v>
      </c>
      <c r="G573" s="1548">
        <v>27571</v>
      </c>
      <c r="H573" s="1917">
        <v>24050.1</v>
      </c>
      <c r="I573" s="1548">
        <v>24510.400000000001</v>
      </c>
      <c r="J573" s="1548">
        <v>24744.3</v>
      </c>
      <c r="K573" s="372" t="s">
        <v>2263</v>
      </c>
      <c r="L573" s="668" t="s">
        <v>122</v>
      </c>
      <c r="M573" s="508">
        <v>7915</v>
      </c>
      <c r="N573" s="508" t="s">
        <v>810</v>
      </c>
      <c r="O573" s="508" t="s">
        <v>810</v>
      </c>
      <c r="P573" s="508" t="s">
        <v>810</v>
      </c>
      <c r="Q573" s="508" t="s">
        <v>810</v>
      </c>
    </row>
    <row r="574" spans="1:17" s="51" customFormat="1" ht="12.75" customHeight="1" x14ac:dyDescent="0.2">
      <c r="A574" s="49"/>
      <c r="B574" s="1705"/>
      <c r="C574" s="1702"/>
      <c r="D574" s="1702"/>
      <c r="E574" s="868"/>
      <c r="F574" s="1549"/>
      <c r="G574" s="1549"/>
      <c r="H574" s="1919"/>
      <c r="I574" s="1549"/>
      <c r="J574" s="1549"/>
      <c r="K574" s="372" t="s">
        <v>2264</v>
      </c>
      <c r="L574" s="668"/>
      <c r="M574" s="508">
        <v>93018</v>
      </c>
      <c r="N574" s="508" t="s">
        <v>810</v>
      </c>
      <c r="O574" s="508" t="s">
        <v>810</v>
      </c>
      <c r="P574" s="508" t="s">
        <v>810</v>
      </c>
      <c r="Q574" s="508" t="s">
        <v>810</v>
      </c>
    </row>
    <row r="575" spans="1:17" s="20" customFormat="1" ht="25.5" x14ac:dyDescent="0.2">
      <c r="A575" s="125"/>
      <c r="B575" s="1422"/>
      <c r="C575" s="843" t="s">
        <v>116</v>
      </c>
      <c r="D575" s="843"/>
      <c r="E575" s="371" t="s">
        <v>2996</v>
      </c>
      <c r="F575" s="1568">
        <v>5493.1</v>
      </c>
      <c r="G575" s="1568">
        <v>6535.7</v>
      </c>
      <c r="H575" s="1340">
        <v>5966.8</v>
      </c>
      <c r="I575" s="1568">
        <v>6081</v>
      </c>
      <c r="J575" s="1568">
        <v>6139</v>
      </c>
      <c r="K575" s="379" t="s">
        <v>2265</v>
      </c>
      <c r="L575" s="869" t="s">
        <v>122</v>
      </c>
      <c r="M575" s="870">
        <v>14</v>
      </c>
      <c r="N575" s="870">
        <v>14</v>
      </c>
      <c r="O575" s="580">
        <v>15</v>
      </c>
      <c r="P575" s="580">
        <v>16</v>
      </c>
      <c r="Q575" s="580">
        <v>16</v>
      </c>
    </row>
    <row r="576" spans="1:17" s="20" customFormat="1" ht="25.5" x14ac:dyDescent="0.2">
      <c r="A576" s="125"/>
      <c r="B576" s="1703"/>
      <c r="C576" s="1701" t="s">
        <v>119</v>
      </c>
      <c r="D576" s="1701"/>
      <c r="E576" s="838" t="s">
        <v>2997</v>
      </c>
      <c r="F576" s="1548">
        <v>2515.8000000000002</v>
      </c>
      <c r="G576" s="1548">
        <v>14000</v>
      </c>
      <c r="H576" s="1917">
        <v>11066.9</v>
      </c>
      <c r="I576" s="1548">
        <v>11278.7</v>
      </c>
      <c r="J576" s="1548">
        <v>11386.3</v>
      </c>
      <c r="K576" s="838" t="s">
        <v>2266</v>
      </c>
      <c r="L576" s="857" t="s">
        <v>122</v>
      </c>
      <c r="M576" s="857">
        <v>3</v>
      </c>
      <c r="N576" s="857">
        <v>5</v>
      </c>
      <c r="O576" s="857">
        <v>8</v>
      </c>
      <c r="P576" s="857">
        <v>10</v>
      </c>
      <c r="Q576" s="857">
        <v>10</v>
      </c>
    </row>
    <row r="577" spans="1:17" s="20" customFormat="1" ht="38.25" x14ac:dyDescent="0.2">
      <c r="A577" s="125"/>
      <c r="B577" s="1705"/>
      <c r="C577" s="1702"/>
      <c r="D577" s="1702"/>
      <c r="E577" s="379"/>
      <c r="F577" s="1549"/>
      <c r="G577" s="1549"/>
      <c r="H577" s="1919"/>
      <c r="I577" s="1549"/>
      <c r="J577" s="1549"/>
      <c r="K577" s="838" t="s">
        <v>2267</v>
      </c>
      <c r="L577" s="857" t="s">
        <v>122</v>
      </c>
      <c r="M577" s="857">
        <v>50</v>
      </c>
      <c r="N577" s="857">
        <v>100</v>
      </c>
      <c r="O577" s="857">
        <v>200</v>
      </c>
      <c r="P577" s="857">
        <v>300</v>
      </c>
      <c r="Q577" s="857">
        <v>400</v>
      </c>
    </row>
    <row r="578" spans="1:17" s="20" customFormat="1" ht="51" x14ac:dyDescent="0.2">
      <c r="A578" s="125"/>
      <c r="B578" s="1708"/>
      <c r="C578" s="1701" t="s">
        <v>124</v>
      </c>
      <c r="D578" s="1701"/>
      <c r="E578" s="838" t="s">
        <v>2998</v>
      </c>
      <c r="F578" s="1548">
        <v>16339.4</v>
      </c>
      <c r="G578" s="1548">
        <v>17403</v>
      </c>
      <c r="H578" s="1917">
        <v>17403</v>
      </c>
      <c r="I578" s="1548">
        <v>17736.099999999999</v>
      </c>
      <c r="J578" s="1548">
        <v>17905.3</v>
      </c>
      <c r="K578" s="853" t="s">
        <v>2268</v>
      </c>
      <c r="L578" s="841" t="s">
        <v>811</v>
      </c>
      <c r="M578" s="668">
        <v>6400.7</v>
      </c>
      <c r="N578" s="668">
        <v>5764</v>
      </c>
      <c r="O578" s="668">
        <v>6103</v>
      </c>
      <c r="P578" s="668">
        <v>6597</v>
      </c>
      <c r="Q578" s="668">
        <v>6662</v>
      </c>
    </row>
    <row r="579" spans="1:17" s="20" customFormat="1" ht="12.75" x14ac:dyDescent="0.2">
      <c r="A579" s="125"/>
      <c r="B579" s="1709"/>
      <c r="C579" s="1702"/>
      <c r="D579" s="1702"/>
      <c r="E579" s="379"/>
      <c r="F579" s="1549"/>
      <c r="G579" s="1549"/>
      <c r="H579" s="1919"/>
      <c r="I579" s="1549"/>
      <c r="J579" s="1549"/>
      <c r="K579" s="853" t="s">
        <v>2269</v>
      </c>
      <c r="L579" s="841" t="s">
        <v>16</v>
      </c>
      <c r="M579" s="668">
        <v>95.8</v>
      </c>
      <c r="N579" s="654">
        <f>N578/M578*100</f>
        <v>90.052650491352509</v>
      </c>
      <c r="O579" s="654">
        <f t="shared" ref="O579:Q579" si="19">O578/N578*100</f>
        <v>105.88133240804996</v>
      </c>
      <c r="P579" s="654">
        <f t="shared" si="19"/>
        <v>108.09437981320661</v>
      </c>
      <c r="Q579" s="654">
        <f t="shared" si="19"/>
        <v>100.98529634682431</v>
      </c>
    </row>
    <row r="580" spans="1:17" s="20" customFormat="1" ht="51" x14ac:dyDescent="0.2">
      <c r="A580" s="125"/>
      <c r="B580" s="701"/>
      <c r="C580" s="851" t="s">
        <v>128</v>
      </c>
      <c r="D580" s="851"/>
      <c r="E580" s="371" t="s">
        <v>2999</v>
      </c>
      <c r="F580" s="1568">
        <v>149.69999999999999</v>
      </c>
      <c r="G580" s="1568">
        <v>2150.3000000000002</v>
      </c>
      <c r="H580" s="1340">
        <v>0</v>
      </c>
      <c r="I580" s="1568">
        <v>0</v>
      </c>
      <c r="J580" s="1568">
        <v>0</v>
      </c>
      <c r="K580" s="372" t="s">
        <v>2270</v>
      </c>
      <c r="L580" s="668" t="s">
        <v>115</v>
      </c>
      <c r="M580" s="508">
        <v>50</v>
      </c>
      <c r="N580" s="508">
        <v>100</v>
      </c>
      <c r="O580" s="508">
        <v>120</v>
      </c>
      <c r="P580" s="623">
        <v>140</v>
      </c>
      <c r="Q580" s="623">
        <v>160</v>
      </c>
    </row>
    <row r="581" spans="1:17" s="20" customFormat="1" ht="38.25" x14ac:dyDescent="0.2">
      <c r="A581" s="125"/>
      <c r="B581" s="701"/>
      <c r="C581" s="851" t="s">
        <v>202</v>
      </c>
      <c r="D581" s="851"/>
      <c r="E581" s="371" t="s">
        <v>3000</v>
      </c>
      <c r="F581" s="1568">
        <v>7776.4</v>
      </c>
      <c r="G581" s="1568">
        <v>9037.6</v>
      </c>
      <c r="H581" s="1340">
        <v>7596.2</v>
      </c>
      <c r="I581" s="1568">
        <v>7741.6</v>
      </c>
      <c r="J581" s="1568">
        <v>7815.4</v>
      </c>
      <c r="K581" s="372" t="s">
        <v>2271</v>
      </c>
      <c r="L581" s="668" t="s">
        <v>16</v>
      </c>
      <c r="M581" s="699">
        <v>28.7</v>
      </c>
      <c r="N581" s="508">
        <v>30</v>
      </c>
      <c r="O581" s="623">
        <v>35</v>
      </c>
      <c r="P581" s="623">
        <v>35</v>
      </c>
      <c r="Q581" s="623">
        <v>40</v>
      </c>
    </row>
    <row r="582" spans="1:17" s="20" customFormat="1" ht="51" x14ac:dyDescent="0.2">
      <c r="A582" s="125"/>
      <c r="B582" s="1713"/>
      <c r="C582" s="1713" t="s">
        <v>149</v>
      </c>
      <c r="D582" s="1713"/>
      <c r="E582" s="1710" t="s">
        <v>3001</v>
      </c>
      <c r="F582" s="1548">
        <v>29579.9</v>
      </c>
      <c r="G582" s="1555">
        <v>32040.1</v>
      </c>
      <c r="H582" s="2156">
        <f>25166.8</f>
        <v>25166.799999999999</v>
      </c>
      <c r="I582" s="1555">
        <v>25843.200000000001</v>
      </c>
      <c r="J582" s="1555">
        <v>26234.400000000001</v>
      </c>
      <c r="K582" s="871" t="s">
        <v>2272</v>
      </c>
      <c r="L582" s="95" t="s">
        <v>16</v>
      </c>
      <c r="M582" s="95">
        <v>20</v>
      </c>
      <c r="N582" s="95">
        <v>30</v>
      </c>
      <c r="O582" s="95">
        <v>70</v>
      </c>
      <c r="P582" s="95">
        <v>90</v>
      </c>
      <c r="Q582" s="95">
        <v>95</v>
      </c>
    </row>
    <row r="583" spans="1:17" s="20" customFormat="1" ht="38.25" x14ac:dyDescent="0.2">
      <c r="A583" s="125"/>
      <c r="B583" s="1714"/>
      <c r="C583" s="1714"/>
      <c r="D583" s="1714"/>
      <c r="E583" s="1711"/>
      <c r="F583" s="1550"/>
      <c r="G583" s="1556"/>
      <c r="H583" s="2171"/>
      <c r="I583" s="1556"/>
      <c r="J583" s="1556"/>
      <c r="K583" s="104" t="s">
        <v>2273</v>
      </c>
      <c r="L583" s="623" t="s">
        <v>122</v>
      </c>
      <c r="M583" s="623" t="s">
        <v>20</v>
      </c>
      <c r="N583" s="623">
        <v>17</v>
      </c>
      <c r="O583" s="623">
        <v>6</v>
      </c>
      <c r="P583" s="623">
        <v>6</v>
      </c>
      <c r="Q583" s="623">
        <v>8</v>
      </c>
    </row>
    <row r="584" spans="1:17" s="20" customFormat="1" ht="89.25" x14ac:dyDescent="0.2">
      <c r="A584" s="125"/>
      <c r="B584" s="1714"/>
      <c r="C584" s="1714"/>
      <c r="D584" s="1714"/>
      <c r="E584" s="1711"/>
      <c r="F584" s="1550"/>
      <c r="G584" s="1556"/>
      <c r="H584" s="2171"/>
      <c r="I584" s="1556"/>
      <c r="J584" s="1556"/>
      <c r="K584" s="838" t="s">
        <v>2274</v>
      </c>
      <c r="L584" s="841" t="s">
        <v>16</v>
      </c>
      <c r="M584" s="508" t="s">
        <v>20</v>
      </c>
      <c r="N584" s="508">
        <v>60</v>
      </c>
      <c r="O584" s="508">
        <v>65</v>
      </c>
      <c r="P584" s="508">
        <v>70</v>
      </c>
      <c r="Q584" s="508">
        <v>70</v>
      </c>
    </row>
    <row r="585" spans="1:17" s="20" customFormat="1" ht="12.75" x14ac:dyDescent="0.2">
      <c r="A585" s="125"/>
      <c r="B585" s="1714"/>
      <c r="C585" s="1714"/>
      <c r="D585" s="1714"/>
      <c r="E585" s="1711"/>
      <c r="F585" s="1550"/>
      <c r="G585" s="1556"/>
      <c r="H585" s="2171"/>
      <c r="I585" s="1556"/>
      <c r="J585" s="1556"/>
      <c r="K585" s="838" t="s">
        <v>2275</v>
      </c>
      <c r="L585" s="841" t="s">
        <v>16</v>
      </c>
      <c r="M585" s="873">
        <v>56</v>
      </c>
      <c r="N585" s="873">
        <v>57</v>
      </c>
      <c r="O585" s="873">
        <v>57</v>
      </c>
      <c r="P585" s="873">
        <v>57</v>
      </c>
      <c r="Q585" s="873">
        <v>57</v>
      </c>
    </row>
    <row r="586" spans="1:17" s="20" customFormat="1" ht="51" x14ac:dyDescent="0.2">
      <c r="A586" s="125"/>
      <c r="B586" s="1715"/>
      <c r="C586" s="1715"/>
      <c r="D586" s="1715"/>
      <c r="E586" s="1712"/>
      <c r="F586" s="1549"/>
      <c r="G586" s="1557"/>
      <c r="H586" s="2172"/>
      <c r="I586" s="1557"/>
      <c r="J586" s="1557"/>
      <c r="K586" s="838" t="s">
        <v>2276</v>
      </c>
      <c r="L586" s="841" t="s">
        <v>122</v>
      </c>
      <c r="M586" s="508" t="s">
        <v>20</v>
      </c>
      <c r="N586" s="508">
        <v>2</v>
      </c>
      <c r="O586" s="508">
        <v>6</v>
      </c>
      <c r="P586" s="508">
        <v>10</v>
      </c>
      <c r="Q586" s="508">
        <v>10</v>
      </c>
    </row>
    <row r="587" spans="1:17" s="20" customFormat="1" ht="38.25" x14ac:dyDescent="0.2">
      <c r="A587" s="125"/>
      <c r="B587" s="1703"/>
      <c r="C587" s="2443" t="s">
        <v>152</v>
      </c>
      <c r="D587" s="2443"/>
      <c r="E587" s="874" t="s">
        <v>3002</v>
      </c>
      <c r="F587" s="1548">
        <v>15891.1</v>
      </c>
      <c r="G587" s="1548">
        <v>16911.3</v>
      </c>
      <c r="H587" s="1917">
        <f>14917.4</f>
        <v>14917.4</v>
      </c>
      <c r="I587" s="1548">
        <v>15078.6</v>
      </c>
      <c r="J587" s="1548">
        <v>15160.4</v>
      </c>
      <c r="K587" s="875" t="s">
        <v>2277</v>
      </c>
      <c r="L587" s="876" t="s">
        <v>83</v>
      </c>
      <c r="M587" s="877">
        <v>99</v>
      </c>
      <c r="N587" s="877">
        <v>89</v>
      </c>
      <c r="O587" s="878">
        <v>85</v>
      </c>
      <c r="P587" s="878">
        <v>90</v>
      </c>
      <c r="Q587" s="878">
        <v>95</v>
      </c>
    </row>
    <row r="588" spans="1:17" s="20" customFormat="1" ht="63.75" x14ac:dyDescent="0.2">
      <c r="A588" s="125"/>
      <c r="B588" s="1705"/>
      <c r="C588" s="2444"/>
      <c r="D588" s="2444"/>
      <c r="E588" s="879"/>
      <c r="F588" s="1549"/>
      <c r="G588" s="1549"/>
      <c r="H588" s="1919"/>
      <c r="I588" s="1549"/>
      <c r="J588" s="1549"/>
      <c r="K588" s="875" t="s">
        <v>2278</v>
      </c>
      <c r="L588" s="876" t="s">
        <v>83</v>
      </c>
      <c r="M588" s="877">
        <v>61</v>
      </c>
      <c r="N588" s="877">
        <v>65</v>
      </c>
      <c r="O588" s="878">
        <v>67</v>
      </c>
      <c r="P588" s="878">
        <v>68</v>
      </c>
      <c r="Q588" s="878">
        <v>70</v>
      </c>
    </row>
    <row r="589" spans="1:17" s="20" customFormat="1" ht="38.25" x14ac:dyDescent="0.2">
      <c r="A589" s="125"/>
      <c r="B589" s="1703"/>
      <c r="C589" s="1716" t="s">
        <v>279</v>
      </c>
      <c r="D589" s="1716"/>
      <c r="E589" s="838" t="s">
        <v>3003</v>
      </c>
      <c r="F589" s="1548">
        <v>280</v>
      </c>
      <c r="G589" s="1548">
        <v>568.20000000000005</v>
      </c>
      <c r="H589" s="1917">
        <v>1000</v>
      </c>
      <c r="I589" s="1548">
        <v>1000</v>
      </c>
      <c r="J589" s="1548">
        <v>1000</v>
      </c>
      <c r="K589" s="838" t="s">
        <v>2279</v>
      </c>
      <c r="L589" s="854" t="s">
        <v>122</v>
      </c>
      <c r="M589" s="623">
        <v>2</v>
      </c>
      <c r="N589" s="623">
        <v>4</v>
      </c>
      <c r="O589" s="623">
        <v>6</v>
      </c>
      <c r="P589" s="623">
        <v>6</v>
      </c>
      <c r="Q589" s="623">
        <v>6</v>
      </c>
    </row>
    <row r="590" spans="1:17" s="20" customFormat="1" ht="12.75" customHeight="1" x14ac:dyDescent="0.2">
      <c r="A590" s="125"/>
      <c r="B590" s="1705"/>
      <c r="C590" s="1716"/>
      <c r="D590" s="1716"/>
      <c r="E590" s="379"/>
      <c r="F590" s="1549"/>
      <c r="G590" s="1549"/>
      <c r="H590" s="1919"/>
      <c r="I590" s="1549"/>
      <c r="J590" s="1549"/>
      <c r="K590" s="838" t="s">
        <v>2280</v>
      </c>
      <c r="L590" s="854" t="s">
        <v>122</v>
      </c>
      <c r="M590" s="623">
        <v>1</v>
      </c>
      <c r="N590" s="623">
        <v>2</v>
      </c>
      <c r="O590" s="623">
        <v>4</v>
      </c>
      <c r="P590" s="623">
        <v>4</v>
      </c>
      <c r="Q590" s="623">
        <v>4</v>
      </c>
    </row>
    <row r="591" spans="1:17" s="20" customFormat="1" ht="38.25" x14ac:dyDescent="0.2">
      <c r="A591" s="125"/>
      <c r="B591" s="1422"/>
      <c r="C591" s="851" t="s">
        <v>284</v>
      </c>
      <c r="D591" s="851"/>
      <c r="E591" s="384" t="s">
        <v>3004</v>
      </c>
      <c r="F591" s="1549"/>
      <c r="G591" s="1550"/>
      <c r="H591" s="1629"/>
      <c r="I591" s="1549"/>
      <c r="J591" s="1549"/>
      <c r="K591" s="372" t="s">
        <v>2281</v>
      </c>
      <c r="L591" s="623" t="s">
        <v>16</v>
      </c>
      <c r="M591" s="580" t="s">
        <v>20</v>
      </c>
      <c r="N591" s="580">
        <v>50</v>
      </c>
      <c r="O591" s="580">
        <v>100</v>
      </c>
      <c r="P591" s="880"/>
      <c r="Q591" s="623"/>
    </row>
    <row r="592" spans="1:17" s="442" customFormat="1" ht="19.5" customHeight="1" x14ac:dyDescent="0.2">
      <c r="B592" s="532"/>
      <c r="C592" s="851" t="s">
        <v>114</v>
      </c>
      <c r="D592" s="851"/>
      <c r="E592" s="600" t="s">
        <v>2606</v>
      </c>
      <c r="F592" s="1340"/>
      <c r="G592" s="1340"/>
      <c r="H592" s="1340">
        <v>729890.75</v>
      </c>
      <c r="I592" s="1340"/>
      <c r="J592" s="1340"/>
      <c r="K592" s="533"/>
      <c r="L592" s="593"/>
      <c r="M592" s="593"/>
      <c r="N592" s="593"/>
      <c r="O592" s="534"/>
      <c r="P592" s="410"/>
    </row>
    <row r="593" spans="1:17" ht="21" customHeight="1" x14ac:dyDescent="0.2">
      <c r="A593" s="595" t="s">
        <v>812</v>
      </c>
      <c r="B593" s="2169" t="s">
        <v>68</v>
      </c>
      <c r="C593" s="2170"/>
      <c r="D593" s="2170"/>
      <c r="E593" s="2170"/>
      <c r="F593" s="1580">
        <v>256240.7</v>
      </c>
      <c r="G593" s="1580">
        <v>273135.90000000002</v>
      </c>
      <c r="H593" s="1580">
        <f>H556+H571+H592</f>
        <v>968645.55</v>
      </c>
      <c r="I593" s="1580">
        <v>237280.1</v>
      </c>
      <c r="J593" s="1580">
        <v>239626.39999999997</v>
      </c>
      <c r="K593" s="535"/>
      <c r="L593" s="113"/>
      <c r="M593" s="113"/>
      <c r="N593" s="113"/>
      <c r="O593" s="113"/>
      <c r="P593" s="536"/>
      <c r="Q593" s="111"/>
    </row>
    <row r="594" spans="1:17" s="15" customFormat="1" ht="28.5" customHeight="1" x14ac:dyDescent="0.2">
      <c r="A594" s="278"/>
      <c r="B594" s="2231" t="s">
        <v>813</v>
      </c>
      <c r="C594" s="2232"/>
      <c r="D594" s="2232"/>
      <c r="E594" s="2232"/>
      <c r="F594" s="2232"/>
      <c r="G594" s="2232"/>
      <c r="H594" s="2232"/>
      <c r="I594" s="2232"/>
      <c r="J594" s="2232"/>
      <c r="K594" s="2232"/>
      <c r="L594" s="2232"/>
      <c r="M594" s="2232"/>
      <c r="N594" s="2232"/>
      <c r="O594" s="2232"/>
      <c r="P594" s="2232"/>
      <c r="Q594" s="2232"/>
    </row>
    <row r="595" spans="1:17" ht="38.25" x14ac:dyDescent="0.2">
      <c r="A595" s="279"/>
      <c r="B595" s="1311" t="s">
        <v>111</v>
      </c>
      <c r="C595" s="1310"/>
      <c r="D595" s="1310">
        <v>0</v>
      </c>
      <c r="E595" s="826" t="s">
        <v>814</v>
      </c>
      <c r="F595" s="1616">
        <v>7803.9</v>
      </c>
      <c r="G595" s="1616">
        <v>30479.899999999998</v>
      </c>
      <c r="H595" s="1616">
        <v>30479.9</v>
      </c>
      <c r="I595" s="1616">
        <v>31300</v>
      </c>
      <c r="J595" s="1616">
        <v>32000</v>
      </c>
      <c r="K595" s="93" t="s">
        <v>15</v>
      </c>
      <c r="L595" s="280" t="s">
        <v>16</v>
      </c>
      <c r="M595" s="280"/>
      <c r="N595" s="280">
        <v>16.100000000000001</v>
      </c>
      <c r="O595" s="280">
        <v>16.100000000000001</v>
      </c>
      <c r="P595" s="280">
        <v>16.100000000000001</v>
      </c>
      <c r="Q595" s="280">
        <v>16.100000000000001</v>
      </c>
    </row>
    <row r="596" spans="1:17" ht="12.75" x14ac:dyDescent="0.2">
      <c r="A596" s="279"/>
      <c r="B596" s="1309"/>
      <c r="C596" s="1309" t="s">
        <v>114</v>
      </c>
      <c r="D596" s="1310">
        <v>0</v>
      </c>
      <c r="E596" s="882" t="s">
        <v>563</v>
      </c>
      <c r="F596" s="1616"/>
      <c r="G596" s="1616">
        <v>3634.6</v>
      </c>
      <c r="H596" s="1616">
        <v>3995</v>
      </c>
      <c r="I596" s="1616">
        <v>4127</v>
      </c>
      <c r="J596" s="1616">
        <v>4367</v>
      </c>
      <c r="K596" s="586" t="s">
        <v>18</v>
      </c>
      <c r="L596" s="280" t="s">
        <v>19</v>
      </c>
      <c r="M596" s="280"/>
      <c r="N596" s="280">
        <v>0.7</v>
      </c>
      <c r="O596" s="280">
        <v>0.7</v>
      </c>
      <c r="P596" s="280">
        <v>0.7</v>
      </c>
      <c r="Q596" s="280">
        <v>0.7</v>
      </c>
    </row>
    <row r="597" spans="1:17" ht="12.75" x14ac:dyDescent="0.2">
      <c r="A597" s="279"/>
      <c r="B597" s="1309"/>
      <c r="C597" s="1309" t="s">
        <v>116</v>
      </c>
      <c r="D597" s="1310">
        <v>0</v>
      </c>
      <c r="E597" s="883" t="s">
        <v>815</v>
      </c>
      <c r="F597" s="1616"/>
      <c r="G597" s="1616">
        <v>2292.9</v>
      </c>
      <c r="H597" s="1616">
        <v>2433</v>
      </c>
      <c r="I597" s="1616">
        <v>2530</v>
      </c>
      <c r="J597" s="1616">
        <v>2645</v>
      </c>
      <c r="K597" s="586" t="s">
        <v>22</v>
      </c>
      <c r="L597" s="280" t="s">
        <v>16</v>
      </c>
      <c r="M597" s="280"/>
      <c r="N597" s="280">
        <v>100</v>
      </c>
      <c r="O597" s="280">
        <v>100</v>
      </c>
      <c r="P597" s="280">
        <v>100</v>
      </c>
      <c r="Q597" s="280">
        <v>100</v>
      </c>
    </row>
    <row r="598" spans="1:17" ht="25.5" x14ac:dyDescent="0.2">
      <c r="A598" s="279"/>
      <c r="B598" s="1309"/>
      <c r="C598" s="1309" t="s">
        <v>119</v>
      </c>
      <c r="D598" s="1310">
        <v>0</v>
      </c>
      <c r="E598" s="884" t="s">
        <v>816</v>
      </c>
      <c r="F598" s="1616"/>
      <c r="G598" s="1616">
        <v>2055.8000000000002</v>
      </c>
      <c r="H598" s="1616">
        <v>1897.5</v>
      </c>
      <c r="I598" s="1616">
        <v>2047</v>
      </c>
      <c r="J598" s="1616">
        <v>2070</v>
      </c>
      <c r="K598" s="586" t="s">
        <v>24</v>
      </c>
      <c r="L598" s="280" t="s">
        <v>16</v>
      </c>
      <c r="M598" s="280"/>
      <c r="N598" s="280"/>
      <c r="O598" s="280"/>
      <c r="P598" s="280"/>
      <c r="Q598" s="280"/>
    </row>
    <row r="599" spans="1:17" ht="12.75" x14ac:dyDescent="0.2">
      <c r="A599" s="279"/>
      <c r="B599" s="1309"/>
      <c r="C599" s="1309" t="s">
        <v>124</v>
      </c>
      <c r="D599" s="1310">
        <v>0</v>
      </c>
      <c r="E599" s="883" t="s">
        <v>817</v>
      </c>
      <c r="F599" s="1616"/>
      <c r="G599" s="1616">
        <v>1834</v>
      </c>
      <c r="H599" s="1616">
        <v>1725</v>
      </c>
      <c r="I599" s="1616">
        <v>1840</v>
      </c>
      <c r="J599" s="1616">
        <v>1955</v>
      </c>
      <c r="K599" s="586" t="s">
        <v>26</v>
      </c>
      <c r="L599" s="280" t="s">
        <v>27</v>
      </c>
      <c r="M599" s="280"/>
      <c r="N599" s="280"/>
      <c r="O599" s="280"/>
      <c r="P599" s="280"/>
      <c r="Q599" s="280"/>
    </row>
    <row r="600" spans="1:17" ht="25.5" x14ac:dyDescent="0.2">
      <c r="A600" s="279"/>
      <c r="B600" s="1309"/>
      <c r="C600" s="1309" t="s">
        <v>128</v>
      </c>
      <c r="D600" s="1310">
        <v>0</v>
      </c>
      <c r="E600" s="885" t="s">
        <v>266</v>
      </c>
      <c r="F600" s="1616">
        <v>7803.9</v>
      </c>
      <c r="G600" s="1616">
        <v>20662.599999999999</v>
      </c>
      <c r="H600" s="1616">
        <v>20429.400000000001</v>
      </c>
      <c r="I600" s="1616">
        <v>20756</v>
      </c>
      <c r="J600" s="1616">
        <v>20963</v>
      </c>
      <c r="K600" s="586" t="s">
        <v>32</v>
      </c>
      <c r="L600" s="280" t="s">
        <v>16</v>
      </c>
      <c r="M600" s="280"/>
      <c r="N600" s="280">
        <v>71.400000000000006</v>
      </c>
      <c r="O600" s="280">
        <v>55.6</v>
      </c>
      <c r="P600" s="280">
        <v>55.6</v>
      </c>
      <c r="Q600" s="280">
        <v>55.6</v>
      </c>
    </row>
    <row r="601" spans="1:17" ht="95.25" customHeight="1" x14ac:dyDescent="0.2">
      <c r="A601" s="279"/>
      <c r="B601" s="1311" t="s">
        <v>131</v>
      </c>
      <c r="C601" s="1310"/>
      <c r="D601" s="1310">
        <v>2</v>
      </c>
      <c r="E601" s="40" t="s">
        <v>2527</v>
      </c>
      <c r="F601" s="1617">
        <v>32333</v>
      </c>
      <c r="G601" s="1617">
        <v>32333</v>
      </c>
      <c r="H601" s="1617">
        <v>33533</v>
      </c>
      <c r="I601" s="1617">
        <v>33533</v>
      </c>
      <c r="J601" s="1617">
        <v>33533</v>
      </c>
      <c r="K601" s="697"/>
      <c r="L601" s="280"/>
      <c r="M601" s="280"/>
      <c r="N601" s="280"/>
      <c r="O601" s="280"/>
      <c r="P601" s="280"/>
      <c r="Q601" s="280"/>
    </row>
    <row r="602" spans="1:17" ht="48.75" customHeight="1" x14ac:dyDescent="0.2">
      <c r="A602" s="279"/>
      <c r="B602" s="2325"/>
      <c r="C602" s="2325" t="s">
        <v>114</v>
      </c>
      <c r="D602" s="2326">
        <v>2</v>
      </c>
      <c r="E602" s="2041" t="s">
        <v>818</v>
      </c>
      <c r="F602" s="1648">
        <v>16715.900000000001</v>
      </c>
      <c r="G602" s="1648">
        <v>16715.900000000001</v>
      </c>
      <c r="H602" s="1648">
        <v>17177.3</v>
      </c>
      <c r="I602" s="1648">
        <v>17177.3</v>
      </c>
      <c r="J602" s="1648">
        <v>17177.3</v>
      </c>
      <c r="K602" s="697" t="s">
        <v>819</v>
      </c>
      <c r="L602" s="280" t="s">
        <v>820</v>
      </c>
      <c r="M602" s="280">
        <v>71</v>
      </c>
      <c r="N602" s="280">
        <v>71</v>
      </c>
      <c r="O602" s="280">
        <v>71</v>
      </c>
      <c r="P602" s="280">
        <v>71</v>
      </c>
      <c r="Q602" s="280">
        <v>71</v>
      </c>
    </row>
    <row r="603" spans="1:17" ht="48" customHeight="1" x14ac:dyDescent="0.2">
      <c r="A603" s="279"/>
      <c r="B603" s="2325"/>
      <c r="C603" s="2325"/>
      <c r="D603" s="2326"/>
      <c r="E603" s="2263"/>
      <c r="F603" s="1649"/>
      <c r="G603" s="1649"/>
      <c r="H603" s="1649"/>
      <c r="I603" s="1649"/>
      <c r="J603" s="1649"/>
      <c r="K603" s="697" t="s">
        <v>821</v>
      </c>
      <c r="L603" s="280" t="s">
        <v>822</v>
      </c>
      <c r="M603" s="280">
        <v>8</v>
      </c>
      <c r="N603" s="280">
        <v>8</v>
      </c>
      <c r="O603" s="280">
        <v>8</v>
      </c>
      <c r="P603" s="280">
        <v>8</v>
      </c>
      <c r="Q603" s="280">
        <v>8</v>
      </c>
    </row>
    <row r="604" spans="1:17" ht="24.75" customHeight="1" x14ac:dyDescent="0.2">
      <c r="A604" s="279"/>
      <c r="B604" s="2325"/>
      <c r="C604" s="2325" t="s">
        <v>116</v>
      </c>
      <c r="D604" s="2326">
        <v>2</v>
      </c>
      <c r="E604" s="2041" t="s">
        <v>823</v>
      </c>
      <c r="F604" s="1648">
        <v>15617.1</v>
      </c>
      <c r="G604" s="1648">
        <v>15617.1</v>
      </c>
      <c r="H604" s="1648">
        <v>16355.7</v>
      </c>
      <c r="I604" s="1648">
        <v>16355.7</v>
      </c>
      <c r="J604" s="1648">
        <v>16355.7</v>
      </c>
      <c r="K604" s="697" t="s">
        <v>824</v>
      </c>
      <c r="L604" s="280" t="s">
        <v>825</v>
      </c>
      <c r="M604" s="280">
        <v>123</v>
      </c>
      <c r="N604" s="280">
        <v>126</v>
      </c>
      <c r="O604" s="280">
        <v>126</v>
      </c>
      <c r="P604" s="280">
        <v>126</v>
      </c>
      <c r="Q604" s="280">
        <v>126</v>
      </c>
    </row>
    <row r="605" spans="1:17" ht="25.5" x14ac:dyDescent="0.2">
      <c r="A605" s="279"/>
      <c r="B605" s="2325"/>
      <c r="C605" s="2325"/>
      <c r="D605" s="2326"/>
      <c r="E605" s="2263"/>
      <c r="F605" s="1650"/>
      <c r="G605" s="1650"/>
      <c r="H605" s="1650"/>
      <c r="I605" s="1650"/>
      <c r="J605" s="1649"/>
      <c r="K605" s="697" t="s">
        <v>826</v>
      </c>
      <c r="L605" s="280" t="s">
        <v>825</v>
      </c>
      <c r="M605" s="280">
        <v>117</v>
      </c>
      <c r="N605" s="280">
        <v>122</v>
      </c>
      <c r="O605" s="280">
        <v>122</v>
      </c>
      <c r="P605" s="280">
        <v>122</v>
      </c>
      <c r="Q605" s="280">
        <v>122</v>
      </c>
    </row>
    <row r="606" spans="1:17" ht="63.75" x14ac:dyDescent="0.2">
      <c r="A606" s="279"/>
      <c r="B606" s="1311" t="s">
        <v>155</v>
      </c>
      <c r="C606" s="1309"/>
      <c r="D606" s="1310"/>
      <c r="E606" s="40" t="s">
        <v>2528</v>
      </c>
      <c r="F606" s="1616">
        <v>42577.3</v>
      </c>
      <c r="G606" s="1616">
        <v>42577.3</v>
      </c>
      <c r="H606" s="1616">
        <v>41377.300000000003</v>
      </c>
      <c r="I606" s="1616">
        <v>41887.800000000003</v>
      </c>
      <c r="J606" s="1616">
        <v>41887.800000000003</v>
      </c>
      <c r="K606" s="41"/>
      <c r="L606" s="281"/>
      <c r="M606" s="280"/>
      <c r="N606" s="280"/>
      <c r="O606" s="280"/>
      <c r="P606" s="280"/>
      <c r="Q606" s="280"/>
    </row>
    <row r="607" spans="1:17" ht="25.5" x14ac:dyDescent="0.2">
      <c r="A607" s="279"/>
      <c r="B607" s="2325"/>
      <c r="C607" s="2325" t="s">
        <v>114</v>
      </c>
      <c r="D607" s="2326">
        <v>2</v>
      </c>
      <c r="E607" s="2041" t="s">
        <v>827</v>
      </c>
      <c r="F607" s="1648">
        <v>24059.5</v>
      </c>
      <c r="G607" s="1648">
        <v>24059.5</v>
      </c>
      <c r="H607" s="1648">
        <v>23459.5</v>
      </c>
      <c r="I607" s="2331">
        <v>23714.799999999999</v>
      </c>
      <c r="J607" s="2331">
        <v>23714.799999999999</v>
      </c>
      <c r="K607" s="322" t="s">
        <v>2609</v>
      </c>
      <c r="L607" s="281" t="s">
        <v>828</v>
      </c>
      <c r="M607" s="281">
        <v>31</v>
      </c>
      <c r="N607" s="281">
        <v>31</v>
      </c>
      <c r="O607" s="281">
        <v>31</v>
      </c>
      <c r="P607" s="281">
        <v>31</v>
      </c>
      <c r="Q607" s="281">
        <v>31</v>
      </c>
    </row>
    <row r="608" spans="1:17" ht="25.5" x14ac:dyDescent="0.2">
      <c r="A608" s="279"/>
      <c r="B608" s="2325"/>
      <c r="C608" s="2325"/>
      <c r="D608" s="2326"/>
      <c r="E608" s="2041"/>
      <c r="F608" s="1650"/>
      <c r="G608" s="1650"/>
      <c r="H608" s="1650"/>
      <c r="I608" s="2332"/>
      <c r="J608" s="2332"/>
      <c r="K608" s="41" t="s">
        <v>829</v>
      </c>
      <c r="L608" s="281" t="s">
        <v>830</v>
      </c>
      <c r="M608" s="280" t="s">
        <v>831</v>
      </c>
      <c r="N608" s="280" t="s">
        <v>832</v>
      </c>
      <c r="O608" s="280" t="s">
        <v>832</v>
      </c>
      <c r="P608" s="280" t="s">
        <v>832</v>
      </c>
      <c r="Q608" s="280" t="s">
        <v>832</v>
      </c>
    </row>
    <row r="609" spans="1:27" ht="25.5" x14ac:dyDescent="0.2">
      <c r="A609" s="279"/>
      <c r="B609" s="2325"/>
      <c r="C609" s="2325" t="s">
        <v>116</v>
      </c>
      <c r="D609" s="2326">
        <v>2</v>
      </c>
      <c r="E609" s="2333" t="s">
        <v>2608</v>
      </c>
      <c r="F609" s="1648">
        <v>18517.8</v>
      </c>
      <c r="G609" s="1648">
        <v>18517.8</v>
      </c>
      <c r="H609" s="1648">
        <v>17917.8</v>
      </c>
      <c r="I609" s="2331">
        <v>18173</v>
      </c>
      <c r="J609" s="2331">
        <v>18173</v>
      </c>
      <c r="K609" s="697" t="s">
        <v>833</v>
      </c>
      <c r="L609" s="281" t="s">
        <v>825</v>
      </c>
      <c r="M609" s="280">
        <v>62</v>
      </c>
      <c r="N609" s="280">
        <v>62</v>
      </c>
      <c r="O609" s="280">
        <v>62</v>
      </c>
      <c r="P609" s="280">
        <v>62</v>
      </c>
      <c r="Q609" s="280">
        <v>62</v>
      </c>
    </row>
    <row r="610" spans="1:27" ht="25.5" x14ac:dyDescent="0.2">
      <c r="A610" s="279"/>
      <c r="B610" s="2325"/>
      <c r="C610" s="2325"/>
      <c r="D610" s="2326"/>
      <c r="E610" s="2048"/>
      <c r="F610" s="1649"/>
      <c r="G610" s="1649"/>
      <c r="H610" s="1649"/>
      <c r="I610" s="2332"/>
      <c r="J610" s="2332"/>
      <c r="K610" s="697" t="s">
        <v>834</v>
      </c>
      <c r="L610" s="281" t="s">
        <v>825</v>
      </c>
      <c r="M610" s="281">
        <v>47</v>
      </c>
      <c r="N610" s="281">
        <v>47</v>
      </c>
      <c r="O610" s="281">
        <v>47</v>
      </c>
      <c r="P610" s="281">
        <v>47</v>
      </c>
      <c r="Q610" s="281">
        <v>47</v>
      </c>
    </row>
    <row r="611" spans="1:27" ht="12.75" x14ac:dyDescent="0.2">
      <c r="A611" s="279"/>
      <c r="B611" s="2327" t="s">
        <v>164</v>
      </c>
      <c r="C611" s="2328"/>
      <c r="D611" s="2328" t="s">
        <v>114</v>
      </c>
      <c r="E611" s="2329" t="s">
        <v>2607</v>
      </c>
      <c r="F611" s="2243">
        <v>52735.3</v>
      </c>
      <c r="G611" s="2243">
        <v>57294.2</v>
      </c>
      <c r="H611" s="2243">
        <v>57294.2</v>
      </c>
      <c r="I611" s="2243">
        <v>58973.7</v>
      </c>
      <c r="J611" s="2243">
        <v>59802.7</v>
      </c>
      <c r="K611" s="2352" t="s">
        <v>835</v>
      </c>
      <c r="L611" s="2349" t="s">
        <v>836</v>
      </c>
      <c r="M611" s="2349" t="s">
        <v>837</v>
      </c>
      <c r="N611" s="2349" t="s">
        <v>838</v>
      </c>
      <c r="O611" s="2349" t="s">
        <v>839</v>
      </c>
      <c r="P611" s="2349" t="s">
        <v>840</v>
      </c>
      <c r="Q611" s="2349" t="s">
        <v>841</v>
      </c>
    </row>
    <row r="612" spans="1:27" ht="12.75" x14ac:dyDescent="0.2">
      <c r="A612" s="279"/>
      <c r="B612" s="2327"/>
      <c r="C612" s="2328"/>
      <c r="D612" s="2328"/>
      <c r="E612" s="2330"/>
      <c r="F612" s="1870"/>
      <c r="G612" s="1870"/>
      <c r="H612" s="1870"/>
      <c r="I612" s="1870"/>
      <c r="J612" s="1870"/>
      <c r="K612" s="2353"/>
      <c r="L612" s="2350"/>
      <c r="M612" s="2350"/>
      <c r="N612" s="2350"/>
      <c r="O612" s="2350"/>
      <c r="P612" s="2350"/>
      <c r="Q612" s="2350"/>
    </row>
    <row r="613" spans="1:27" ht="12.75" x14ac:dyDescent="0.2">
      <c r="A613" s="279"/>
      <c r="B613" s="2170" t="s">
        <v>68</v>
      </c>
      <c r="C613" s="2170"/>
      <c r="D613" s="2170"/>
      <c r="E613" s="2170"/>
      <c r="F613" s="2525">
        <v>135449.5</v>
      </c>
      <c r="G613" s="2525">
        <v>162684.4</v>
      </c>
      <c r="H613" s="2525">
        <v>162684.4</v>
      </c>
      <c r="I613" s="2525">
        <v>165694.5</v>
      </c>
      <c r="J613" s="2525">
        <v>167223.5</v>
      </c>
      <c r="K613" s="116"/>
      <c r="L613" s="282"/>
      <c r="M613" s="282"/>
      <c r="N613" s="282"/>
      <c r="O613" s="282"/>
      <c r="P613" s="282"/>
      <c r="Q613" s="282"/>
    </row>
    <row r="614" spans="1:27" s="15" customFormat="1" ht="29.25" customHeight="1" thickBot="1" x14ac:dyDescent="0.25">
      <c r="A614" s="2334" t="s">
        <v>842</v>
      </c>
      <c r="B614" s="2335"/>
      <c r="C614" s="2335"/>
      <c r="D614" s="2335"/>
      <c r="E614" s="2335"/>
      <c r="F614" s="2335"/>
      <c r="G614" s="2335"/>
      <c r="H614" s="2335"/>
      <c r="I614" s="2335"/>
      <c r="J614" s="2335"/>
      <c r="K614" s="2335"/>
      <c r="L614" s="2335"/>
      <c r="M614" s="2335"/>
      <c r="N614" s="2335"/>
      <c r="O614" s="2335"/>
      <c r="P614" s="2335"/>
      <c r="Q614" s="2337"/>
    </row>
    <row r="615" spans="1:27" ht="38.25" x14ac:dyDescent="0.2">
      <c r="B615" s="283">
        <v>1</v>
      </c>
      <c r="C615" s="284"/>
      <c r="D615" s="285">
        <v>0</v>
      </c>
      <c r="E615" s="170" t="s">
        <v>2529</v>
      </c>
      <c r="F615" s="1558">
        <v>114791</v>
      </c>
      <c r="G615" s="1558">
        <v>97720.1</v>
      </c>
      <c r="H615" s="1558">
        <f>H616+H617</f>
        <v>133706.9</v>
      </c>
      <c r="I615" s="1558">
        <v>133706.9</v>
      </c>
      <c r="J615" s="1558">
        <v>133706.9</v>
      </c>
      <c r="K615" s="601" t="s">
        <v>843</v>
      </c>
      <c r="L615" s="168" t="s">
        <v>16</v>
      </c>
      <c r="M615" s="168"/>
      <c r="N615" s="168"/>
      <c r="O615" s="168"/>
      <c r="P615" s="168"/>
      <c r="Q615" s="168"/>
      <c r="R615" s="286"/>
      <c r="S615" s="286"/>
      <c r="T615" s="286"/>
      <c r="U615" s="286"/>
      <c r="V615" s="286"/>
      <c r="W615" s="286"/>
      <c r="X615" s="286"/>
      <c r="Y615" s="286"/>
      <c r="Z615" s="286"/>
      <c r="AA615" s="286"/>
    </row>
    <row r="616" spans="1:27" ht="38.25" x14ac:dyDescent="0.2">
      <c r="B616" s="287"/>
      <c r="C616" s="288">
        <v>1</v>
      </c>
      <c r="D616" s="284">
        <v>0</v>
      </c>
      <c r="E616" s="886" t="s">
        <v>844</v>
      </c>
      <c r="F616" s="1559">
        <v>56500</v>
      </c>
      <c r="G616" s="1559">
        <v>50307.100000000006</v>
      </c>
      <c r="H616" s="1559">
        <f>74543.1+943.7+6097.5+30000</f>
        <v>111584.3</v>
      </c>
      <c r="I616" s="1559">
        <v>111584.3</v>
      </c>
      <c r="J616" s="1559">
        <v>111584.3</v>
      </c>
      <c r="K616" s="601" t="s">
        <v>845</v>
      </c>
      <c r="L616" s="168" t="s">
        <v>16</v>
      </c>
      <c r="M616" s="175">
        <v>100</v>
      </c>
      <c r="N616" s="175">
        <v>100</v>
      </c>
      <c r="O616" s="175">
        <v>100</v>
      </c>
      <c r="P616" s="175">
        <v>100</v>
      </c>
      <c r="Q616" s="175">
        <v>100</v>
      </c>
      <c r="R616" s="286"/>
      <c r="S616" s="286"/>
      <c r="T616" s="286"/>
      <c r="U616" s="286"/>
      <c r="V616" s="286"/>
      <c r="W616" s="286"/>
      <c r="X616" s="286"/>
      <c r="Y616" s="286"/>
      <c r="Z616" s="286"/>
      <c r="AA616" s="286"/>
    </row>
    <row r="617" spans="1:27" ht="25.5" x14ac:dyDescent="0.2">
      <c r="B617" s="287"/>
      <c r="C617" s="291">
        <v>6</v>
      </c>
      <c r="D617" s="284">
        <v>0</v>
      </c>
      <c r="E617" s="189" t="s">
        <v>846</v>
      </c>
      <c r="F617" s="1559">
        <v>58291</v>
      </c>
      <c r="G617" s="1559">
        <v>47413</v>
      </c>
      <c r="H617" s="1559">
        <f>5770+6470+900+3920+900+1119+1500+2036.5-74.5-418.4</f>
        <v>22122.6</v>
      </c>
      <c r="I617" s="1559">
        <v>22122.6</v>
      </c>
      <c r="J617" s="1559">
        <v>22122.6</v>
      </c>
      <c r="K617" s="601" t="s">
        <v>847</v>
      </c>
      <c r="L617" s="290" t="s">
        <v>16</v>
      </c>
      <c r="M617" s="175">
        <v>80</v>
      </c>
      <c r="N617" s="175">
        <v>90</v>
      </c>
      <c r="O617" s="175">
        <v>100</v>
      </c>
      <c r="P617" s="175">
        <v>100</v>
      </c>
      <c r="Q617" s="175">
        <v>100</v>
      </c>
      <c r="R617" s="286"/>
      <c r="S617" s="286"/>
      <c r="T617" s="286"/>
      <c r="U617" s="286"/>
      <c r="V617" s="286"/>
      <c r="W617" s="286"/>
      <c r="X617" s="286"/>
      <c r="Y617" s="286"/>
      <c r="Z617" s="286"/>
      <c r="AA617" s="286"/>
    </row>
    <row r="618" spans="1:27" ht="84" customHeight="1" x14ac:dyDescent="0.2">
      <c r="B618" s="287">
        <v>2</v>
      </c>
      <c r="C618" s="291"/>
      <c r="D618" s="284">
        <v>0</v>
      </c>
      <c r="E618" s="292" t="s">
        <v>2610</v>
      </c>
      <c r="F618" s="1566">
        <v>1028789.2000000001</v>
      </c>
      <c r="G618" s="1566">
        <v>1015976.6</v>
      </c>
      <c r="H618" s="1566">
        <f>H619+H620+H621</f>
        <v>935478.6</v>
      </c>
      <c r="I618" s="1566">
        <v>934065.89999999991</v>
      </c>
      <c r="J618" s="1566">
        <v>950272</v>
      </c>
      <c r="K618" s="290" t="s">
        <v>848</v>
      </c>
      <c r="L618" s="290" t="s">
        <v>16</v>
      </c>
      <c r="M618" s="175">
        <v>80</v>
      </c>
      <c r="N618" s="175">
        <v>90</v>
      </c>
      <c r="O618" s="175">
        <v>80</v>
      </c>
      <c r="P618" s="175">
        <v>80</v>
      </c>
      <c r="Q618" s="175">
        <v>80</v>
      </c>
      <c r="R618" s="286"/>
      <c r="S618" s="286"/>
      <c r="T618" s="286"/>
      <c r="U618" s="286"/>
      <c r="V618" s="286"/>
      <c r="W618" s="286"/>
      <c r="X618" s="286"/>
      <c r="Y618" s="286"/>
      <c r="Z618" s="286"/>
      <c r="AA618" s="286"/>
    </row>
    <row r="619" spans="1:27" ht="25.5" x14ac:dyDescent="0.2">
      <c r="B619" s="287"/>
      <c r="C619" s="291">
        <v>1</v>
      </c>
      <c r="D619" s="284">
        <v>0</v>
      </c>
      <c r="E619" s="189" t="s">
        <v>849</v>
      </c>
      <c r="F619" s="1559">
        <v>680074.4</v>
      </c>
      <c r="G619" s="1559">
        <v>615535.5</v>
      </c>
      <c r="H619" s="1559">
        <f>8102+13895+7600+379156.9+5391.8+500+1460+1230+2530+40412.8+100+2080+126772.4-4102+39630+106041+28069.9-15000+1681.2-651.1</f>
        <v>744899.9</v>
      </c>
      <c r="I619" s="1559">
        <v>733307.2</v>
      </c>
      <c r="J619" s="1559">
        <v>749513.29999999993</v>
      </c>
      <c r="K619" s="601" t="s">
        <v>850</v>
      </c>
      <c r="L619" s="290" t="s">
        <v>16</v>
      </c>
      <c r="M619" s="175">
        <v>60</v>
      </c>
      <c r="N619" s="175">
        <v>50</v>
      </c>
      <c r="O619" s="175">
        <v>40</v>
      </c>
      <c r="P619" s="175">
        <v>40</v>
      </c>
      <c r="Q619" s="175">
        <v>40</v>
      </c>
      <c r="R619" s="286"/>
      <c r="S619" s="286"/>
      <c r="T619" s="286"/>
      <c r="U619" s="286"/>
      <c r="V619" s="286"/>
      <c r="W619" s="286"/>
      <c r="X619" s="286"/>
      <c r="Y619" s="286"/>
      <c r="Z619" s="286"/>
      <c r="AA619" s="286"/>
    </row>
    <row r="620" spans="1:27" ht="25.5" x14ac:dyDescent="0.2">
      <c r="B620" s="287"/>
      <c r="C620" s="291">
        <v>2</v>
      </c>
      <c r="D620" s="284">
        <v>0</v>
      </c>
      <c r="E620" s="59" t="s">
        <v>851</v>
      </c>
      <c r="F620" s="1559">
        <v>135963.9</v>
      </c>
      <c r="G620" s="1559">
        <v>135299.6</v>
      </c>
      <c r="H620" s="1559">
        <v>0</v>
      </c>
      <c r="I620" s="1559">
        <v>0</v>
      </c>
      <c r="J620" s="1559">
        <v>0</v>
      </c>
      <c r="K620" s="601" t="s">
        <v>852</v>
      </c>
      <c r="L620" s="290" t="s">
        <v>16</v>
      </c>
      <c r="M620" s="175">
        <v>60</v>
      </c>
      <c r="N620" s="175">
        <v>70</v>
      </c>
      <c r="O620" s="175">
        <v>80</v>
      </c>
      <c r="P620" s="175">
        <v>80</v>
      </c>
      <c r="Q620" s="175">
        <v>80</v>
      </c>
      <c r="R620" s="286"/>
      <c r="S620" s="286"/>
      <c r="T620" s="286"/>
      <c r="U620" s="286"/>
      <c r="V620" s="286"/>
      <c r="W620" s="286"/>
      <c r="X620" s="286"/>
      <c r="Y620" s="286"/>
      <c r="Z620" s="286"/>
      <c r="AA620" s="286"/>
    </row>
    <row r="621" spans="1:27" ht="25.5" x14ac:dyDescent="0.2">
      <c r="B621" s="287"/>
      <c r="C621" s="294">
        <v>3</v>
      </c>
      <c r="D621" s="284">
        <v>0</v>
      </c>
      <c r="E621" s="59" t="s">
        <v>853</v>
      </c>
      <c r="F621" s="1559">
        <v>212750.9</v>
      </c>
      <c r="G621" s="1559">
        <v>265141.5</v>
      </c>
      <c r="H621" s="1559">
        <f>3000+10000+5000+600+17000+159404.3-4425.6</f>
        <v>190578.69999999998</v>
      </c>
      <c r="I621" s="1559">
        <v>200758.7</v>
      </c>
      <c r="J621" s="1559">
        <v>200758.7</v>
      </c>
      <c r="K621" s="601" t="s">
        <v>854</v>
      </c>
      <c r="L621" s="290" t="s">
        <v>16</v>
      </c>
      <c r="M621" s="175">
        <v>70</v>
      </c>
      <c r="N621" s="175">
        <v>80</v>
      </c>
      <c r="O621" s="175">
        <v>90</v>
      </c>
      <c r="P621" s="175">
        <v>90</v>
      </c>
      <c r="Q621" s="175">
        <v>90</v>
      </c>
      <c r="R621" s="286"/>
      <c r="S621" s="286"/>
      <c r="T621" s="286"/>
      <c r="U621" s="286"/>
      <c r="V621" s="286"/>
      <c r="W621" s="286"/>
      <c r="X621" s="286"/>
      <c r="Y621" s="286"/>
      <c r="Z621" s="286"/>
      <c r="AA621" s="286"/>
    </row>
    <row r="622" spans="1:27" ht="12.75" x14ac:dyDescent="0.2">
      <c r="B622" s="287"/>
      <c r="C622" s="288">
        <v>7</v>
      </c>
      <c r="D622" s="295">
        <v>0</v>
      </c>
      <c r="E622" s="179" t="s">
        <v>855</v>
      </c>
      <c r="F622" s="1559">
        <v>28000</v>
      </c>
      <c r="G622" s="1559">
        <v>0</v>
      </c>
      <c r="H622" s="1559">
        <v>0</v>
      </c>
      <c r="I622" s="1560">
        <v>0</v>
      </c>
      <c r="J622" s="1560">
        <v>0</v>
      </c>
      <c r="K622" s="296" t="s">
        <v>856</v>
      </c>
      <c r="L622" s="290" t="s">
        <v>16</v>
      </c>
      <c r="M622" s="175">
        <v>80</v>
      </c>
      <c r="N622" s="175">
        <v>90</v>
      </c>
      <c r="O622" s="175">
        <v>100</v>
      </c>
      <c r="P622" s="175">
        <v>100</v>
      </c>
      <c r="Q622" s="175">
        <v>100</v>
      </c>
      <c r="R622" s="286"/>
      <c r="S622" s="286"/>
      <c r="T622" s="286"/>
      <c r="U622" s="286"/>
      <c r="V622" s="286"/>
      <c r="W622" s="286"/>
      <c r="X622" s="286"/>
      <c r="Y622" s="286"/>
      <c r="Z622" s="286"/>
      <c r="AA622" s="286"/>
    </row>
    <row r="623" spans="1:27" ht="12.75" x14ac:dyDescent="0.2">
      <c r="B623" s="287">
        <v>3</v>
      </c>
      <c r="C623" s="288"/>
      <c r="D623" s="297"/>
      <c r="E623" s="292" t="s">
        <v>2611</v>
      </c>
      <c r="F623" s="1566">
        <v>0</v>
      </c>
      <c r="G623" s="1566">
        <v>0</v>
      </c>
      <c r="H623" s="1566">
        <f>SUM(H624:H630)</f>
        <v>170041.10000000003</v>
      </c>
      <c r="I623" s="1566">
        <v>182922.00000000003</v>
      </c>
      <c r="J623" s="1566">
        <v>178734.20000000004</v>
      </c>
      <c r="K623" s="296"/>
      <c r="L623" s="290"/>
      <c r="M623" s="175"/>
      <c r="N623" s="175"/>
      <c r="O623" s="175"/>
      <c r="P623" s="175"/>
      <c r="Q623" s="175"/>
      <c r="R623" s="286"/>
      <c r="S623" s="286"/>
      <c r="T623" s="286"/>
      <c r="U623" s="286"/>
      <c r="V623" s="286"/>
      <c r="W623" s="286"/>
      <c r="X623" s="286"/>
      <c r="Y623" s="286"/>
      <c r="Z623" s="286"/>
      <c r="AA623" s="286"/>
    </row>
    <row r="624" spans="1:27" ht="38.25" x14ac:dyDescent="0.2">
      <c r="B624" s="287"/>
      <c r="C624" s="288">
        <v>1</v>
      </c>
      <c r="D624" s="297"/>
      <c r="E624" s="179" t="s">
        <v>857</v>
      </c>
      <c r="F624" s="1559">
        <v>0</v>
      </c>
      <c r="G624" s="1559">
        <v>0</v>
      </c>
      <c r="H624" s="1559">
        <v>17280.5</v>
      </c>
      <c r="I624" s="1559">
        <v>17280.5</v>
      </c>
      <c r="J624" s="1559">
        <v>17480.5</v>
      </c>
      <c r="K624" s="290" t="s">
        <v>858</v>
      </c>
      <c r="L624" s="290" t="s">
        <v>16</v>
      </c>
      <c r="M624" s="175"/>
      <c r="N624" s="175"/>
      <c r="O624" s="175">
        <v>80</v>
      </c>
      <c r="P624" s="175">
        <v>90</v>
      </c>
      <c r="Q624" s="175">
        <v>100</v>
      </c>
      <c r="R624" s="286"/>
      <c r="S624" s="286"/>
      <c r="T624" s="286"/>
      <c r="U624" s="286"/>
      <c r="V624" s="286"/>
      <c r="W624" s="286"/>
      <c r="X624" s="286"/>
      <c r="Y624" s="286"/>
      <c r="Z624" s="286"/>
      <c r="AA624" s="286"/>
    </row>
    <row r="625" spans="1:27" ht="25.5" x14ac:dyDescent="0.2">
      <c r="B625" s="287"/>
      <c r="C625" s="288">
        <v>2</v>
      </c>
      <c r="D625" s="297"/>
      <c r="E625" s="179" t="s">
        <v>859</v>
      </c>
      <c r="F625" s="1559">
        <v>0</v>
      </c>
      <c r="G625" s="1559">
        <v>0</v>
      </c>
      <c r="H625" s="1559">
        <v>19274.8</v>
      </c>
      <c r="I625" s="1559">
        <v>19274.8</v>
      </c>
      <c r="J625" s="1559">
        <v>3958.2</v>
      </c>
      <c r="K625" s="290" t="s">
        <v>858</v>
      </c>
      <c r="L625" s="290" t="s">
        <v>16</v>
      </c>
      <c r="M625" s="175"/>
      <c r="N625" s="175"/>
      <c r="O625" s="175">
        <v>80</v>
      </c>
      <c r="P625" s="175">
        <v>90</v>
      </c>
      <c r="Q625" s="175">
        <v>100</v>
      </c>
      <c r="R625" s="286"/>
      <c r="S625" s="286"/>
      <c r="T625" s="286"/>
      <c r="U625" s="286"/>
      <c r="V625" s="286"/>
      <c r="W625" s="286"/>
      <c r="X625" s="286"/>
      <c r="Y625" s="286"/>
      <c r="Z625" s="286"/>
      <c r="AA625" s="286"/>
    </row>
    <row r="626" spans="1:27" ht="76.5" x14ac:dyDescent="0.2">
      <c r="B626" s="287"/>
      <c r="C626" s="288">
        <v>3</v>
      </c>
      <c r="D626" s="297"/>
      <c r="E626" s="179" t="s">
        <v>860</v>
      </c>
      <c r="F626" s="1559">
        <v>0</v>
      </c>
      <c r="G626" s="1559">
        <v>0</v>
      </c>
      <c r="H626" s="1559">
        <v>109398.1</v>
      </c>
      <c r="I626" s="1559">
        <v>122279.00000000001</v>
      </c>
      <c r="J626" s="1559">
        <v>133207.80000000002</v>
      </c>
      <c r="K626" s="290" t="s">
        <v>858</v>
      </c>
      <c r="L626" s="290" t="s">
        <v>16</v>
      </c>
      <c r="M626" s="175"/>
      <c r="N626" s="175"/>
      <c r="O626" s="175">
        <v>80</v>
      </c>
      <c r="P626" s="175">
        <v>90</v>
      </c>
      <c r="Q626" s="175">
        <v>100</v>
      </c>
      <c r="R626" s="286"/>
      <c r="S626" s="286"/>
      <c r="T626" s="286"/>
      <c r="U626" s="286"/>
      <c r="V626" s="286"/>
      <c r="W626" s="286"/>
      <c r="X626" s="286"/>
      <c r="Y626" s="286"/>
      <c r="Z626" s="286"/>
      <c r="AA626" s="286"/>
    </row>
    <row r="627" spans="1:27" ht="38.25" x14ac:dyDescent="0.2">
      <c r="B627" s="287"/>
      <c r="C627" s="288">
        <v>4</v>
      </c>
      <c r="D627" s="297"/>
      <c r="E627" s="179" t="s">
        <v>861</v>
      </c>
      <c r="F627" s="1559">
        <v>0</v>
      </c>
      <c r="G627" s="1559">
        <v>0</v>
      </c>
      <c r="H627" s="1559">
        <v>74.5</v>
      </c>
      <c r="I627" s="1560">
        <v>74.5</v>
      </c>
      <c r="J627" s="1560">
        <v>74.5</v>
      </c>
      <c r="K627" s="296" t="s">
        <v>862</v>
      </c>
      <c r="L627" s="290" t="s">
        <v>16</v>
      </c>
      <c r="M627" s="175"/>
      <c r="N627" s="175"/>
      <c r="O627" s="175">
        <v>100</v>
      </c>
      <c r="P627" s="175">
        <v>100</v>
      </c>
      <c r="Q627" s="175">
        <v>100</v>
      </c>
      <c r="R627" s="286"/>
      <c r="S627" s="286"/>
      <c r="T627" s="286"/>
      <c r="U627" s="286"/>
      <c r="V627" s="286"/>
      <c r="W627" s="286"/>
      <c r="X627" s="286"/>
      <c r="Y627" s="286"/>
      <c r="Z627" s="286"/>
      <c r="AA627" s="286"/>
    </row>
    <row r="628" spans="1:27" ht="38.25" x14ac:dyDescent="0.2">
      <c r="B628" s="287"/>
      <c r="C628" s="288">
        <v>5</v>
      </c>
      <c r="D628" s="298"/>
      <c r="E628" s="179" t="s">
        <v>863</v>
      </c>
      <c r="F628" s="1559">
        <v>0</v>
      </c>
      <c r="G628" s="1559">
        <v>0</v>
      </c>
      <c r="H628" s="1559">
        <v>8667.2000000000007</v>
      </c>
      <c r="I628" s="1560">
        <v>8667.2000000000007</v>
      </c>
      <c r="J628" s="1560">
        <v>8667.2000000000007</v>
      </c>
      <c r="K628" s="296" t="s">
        <v>864</v>
      </c>
      <c r="L628" s="290" t="s">
        <v>16</v>
      </c>
      <c r="M628" s="175"/>
      <c r="N628" s="175"/>
      <c r="O628" s="175">
        <v>80</v>
      </c>
      <c r="P628" s="175">
        <v>80</v>
      </c>
      <c r="Q628" s="175">
        <v>90</v>
      </c>
      <c r="R628" s="286"/>
      <c r="S628" s="286"/>
      <c r="T628" s="286"/>
      <c r="U628" s="286"/>
      <c r="V628" s="286"/>
      <c r="W628" s="286"/>
      <c r="X628" s="286"/>
      <c r="Y628" s="286"/>
      <c r="Z628" s="286"/>
      <c r="AA628" s="286"/>
    </row>
    <row r="629" spans="1:27" ht="25.5" x14ac:dyDescent="0.2">
      <c r="B629" s="287"/>
      <c r="C629" s="288">
        <v>5</v>
      </c>
      <c r="D629" s="298"/>
      <c r="E629" s="179" t="s">
        <v>865</v>
      </c>
      <c r="F629" s="1559">
        <v>0</v>
      </c>
      <c r="G629" s="1559">
        <v>0</v>
      </c>
      <c r="H629" s="1559">
        <v>6400</v>
      </c>
      <c r="I629" s="1559">
        <v>6400</v>
      </c>
      <c r="J629" s="1559">
        <v>6400</v>
      </c>
      <c r="K629" s="290" t="s">
        <v>858</v>
      </c>
      <c r="L629" s="290" t="s">
        <v>16</v>
      </c>
      <c r="M629" s="175"/>
      <c r="N629" s="175"/>
      <c r="O629" s="175">
        <v>80</v>
      </c>
      <c r="P629" s="175">
        <v>90</v>
      </c>
      <c r="Q629" s="175">
        <v>100</v>
      </c>
      <c r="R629" s="286"/>
      <c r="S629" s="286"/>
      <c r="T629" s="286"/>
      <c r="U629" s="286"/>
      <c r="V629" s="286"/>
      <c r="W629" s="286"/>
      <c r="X629" s="286"/>
      <c r="Y629" s="286"/>
      <c r="Z629" s="286"/>
      <c r="AA629" s="286"/>
    </row>
    <row r="630" spans="1:27" ht="51" x14ac:dyDescent="0.2">
      <c r="B630" s="287"/>
      <c r="C630" s="288">
        <v>6</v>
      </c>
      <c r="D630" s="298"/>
      <c r="E630" s="179" t="s">
        <v>866</v>
      </c>
      <c r="F630" s="1559">
        <v>0</v>
      </c>
      <c r="G630" s="1559">
        <v>0</v>
      </c>
      <c r="H630" s="1559">
        <v>8946</v>
      </c>
      <c r="I630" s="1560">
        <v>8946</v>
      </c>
      <c r="J630" s="1560">
        <v>8946</v>
      </c>
      <c r="K630" s="296" t="s">
        <v>867</v>
      </c>
      <c r="L630" s="290" t="s">
        <v>16</v>
      </c>
      <c r="M630" s="175"/>
      <c r="N630" s="175"/>
      <c r="O630" s="175">
        <v>100</v>
      </c>
      <c r="P630" s="175">
        <v>100</v>
      </c>
      <c r="Q630" s="175">
        <v>100</v>
      </c>
      <c r="R630" s="286"/>
      <c r="S630" s="286"/>
      <c r="T630" s="286"/>
      <c r="U630" s="286"/>
      <c r="V630" s="286"/>
      <c r="W630" s="286"/>
      <c r="X630" s="286"/>
      <c r="Y630" s="286"/>
      <c r="Z630" s="286"/>
      <c r="AA630" s="286"/>
    </row>
    <row r="631" spans="1:27" ht="38.25" x14ac:dyDescent="0.2">
      <c r="B631" s="299" t="s">
        <v>164</v>
      </c>
      <c r="C631" s="300"/>
      <c r="D631" s="300"/>
      <c r="E631" s="301" t="s">
        <v>2612</v>
      </c>
      <c r="F631" s="1566">
        <v>85203.299999999988</v>
      </c>
      <c r="G631" s="1566">
        <v>85622.900000000009</v>
      </c>
      <c r="H631" s="1566">
        <f>SUM(H632:H634)</f>
        <v>92471.3</v>
      </c>
      <c r="I631" s="1566">
        <v>94323.5</v>
      </c>
      <c r="J631" s="1566">
        <v>95116.9</v>
      </c>
      <c r="K631" s="301" t="s">
        <v>2530</v>
      </c>
      <c r="L631" s="290" t="s">
        <v>16</v>
      </c>
      <c r="M631" s="556"/>
      <c r="N631" s="556"/>
      <c r="O631" s="556"/>
      <c r="P631" s="556"/>
      <c r="Q631" s="556"/>
      <c r="R631" s="286"/>
      <c r="S631" s="286"/>
      <c r="T631" s="286"/>
      <c r="U631" s="286"/>
      <c r="V631" s="286"/>
      <c r="W631" s="286"/>
      <c r="X631" s="286"/>
      <c r="Y631" s="286"/>
      <c r="Z631" s="286"/>
      <c r="AA631" s="286"/>
    </row>
    <row r="632" spans="1:27" ht="25.5" x14ac:dyDescent="0.2">
      <c r="B632" s="299"/>
      <c r="C632" s="300" t="s">
        <v>114</v>
      </c>
      <c r="D632" s="300"/>
      <c r="E632" s="601" t="s">
        <v>868</v>
      </c>
      <c r="F632" s="1559">
        <v>62367</v>
      </c>
      <c r="G632" s="1559">
        <v>60886</v>
      </c>
      <c r="H632" s="1559">
        <f>57967.5+1118.5+80+100+420+400+1200+700+3960.2+1175.3+400+3266.8+412.4+6436</f>
        <v>77636.7</v>
      </c>
      <c r="I632" s="1560">
        <v>79060.600000000006</v>
      </c>
      <c r="J632" s="1560">
        <v>79003</v>
      </c>
      <c r="K632" s="601" t="s">
        <v>869</v>
      </c>
      <c r="L632" s="290" t="s">
        <v>16</v>
      </c>
      <c r="M632" s="1300">
        <v>80</v>
      </c>
      <c r="N632" s="1300">
        <v>90</v>
      </c>
      <c r="O632" s="1300">
        <v>100</v>
      </c>
      <c r="P632" s="1300">
        <v>100</v>
      </c>
      <c r="Q632" s="1300">
        <v>100</v>
      </c>
      <c r="R632" s="286"/>
      <c r="S632" s="286"/>
      <c r="T632" s="286"/>
      <c r="U632" s="286"/>
      <c r="V632" s="286"/>
      <c r="W632" s="286"/>
      <c r="X632" s="286"/>
      <c r="Y632" s="286"/>
      <c r="Z632" s="286"/>
      <c r="AA632" s="286"/>
    </row>
    <row r="633" spans="1:27" ht="25.5" x14ac:dyDescent="0.2">
      <c r="B633" s="299"/>
      <c r="C633" s="300" t="s">
        <v>116</v>
      </c>
      <c r="D633" s="300"/>
      <c r="E633" s="624" t="s">
        <v>870</v>
      </c>
      <c r="F633" s="1559">
        <v>19006.400000000001</v>
      </c>
      <c r="G633" s="1559">
        <v>20670.099999999999</v>
      </c>
      <c r="H633" s="1559">
        <f>14834.6</f>
        <v>14834.6</v>
      </c>
      <c r="I633" s="1560">
        <v>15262.9</v>
      </c>
      <c r="J633" s="1560">
        <v>16113.9</v>
      </c>
      <c r="K633" s="601" t="s">
        <v>871</v>
      </c>
      <c r="L633" s="290" t="s">
        <v>16</v>
      </c>
      <c r="M633" s="175">
        <v>70</v>
      </c>
      <c r="N633" s="175">
        <v>80</v>
      </c>
      <c r="O633" s="175">
        <v>90</v>
      </c>
      <c r="P633" s="175">
        <v>90</v>
      </c>
      <c r="Q633" s="175">
        <v>90</v>
      </c>
      <c r="R633" s="286"/>
      <c r="S633" s="286"/>
      <c r="T633" s="286"/>
      <c r="U633" s="286"/>
      <c r="V633" s="286"/>
      <c r="W633" s="286"/>
      <c r="X633" s="286"/>
      <c r="Y633" s="286"/>
      <c r="Z633" s="286"/>
      <c r="AA633" s="286"/>
    </row>
    <row r="634" spans="1:27" ht="25.5" x14ac:dyDescent="0.2">
      <c r="B634" s="299"/>
      <c r="C634" s="300" t="s">
        <v>119</v>
      </c>
      <c r="D634" s="300"/>
      <c r="E634" s="601" t="s">
        <v>872</v>
      </c>
      <c r="F634" s="1559">
        <v>3829.9</v>
      </c>
      <c r="G634" s="1559">
        <v>4066.7999999999997</v>
      </c>
      <c r="H634" s="1559">
        <v>0</v>
      </c>
      <c r="I634" s="1560"/>
      <c r="J634" s="1560"/>
      <c r="K634" s="601" t="s">
        <v>873</v>
      </c>
      <c r="L634" s="290" t="s">
        <v>16</v>
      </c>
      <c r="M634" s="1300">
        <v>50</v>
      </c>
      <c r="N634" s="1300">
        <v>60</v>
      </c>
      <c r="O634" s="1300">
        <v>0</v>
      </c>
      <c r="P634" s="1300">
        <v>0</v>
      </c>
      <c r="Q634" s="1300">
        <v>0</v>
      </c>
      <c r="R634" s="286"/>
      <c r="S634" s="286"/>
      <c r="T634" s="286"/>
      <c r="U634" s="286"/>
      <c r="V634" s="286"/>
      <c r="W634" s="286"/>
      <c r="X634" s="286"/>
      <c r="Y634" s="286"/>
      <c r="Z634" s="286"/>
      <c r="AA634" s="286"/>
    </row>
    <row r="635" spans="1:27" ht="38.25" x14ac:dyDescent="0.2">
      <c r="B635" s="299" t="s">
        <v>253</v>
      </c>
      <c r="C635" s="300"/>
      <c r="D635" s="300"/>
      <c r="E635" s="301" t="s">
        <v>2613</v>
      </c>
      <c r="F635" s="1566">
        <v>6344.8</v>
      </c>
      <c r="G635" s="1566">
        <v>6170.6</v>
      </c>
      <c r="H635" s="1566">
        <f>SUM(H636:H638)</f>
        <v>7545</v>
      </c>
      <c r="I635" s="1566">
        <v>7736.5</v>
      </c>
      <c r="J635" s="1566">
        <v>7860.4000000000005</v>
      </c>
      <c r="K635" s="290" t="s">
        <v>874</v>
      </c>
      <c r="L635" s="290" t="s">
        <v>16</v>
      </c>
      <c r="M635" s="556"/>
      <c r="N635" s="556"/>
      <c r="O635" s="556"/>
      <c r="P635" s="556"/>
      <c r="Q635" s="556"/>
      <c r="R635" s="286"/>
      <c r="S635" s="286"/>
      <c r="T635" s="286"/>
      <c r="U635" s="286"/>
      <c r="V635" s="286"/>
      <c r="W635" s="286"/>
      <c r="X635" s="286"/>
      <c r="Y635" s="286"/>
      <c r="Z635" s="286"/>
      <c r="AA635" s="286"/>
    </row>
    <row r="636" spans="1:27" ht="25.5" x14ac:dyDescent="0.2">
      <c r="B636" s="299"/>
      <c r="C636" s="300" t="s">
        <v>114</v>
      </c>
      <c r="D636" s="300"/>
      <c r="E636" s="624" t="s">
        <v>875</v>
      </c>
      <c r="F636" s="1559">
        <v>3292.1</v>
      </c>
      <c r="G636" s="1559">
        <v>5550</v>
      </c>
      <c r="H636" s="1559">
        <f>4744.5+805.5+620.6+1374.4</f>
        <v>7545</v>
      </c>
      <c r="I636" s="1560">
        <v>7736.5</v>
      </c>
      <c r="J636" s="1560">
        <v>7860.4000000000005</v>
      </c>
      <c r="K636" s="601" t="s">
        <v>876</v>
      </c>
      <c r="L636" s="290" t="s">
        <v>16</v>
      </c>
      <c r="M636" s="1300">
        <v>80</v>
      </c>
      <c r="N636" s="1300">
        <v>90</v>
      </c>
      <c r="O636" s="1300">
        <v>100</v>
      </c>
      <c r="P636" s="1300">
        <v>100</v>
      </c>
      <c r="Q636" s="1300">
        <v>100</v>
      </c>
      <c r="R636" s="286"/>
      <c r="S636" s="286"/>
      <c r="T636" s="286"/>
      <c r="U636" s="286"/>
      <c r="V636" s="286"/>
      <c r="W636" s="286"/>
      <c r="X636" s="286"/>
      <c r="Y636" s="286"/>
      <c r="Z636" s="286"/>
      <c r="AA636" s="286"/>
    </row>
    <row r="637" spans="1:27" ht="25.5" x14ac:dyDescent="0.2">
      <c r="B637" s="299"/>
      <c r="C637" s="300" t="s">
        <v>116</v>
      </c>
      <c r="D637" s="300"/>
      <c r="E637" s="624" t="s">
        <v>877</v>
      </c>
      <c r="F637" s="1559">
        <v>1133.5</v>
      </c>
      <c r="G637" s="1559">
        <v>620.6</v>
      </c>
      <c r="H637" s="1559">
        <v>0</v>
      </c>
      <c r="I637" s="1559"/>
      <c r="J637" s="1559"/>
      <c r="K637" s="601" t="s">
        <v>878</v>
      </c>
      <c r="L637" s="290" t="s">
        <v>16</v>
      </c>
      <c r="M637" s="1300">
        <v>70</v>
      </c>
      <c r="N637" s="1300">
        <v>80</v>
      </c>
      <c r="O637" s="1300">
        <v>0</v>
      </c>
      <c r="P637" s="1300">
        <v>0</v>
      </c>
      <c r="Q637" s="1300">
        <v>0</v>
      </c>
      <c r="R637" s="286"/>
      <c r="S637" s="286"/>
      <c r="T637" s="286"/>
      <c r="U637" s="286"/>
      <c r="V637" s="286"/>
      <c r="W637" s="286"/>
      <c r="X637" s="286"/>
      <c r="Y637" s="286"/>
      <c r="Z637" s="286"/>
      <c r="AA637" s="286"/>
    </row>
    <row r="638" spans="1:27" ht="25.5" x14ac:dyDescent="0.2">
      <c r="B638" s="299"/>
      <c r="C638" s="300" t="s">
        <v>119</v>
      </c>
      <c r="D638" s="300"/>
      <c r="E638" s="624" t="s">
        <v>879</v>
      </c>
      <c r="F638" s="1559">
        <v>1919.2</v>
      </c>
      <c r="G638" s="1559">
        <v>0</v>
      </c>
      <c r="H638" s="1559">
        <v>0</v>
      </c>
      <c r="I638" s="1559"/>
      <c r="J638" s="1559"/>
      <c r="K638" s="601" t="s">
        <v>880</v>
      </c>
      <c r="L638" s="290" t="s">
        <v>16</v>
      </c>
      <c r="M638" s="1300">
        <v>60</v>
      </c>
      <c r="N638" s="1300">
        <v>70</v>
      </c>
      <c r="O638" s="1300">
        <v>0</v>
      </c>
      <c r="P638" s="1300">
        <v>0</v>
      </c>
      <c r="Q638" s="1300">
        <v>0</v>
      </c>
      <c r="R638" s="286"/>
      <c r="S638" s="286"/>
      <c r="T638" s="286"/>
      <c r="U638" s="286"/>
      <c r="V638" s="286"/>
      <c r="W638" s="286"/>
      <c r="X638" s="286"/>
      <c r="Y638" s="286"/>
      <c r="Z638" s="286"/>
      <c r="AA638" s="286"/>
    </row>
    <row r="639" spans="1:27" ht="12.75" x14ac:dyDescent="0.2">
      <c r="A639" s="2169" t="s">
        <v>68</v>
      </c>
      <c r="B639" s="2170"/>
      <c r="C639" s="2170"/>
      <c r="D639" s="2170"/>
      <c r="E639" s="2238"/>
      <c r="F639" s="1651">
        <f>F615+F618+F631+F635</f>
        <v>1235128.3000000003</v>
      </c>
      <c r="G639" s="1651">
        <f>G615+G618+G631+G635</f>
        <v>1205490.2</v>
      </c>
      <c r="H639" s="1651">
        <f>H615+H618+H631+H635+H623</f>
        <v>1339242.9000000001</v>
      </c>
      <c r="I639" s="1651">
        <f>I615+I618+I631+I635+I623</f>
        <v>1352754.7999999998</v>
      </c>
      <c r="J639" s="1651">
        <f t="shared" ref="J639" si="20">J615+J618+J631+J635+J623</f>
        <v>1365690.3999999997</v>
      </c>
      <c r="K639" s="655"/>
      <c r="L639" s="2351"/>
      <c r="M639" s="2351"/>
      <c r="N639" s="2351"/>
      <c r="O639" s="2351"/>
      <c r="P639" s="2351"/>
      <c r="Q639" s="2351"/>
    </row>
    <row r="640" spans="1:27" s="15" customFormat="1" ht="27" customHeight="1" x14ac:dyDescent="0.2">
      <c r="A640" s="2334" t="s">
        <v>881</v>
      </c>
      <c r="B640" s="2335"/>
      <c r="C640" s="2335"/>
      <c r="D640" s="2335"/>
      <c r="E640" s="2335"/>
      <c r="F640" s="2336"/>
      <c r="G640" s="2336"/>
      <c r="H640" s="2336"/>
      <c r="I640" s="2336"/>
      <c r="J640" s="2336"/>
      <c r="K640" s="2335"/>
      <c r="L640" s="2335"/>
      <c r="M640" s="2335"/>
      <c r="N640" s="2335"/>
      <c r="O640" s="2335"/>
      <c r="P640" s="2335"/>
      <c r="Q640" s="2337"/>
    </row>
    <row r="641" spans="1:17" s="20" customFormat="1" ht="64.5" x14ac:dyDescent="0.2">
      <c r="A641" s="125"/>
      <c r="B641" s="62">
        <v>1</v>
      </c>
      <c r="C641" s="302"/>
      <c r="D641" s="302">
        <v>0</v>
      </c>
      <c r="E641" s="586" t="s">
        <v>2614</v>
      </c>
      <c r="F641" s="1649">
        <v>216296.8</v>
      </c>
      <c r="G641" s="1649">
        <v>194296.8</v>
      </c>
      <c r="H641" s="1649">
        <v>184491.2</v>
      </c>
      <c r="I641" s="1649">
        <v>186302.6</v>
      </c>
      <c r="J641" s="1649">
        <v>188136.4</v>
      </c>
      <c r="K641" s="160" t="s">
        <v>882</v>
      </c>
      <c r="L641" s="171" t="s">
        <v>16</v>
      </c>
      <c r="M641" s="171"/>
      <c r="N641" s="171"/>
      <c r="O641" s="171"/>
      <c r="P641" s="171"/>
      <c r="Q641" s="888"/>
    </row>
    <row r="642" spans="1:17" s="20" customFormat="1" ht="63.75" x14ac:dyDescent="0.2">
      <c r="A642" s="125"/>
      <c r="B642" s="62"/>
      <c r="C642" s="143">
        <v>1</v>
      </c>
      <c r="D642" s="303">
        <v>0</v>
      </c>
      <c r="E642" s="40" t="s">
        <v>883</v>
      </c>
      <c r="F642" s="1616">
        <v>95071.9</v>
      </c>
      <c r="G642" s="1616">
        <v>86893.2</v>
      </c>
      <c r="H642" s="1616">
        <v>61498.2</v>
      </c>
      <c r="I642" s="1616">
        <v>63309.599999999999</v>
      </c>
      <c r="J642" s="1616">
        <v>65143.4</v>
      </c>
      <c r="K642" s="586" t="s">
        <v>884</v>
      </c>
      <c r="L642" s="177" t="s">
        <v>19</v>
      </c>
      <c r="M642" s="889" t="s">
        <v>885</v>
      </c>
      <c r="N642" s="889" t="s">
        <v>886</v>
      </c>
      <c r="O642" s="889" t="s">
        <v>887</v>
      </c>
      <c r="P642" s="889" t="s">
        <v>887</v>
      </c>
      <c r="Q642" s="890" t="s">
        <v>888</v>
      </c>
    </row>
    <row r="643" spans="1:17" s="20" customFormat="1" ht="25.5" x14ac:dyDescent="0.2">
      <c r="A643" s="125"/>
      <c r="B643" s="62"/>
      <c r="C643" s="143">
        <v>2</v>
      </c>
      <c r="D643" s="303">
        <v>0</v>
      </c>
      <c r="E643" s="40" t="s">
        <v>889</v>
      </c>
      <c r="F643" s="1616">
        <v>70631</v>
      </c>
      <c r="G643" s="1616">
        <v>60951.3</v>
      </c>
      <c r="H643" s="1616">
        <v>61497</v>
      </c>
      <c r="I643" s="1616">
        <v>61497</v>
      </c>
      <c r="J643" s="1616">
        <v>61497</v>
      </c>
      <c r="K643" s="586" t="s">
        <v>890</v>
      </c>
      <c r="L643" s="177" t="s">
        <v>16</v>
      </c>
      <c r="M643" s="177">
        <v>24905</v>
      </c>
      <c r="N643" s="177">
        <v>12500</v>
      </c>
      <c r="O643" s="177">
        <v>12500</v>
      </c>
      <c r="P643" s="177">
        <v>12000</v>
      </c>
      <c r="Q643" s="175">
        <v>12000</v>
      </c>
    </row>
    <row r="644" spans="1:17" s="20" customFormat="1" ht="38.25" x14ac:dyDescent="0.2">
      <c r="A644" s="125"/>
      <c r="B644" s="62"/>
      <c r="C644" s="143">
        <v>3</v>
      </c>
      <c r="D644" s="303">
        <v>0</v>
      </c>
      <c r="E644" s="40" t="s">
        <v>891</v>
      </c>
      <c r="F644" s="1616">
        <v>50593.9</v>
      </c>
      <c r="G644" s="1616">
        <v>46452.3</v>
      </c>
      <c r="H644" s="1616">
        <v>61496</v>
      </c>
      <c r="I644" s="1616">
        <v>61496</v>
      </c>
      <c r="J644" s="1616">
        <v>61496</v>
      </c>
      <c r="K644" s="586" t="s">
        <v>892</v>
      </c>
      <c r="L644" s="177" t="s">
        <v>16</v>
      </c>
      <c r="M644" s="177">
        <v>12299</v>
      </c>
      <c r="N644" s="177">
        <v>95000</v>
      </c>
      <c r="O644" s="177">
        <v>11000</v>
      </c>
      <c r="P644" s="177">
        <v>12000</v>
      </c>
      <c r="Q644" s="175">
        <v>12500</v>
      </c>
    </row>
    <row r="645" spans="1:17" ht="12.75" x14ac:dyDescent="0.2">
      <c r="A645" s="2338" t="s">
        <v>68</v>
      </c>
      <c r="B645" s="2339"/>
      <c r="C645" s="2339"/>
      <c r="D645" s="2339"/>
      <c r="E645" s="2340"/>
      <c r="F645" s="1637">
        <v>216296.8</v>
      </c>
      <c r="G645" s="1637">
        <v>194296.8</v>
      </c>
      <c r="H645" s="1637">
        <v>184491.2</v>
      </c>
      <c r="I645" s="1637">
        <v>186302.6</v>
      </c>
      <c r="J645" s="1637">
        <v>188136.4</v>
      </c>
      <c r="K645" s="588"/>
      <c r="L645" s="615"/>
      <c r="M645" s="615"/>
      <c r="N645" s="615"/>
      <c r="O645" s="615"/>
      <c r="P645" s="615"/>
      <c r="Q645" s="305"/>
    </row>
    <row r="646" spans="1:17" s="15" customFormat="1" ht="24.75" customHeight="1" x14ac:dyDescent="0.2">
      <c r="A646" s="2341" t="s">
        <v>2620</v>
      </c>
      <c r="B646" s="2341"/>
      <c r="C646" s="2341"/>
      <c r="D646" s="2341"/>
      <c r="E646" s="2341"/>
      <c r="F646" s="2341"/>
      <c r="G646" s="2341"/>
      <c r="H646" s="2341"/>
      <c r="I646" s="2341"/>
      <c r="J646" s="2341"/>
      <c r="K646" s="2341"/>
      <c r="L646" s="2341"/>
      <c r="M646" s="2341"/>
      <c r="N646" s="2341"/>
      <c r="O646" s="2341"/>
      <c r="P646" s="2341"/>
      <c r="Q646" s="2278"/>
    </row>
    <row r="647" spans="1:17" s="20" customFormat="1" ht="86.25" customHeight="1" x14ac:dyDescent="0.2">
      <c r="A647" s="125"/>
      <c r="B647" s="613">
        <v>1</v>
      </c>
      <c r="C647" s="306"/>
      <c r="D647" s="306"/>
      <c r="E647" s="308" t="s">
        <v>2615</v>
      </c>
      <c r="F647" s="1561">
        <f>F648</f>
        <v>354741.39999999997</v>
      </c>
      <c r="G647" s="1561">
        <f t="shared" ref="G647:J647" si="21">G648</f>
        <v>549406.19999999995</v>
      </c>
      <c r="H647" s="1561">
        <f t="shared" si="21"/>
        <v>610977.19999999995</v>
      </c>
      <c r="I647" s="1561">
        <f t="shared" si="21"/>
        <v>592079.473</v>
      </c>
      <c r="J647" s="1561">
        <f t="shared" si="21"/>
        <v>598000.26772999996</v>
      </c>
      <c r="K647" s="679" t="s">
        <v>893</v>
      </c>
      <c r="L647" s="309"/>
      <c r="M647" s="309"/>
      <c r="N647" s="310" t="s">
        <v>894</v>
      </c>
      <c r="O647" s="311" t="s">
        <v>895</v>
      </c>
      <c r="P647" s="310" t="s">
        <v>2621</v>
      </c>
      <c r="Q647" s="310" t="s">
        <v>896</v>
      </c>
    </row>
    <row r="648" spans="1:17" s="20" customFormat="1" ht="66" customHeight="1" x14ac:dyDescent="0.2">
      <c r="A648" s="125"/>
      <c r="B648" s="2342"/>
      <c r="C648" s="2344">
        <v>1</v>
      </c>
      <c r="D648" s="2344">
        <v>1</v>
      </c>
      <c r="E648" s="2346" t="s">
        <v>897</v>
      </c>
      <c r="F648" s="1787">
        <v>354741.39999999997</v>
      </c>
      <c r="G648" s="1787">
        <v>549406.19999999995</v>
      </c>
      <c r="H648" s="1787">
        <v>610977.19999999995</v>
      </c>
      <c r="I648" s="1787">
        <v>592079.473</v>
      </c>
      <c r="J648" s="1787">
        <v>598000.26772999996</v>
      </c>
      <c r="K648" s="312" t="s">
        <v>898</v>
      </c>
      <c r="L648" s="22"/>
      <c r="M648" s="22"/>
      <c r="N648" s="313" t="s">
        <v>899</v>
      </c>
      <c r="O648" s="313" t="s">
        <v>900</v>
      </c>
      <c r="P648" s="314" t="s">
        <v>901</v>
      </c>
      <c r="Q648" s="314" t="s">
        <v>901</v>
      </c>
    </row>
    <row r="649" spans="1:17" s="20" customFormat="1" ht="39" customHeight="1" x14ac:dyDescent="0.2">
      <c r="A649" s="125"/>
      <c r="B649" s="2343"/>
      <c r="C649" s="2345"/>
      <c r="D649" s="2345"/>
      <c r="E649" s="2347" t="s">
        <v>902</v>
      </c>
      <c r="F649" s="2158"/>
      <c r="G649" s="2158"/>
      <c r="H649" s="2158"/>
      <c r="I649" s="2158"/>
      <c r="J649" s="2158"/>
      <c r="K649" s="315" t="s">
        <v>903</v>
      </c>
      <c r="L649" s="316" t="s">
        <v>16</v>
      </c>
      <c r="M649" s="316"/>
      <c r="N649" s="317">
        <v>94.3</v>
      </c>
      <c r="O649" s="317">
        <v>100</v>
      </c>
      <c r="P649" s="317">
        <v>100</v>
      </c>
      <c r="Q649" s="317">
        <v>100</v>
      </c>
    </row>
    <row r="650" spans="1:17" s="20" customFormat="1" ht="83.25" customHeight="1" x14ac:dyDescent="0.2">
      <c r="A650" s="125"/>
      <c r="B650" s="2343"/>
      <c r="C650" s="2345"/>
      <c r="D650" s="2345"/>
      <c r="E650" s="2347" t="s">
        <v>904</v>
      </c>
      <c r="F650" s="2158"/>
      <c r="G650" s="2158"/>
      <c r="H650" s="2158"/>
      <c r="I650" s="2158"/>
      <c r="J650" s="2158"/>
      <c r="K650" s="697" t="s">
        <v>905</v>
      </c>
      <c r="L650" s="22"/>
      <c r="M650" s="22"/>
      <c r="N650" s="313" t="s">
        <v>906</v>
      </c>
      <c r="O650" s="314" t="s">
        <v>907</v>
      </c>
      <c r="P650" s="314" t="s">
        <v>908</v>
      </c>
      <c r="Q650" s="314" t="s">
        <v>909</v>
      </c>
    </row>
    <row r="651" spans="1:17" s="20" customFormat="1" ht="38.25" x14ac:dyDescent="0.2">
      <c r="A651" s="125"/>
      <c r="B651" s="2343"/>
      <c r="C651" s="2345"/>
      <c r="D651" s="2345"/>
      <c r="E651" s="2347" t="s">
        <v>910</v>
      </c>
      <c r="F651" s="2158"/>
      <c r="G651" s="2158"/>
      <c r="H651" s="2158"/>
      <c r="I651" s="2158"/>
      <c r="J651" s="2158"/>
      <c r="K651" s="697" t="s">
        <v>911</v>
      </c>
      <c r="L651" s="22"/>
      <c r="M651" s="22"/>
      <c r="N651" s="314"/>
      <c r="O651" s="314">
        <v>2</v>
      </c>
      <c r="P651" s="314">
        <v>3</v>
      </c>
      <c r="Q651" s="314">
        <v>5</v>
      </c>
    </row>
    <row r="652" spans="1:17" s="20" customFormat="1" ht="63" customHeight="1" x14ac:dyDescent="0.2">
      <c r="A652" s="125"/>
      <c r="B652" s="2343"/>
      <c r="C652" s="2345"/>
      <c r="D652" s="2345"/>
      <c r="E652" s="2347"/>
      <c r="F652" s="2158"/>
      <c r="G652" s="2158"/>
      <c r="H652" s="2158"/>
      <c r="I652" s="2158"/>
      <c r="J652" s="2158"/>
      <c r="K652" s="697" t="s">
        <v>912</v>
      </c>
      <c r="L652" s="22"/>
      <c r="M652" s="22"/>
      <c r="N652" s="313" t="s">
        <v>913</v>
      </c>
      <c r="O652" s="313" t="s">
        <v>914</v>
      </c>
      <c r="P652" s="313" t="s">
        <v>915</v>
      </c>
      <c r="Q652" s="313" t="s">
        <v>916</v>
      </c>
    </row>
    <row r="653" spans="1:17" s="20" customFormat="1" ht="86.25" customHeight="1" x14ac:dyDescent="0.2">
      <c r="A653" s="125"/>
      <c r="B653" s="2343"/>
      <c r="C653" s="2345"/>
      <c r="D653" s="2345"/>
      <c r="E653" s="2347"/>
      <c r="F653" s="2158"/>
      <c r="G653" s="2158"/>
      <c r="H653" s="2158"/>
      <c r="I653" s="2158"/>
      <c r="J653" s="2158"/>
      <c r="K653" s="318" t="s">
        <v>917</v>
      </c>
      <c r="L653" s="318" t="s">
        <v>16</v>
      </c>
      <c r="M653" s="318"/>
      <c r="N653" s="318" t="s">
        <v>918</v>
      </c>
      <c r="O653" s="318" t="s">
        <v>919</v>
      </c>
      <c r="P653" s="318" t="s">
        <v>920</v>
      </c>
      <c r="Q653" s="318" t="s">
        <v>920</v>
      </c>
    </row>
    <row r="654" spans="1:17" s="20" customFormat="1" ht="38.25" x14ac:dyDescent="0.2">
      <c r="A654" s="125"/>
      <c r="B654" s="2343"/>
      <c r="C654" s="2345"/>
      <c r="D654" s="2345"/>
      <c r="E654" s="2347"/>
      <c r="F654" s="2158"/>
      <c r="G654" s="2158"/>
      <c r="H654" s="2158"/>
      <c r="I654" s="2158"/>
      <c r="J654" s="2158"/>
      <c r="K654" s="618" t="s">
        <v>921</v>
      </c>
      <c r="L654" s="319" t="s">
        <v>225</v>
      </c>
      <c r="M654" s="319"/>
      <c r="N654" s="320">
        <v>99</v>
      </c>
      <c r="O654" s="321">
        <v>100</v>
      </c>
      <c r="P654" s="320">
        <v>100</v>
      </c>
      <c r="Q654" s="320">
        <v>100</v>
      </c>
    </row>
    <row r="655" spans="1:17" s="20" customFormat="1" ht="129.75" customHeight="1" x14ac:dyDescent="0.2">
      <c r="A655" s="125"/>
      <c r="B655" s="2343"/>
      <c r="C655" s="2345"/>
      <c r="D655" s="2345"/>
      <c r="E655" s="2348"/>
      <c r="F655" s="2157"/>
      <c r="G655" s="2157"/>
      <c r="H655" s="2157"/>
      <c r="I655" s="2157"/>
      <c r="J655" s="2157"/>
      <c r="K655" s="322" t="s">
        <v>922</v>
      </c>
      <c r="L655" s="22"/>
      <c r="M655" s="22"/>
      <c r="N655" s="314"/>
      <c r="O655" s="313" t="s">
        <v>923</v>
      </c>
      <c r="P655" s="313" t="s">
        <v>924</v>
      </c>
      <c r="Q655" s="323" t="s">
        <v>925</v>
      </c>
    </row>
    <row r="656" spans="1:17" s="20" customFormat="1" ht="92.25" customHeight="1" x14ac:dyDescent="0.2">
      <c r="A656" s="125"/>
      <c r="B656" s="324">
        <v>2</v>
      </c>
      <c r="C656" s="306"/>
      <c r="D656" s="306"/>
      <c r="E656" s="325" t="s">
        <v>926</v>
      </c>
      <c r="F656" s="1561">
        <f>F657+F660</f>
        <v>3063125</v>
      </c>
      <c r="G656" s="1561">
        <f t="shared" ref="G656:J656" si="22">G657+G660</f>
        <v>3498661.2</v>
      </c>
      <c r="H656" s="1561">
        <f t="shared" si="22"/>
        <v>3584491.2</v>
      </c>
      <c r="I656" s="1561">
        <f t="shared" si="22"/>
        <v>3856086.1120000002</v>
      </c>
      <c r="J656" s="1561">
        <f t="shared" si="22"/>
        <v>3897830.9731200002</v>
      </c>
      <c r="K656" s="312" t="s">
        <v>927</v>
      </c>
      <c r="L656" s="326" t="s">
        <v>16</v>
      </c>
      <c r="M656" s="326"/>
      <c r="N656" s="327">
        <v>50</v>
      </c>
      <c r="O656" s="328">
        <v>60</v>
      </c>
      <c r="P656" s="327">
        <v>70</v>
      </c>
      <c r="Q656" s="327">
        <v>80</v>
      </c>
    </row>
    <row r="657" spans="1:17" s="20" customFormat="1" ht="25.5" x14ac:dyDescent="0.2">
      <c r="A657" s="125"/>
      <c r="B657" s="2361"/>
      <c r="C657" s="2345">
        <v>1</v>
      </c>
      <c r="D657" s="2345">
        <v>1</v>
      </c>
      <c r="E657" s="2370" t="s">
        <v>928</v>
      </c>
      <c r="F657" s="1892">
        <v>3063125</v>
      </c>
      <c r="G657" s="1892">
        <v>3498661.2</v>
      </c>
      <c r="H657" s="1892">
        <v>3499491.2</v>
      </c>
      <c r="I657" s="1892">
        <v>3534486.1120000002</v>
      </c>
      <c r="J657" s="1892">
        <v>3569830.9731200002</v>
      </c>
      <c r="K657" s="616" t="s">
        <v>929</v>
      </c>
      <c r="L657" s="319" t="s">
        <v>16</v>
      </c>
      <c r="M657" s="319"/>
      <c r="N657" s="329">
        <v>4</v>
      </c>
      <c r="O657" s="329">
        <v>4.5</v>
      </c>
      <c r="P657" s="329">
        <v>5</v>
      </c>
      <c r="Q657" s="329">
        <v>6</v>
      </c>
    </row>
    <row r="658" spans="1:17" s="20" customFormat="1" ht="25.5" x14ac:dyDescent="0.2">
      <c r="A658" s="125"/>
      <c r="B658" s="2361"/>
      <c r="C658" s="2345"/>
      <c r="D658" s="2345"/>
      <c r="E658" s="2370"/>
      <c r="F658" s="2158"/>
      <c r="G658" s="2158"/>
      <c r="H658" s="2158"/>
      <c r="I658" s="2158"/>
      <c r="J658" s="2158"/>
      <c r="K658" s="616" t="s">
        <v>930</v>
      </c>
      <c r="L658" s="319" t="s">
        <v>16</v>
      </c>
      <c r="M658" s="319"/>
      <c r="N658" s="330">
        <v>82</v>
      </c>
      <c r="O658" s="330">
        <v>85</v>
      </c>
      <c r="P658" s="330">
        <v>87</v>
      </c>
      <c r="Q658" s="313">
        <v>90</v>
      </c>
    </row>
    <row r="659" spans="1:17" s="20" customFormat="1" ht="38.25" x14ac:dyDescent="0.2">
      <c r="A659" s="125"/>
      <c r="B659" s="2361"/>
      <c r="C659" s="2345"/>
      <c r="D659" s="2345"/>
      <c r="E659" s="2370"/>
      <c r="F659" s="2157"/>
      <c r="G659" s="2157"/>
      <c r="H659" s="2157"/>
      <c r="I659" s="2157"/>
      <c r="J659" s="2157"/>
      <c r="K659" s="312" t="s">
        <v>931</v>
      </c>
      <c r="L659" s="316" t="s">
        <v>16</v>
      </c>
      <c r="M659" s="316"/>
      <c r="N659" s="313">
        <v>9</v>
      </c>
      <c r="O659" s="313">
        <v>9.1999999999999993</v>
      </c>
      <c r="P659" s="313">
        <v>9.4</v>
      </c>
      <c r="Q659" s="313">
        <v>9.6</v>
      </c>
    </row>
    <row r="660" spans="1:17" s="20" customFormat="1" ht="76.5" x14ac:dyDescent="0.2">
      <c r="A660" s="125"/>
      <c r="B660" s="2368"/>
      <c r="C660" s="2344">
        <v>2</v>
      </c>
      <c r="D660" s="2344">
        <v>2</v>
      </c>
      <c r="E660" s="2365" t="s">
        <v>932</v>
      </c>
      <c r="F660" s="1892"/>
      <c r="G660" s="1892"/>
      <c r="H660" s="1892">
        <v>85000</v>
      </c>
      <c r="I660" s="1892">
        <v>321600</v>
      </c>
      <c r="J660" s="1892">
        <v>328000</v>
      </c>
      <c r="K660" s="315" t="s">
        <v>933</v>
      </c>
      <c r="L660" s="618"/>
      <c r="M660" s="618"/>
      <c r="N660" s="618"/>
      <c r="O660" s="618" t="s">
        <v>934</v>
      </c>
      <c r="P660" s="618" t="s">
        <v>935</v>
      </c>
      <c r="Q660" s="618" t="s">
        <v>936</v>
      </c>
    </row>
    <row r="661" spans="1:17" s="20" customFormat="1" ht="76.5" x14ac:dyDescent="0.2">
      <c r="A661" s="125"/>
      <c r="B661" s="2362"/>
      <c r="C661" s="2369"/>
      <c r="D661" s="2369"/>
      <c r="E661" s="2367"/>
      <c r="F661" s="2157"/>
      <c r="G661" s="2157"/>
      <c r="H661" s="2157"/>
      <c r="I661" s="2157"/>
      <c r="J661" s="2157"/>
      <c r="K661" s="315" t="s">
        <v>937</v>
      </c>
      <c r="L661" s="331"/>
      <c r="M661" s="331"/>
      <c r="N661" s="679" t="s">
        <v>938</v>
      </c>
      <c r="O661" s="679" t="s">
        <v>939</v>
      </c>
      <c r="P661" s="332" t="s">
        <v>940</v>
      </c>
      <c r="Q661" s="332" t="s">
        <v>941</v>
      </c>
    </row>
    <row r="662" spans="1:17" s="20" customFormat="1" ht="63.75" x14ac:dyDescent="0.2">
      <c r="A662" s="125"/>
      <c r="B662" s="621">
        <v>3</v>
      </c>
      <c r="C662" s="180"/>
      <c r="D662" s="180"/>
      <c r="E662" s="334" t="s">
        <v>2616</v>
      </c>
      <c r="F662" s="1562">
        <f>F663+F668</f>
        <v>17881266.199999999</v>
      </c>
      <c r="G662" s="1562">
        <f t="shared" ref="G662:J662" si="23">G663+G668</f>
        <v>22399133.199999999</v>
      </c>
      <c r="H662" s="1562">
        <f t="shared" si="23"/>
        <v>22884406.100000001</v>
      </c>
      <c r="I662" s="1562">
        <f t="shared" si="23"/>
        <v>22810812.469999999</v>
      </c>
      <c r="J662" s="1562">
        <f t="shared" si="23"/>
        <v>23042104.594699997</v>
      </c>
      <c r="K662" s="335" t="s">
        <v>942</v>
      </c>
      <c r="L662" s="336" t="s">
        <v>16</v>
      </c>
      <c r="M662" s="336"/>
      <c r="N662" s="337">
        <v>98.8</v>
      </c>
      <c r="O662" s="337">
        <v>98.8</v>
      </c>
      <c r="P662" s="337">
        <v>98.8</v>
      </c>
      <c r="Q662" s="337">
        <v>98.8</v>
      </c>
    </row>
    <row r="663" spans="1:17" s="20" customFormat="1" ht="25.5" x14ac:dyDescent="0.2">
      <c r="A663" s="125"/>
      <c r="B663" s="2361"/>
      <c r="C663" s="2363">
        <v>1</v>
      </c>
      <c r="D663" s="2363">
        <v>1</v>
      </c>
      <c r="E663" s="2365" t="s">
        <v>943</v>
      </c>
      <c r="F663" s="1787">
        <v>17784641.699999999</v>
      </c>
      <c r="G663" s="1787">
        <v>22262341.199999999</v>
      </c>
      <c r="H663" s="1787">
        <v>22765406.100000001</v>
      </c>
      <c r="I663" s="1787">
        <v>22489212.469999999</v>
      </c>
      <c r="J663" s="1787">
        <v>22714104.594699997</v>
      </c>
      <c r="K663" s="315" t="s">
        <v>944</v>
      </c>
      <c r="L663" s="316" t="s">
        <v>30</v>
      </c>
      <c r="M663" s="316"/>
      <c r="N663" s="317">
        <v>80</v>
      </c>
      <c r="O663" s="317">
        <v>90</v>
      </c>
      <c r="P663" s="317">
        <v>95</v>
      </c>
      <c r="Q663" s="317">
        <v>100</v>
      </c>
    </row>
    <row r="664" spans="1:17" s="20" customFormat="1" ht="51" x14ac:dyDescent="0.2">
      <c r="A664" s="125"/>
      <c r="B664" s="2361"/>
      <c r="C664" s="2363"/>
      <c r="D664" s="2363"/>
      <c r="E664" s="2366"/>
      <c r="F664" s="2159"/>
      <c r="G664" s="2159"/>
      <c r="H664" s="2159"/>
      <c r="I664" s="2159"/>
      <c r="J664" s="2159"/>
      <c r="K664" s="315" t="s">
        <v>945</v>
      </c>
      <c r="L664" s="316" t="s">
        <v>16</v>
      </c>
      <c r="M664" s="316"/>
      <c r="N664" s="317">
        <v>21.4</v>
      </c>
      <c r="O664" s="317">
        <v>21.4</v>
      </c>
      <c r="P664" s="317">
        <v>21.4</v>
      </c>
      <c r="Q664" s="317">
        <v>21.4</v>
      </c>
    </row>
    <row r="665" spans="1:17" s="20" customFormat="1" ht="51" x14ac:dyDescent="0.2">
      <c r="A665" s="125"/>
      <c r="B665" s="2361"/>
      <c r="C665" s="2363"/>
      <c r="D665" s="2363"/>
      <c r="E665" s="2366"/>
      <c r="F665" s="2159"/>
      <c r="G665" s="2159"/>
      <c r="H665" s="2159"/>
      <c r="I665" s="2159"/>
      <c r="J665" s="2159"/>
      <c r="K665" s="315" t="s">
        <v>946</v>
      </c>
      <c r="L665" s="316" t="s">
        <v>16</v>
      </c>
      <c r="M665" s="316"/>
      <c r="N665" s="317">
        <v>4</v>
      </c>
      <c r="O665" s="317">
        <v>6</v>
      </c>
      <c r="P665" s="317">
        <v>8</v>
      </c>
      <c r="Q665" s="317">
        <v>10</v>
      </c>
    </row>
    <row r="666" spans="1:17" s="20" customFormat="1" ht="25.5" x14ac:dyDescent="0.2">
      <c r="A666" s="125"/>
      <c r="B666" s="2361"/>
      <c r="C666" s="2363"/>
      <c r="D666" s="2363"/>
      <c r="E666" s="2366"/>
      <c r="F666" s="2159"/>
      <c r="G666" s="2159"/>
      <c r="H666" s="2159"/>
      <c r="I666" s="2159"/>
      <c r="J666" s="2159"/>
      <c r="K666" s="338" t="s">
        <v>947</v>
      </c>
      <c r="L666" s="316" t="s">
        <v>16</v>
      </c>
      <c r="M666" s="316"/>
      <c r="N666" s="327">
        <v>65.5</v>
      </c>
      <c r="O666" s="327">
        <v>70</v>
      </c>
      <c r="P666" s="327">
        <v>75</v>
      </c>
      <c r="Q666" s="327">
        <v>80</v>
      </c>
    </row>
    <row r="667" spans="1:17" s="20" customFormat="1" ht="25.5" x14ac:dyDescent="0.2">
      <c r="A667" s="125"/>
      <c r="B667" s="2362"/>
      <c r="C667" s="2364"/>
      <c r="D667" s="2364"/>
      <c r="E667" s="2367"/>
      <c r="F667" s="2155"/>
      <c r="G667" s="2155"/>
      <c r="H667" s="2155"/>
      <c r="I667" s="2155"/>
      <c r="J667" s="2155"/>
      <c r="K667" s="312" t="s">
        <v>948</v>
      </c>
      <c r="L667" s="316" t="s">
        <v>235</v>
      </c>
      <c r="M667" s="316"/>
      <c r="N667" s="317">
        <v>123.3</v>
      </c>
      <c r="O667" s="317">
        <v>124</v>
      </c>
      <c r="P667" s="317">
        <v>125</v>
      </c>
      <c r="Q667" s="317">
        <v>125</v>
      </c>
    </row>
    <row r="668" spans="1:17" s="20" customFormat="1" ht="12.75" x14ac:dyDescent="0.2">
      <c r="A668" s="125"/>
      <c r="B668" s="339"/>
      <c r="C668" s="617">
        <v>2</v>
      </c>
      <c r="D668" s="617">
        <v>2</v>
      </c>
      <c r="E668" s="315" t="s">
        <v>949</v>
      </c>
      <c r="F668" s="1563">
        <v>96624.5</v>
      </c>
      <c r="G668" s="1563">
        <v>136792</v>
      </c>
      <c r="H668" s="1547">
        <v>119000</v>
      </c>
      <c r="I668" s="1563">
        <v>321600</v>
      </c>
      <c r="J668" s="1563">
        <v>328000</v>
      </c>
      <c r="K668" s="315" t="s">
        <v>950</v>
      </c>
      <c r="L668" s="316" t="s">
        <v>16</v>
      </c>
      <c r="M668" s="316"/>
      <c r="N668" s="340">
        <v>12</v>
      </c>
      <c r="O668" s="340">
        <v>15</v>
      </c>
      <c r="P668" s="340">
        <v>20</v>
      </c>
      <c r="Q668" s="340">
        <v>20</v>
      </c>
    </row>
    <row r="669" spans="1:17" s="20" customFormat="1" ht="51" x14ac:dyDescent="0.2">
      <c r="A669" s="125"/>
      <c r="B669" s="341">
        <v>4</v>
      </c>
      <c r="C669" s="342"/>
      <c r="D669" s="342"/>
      <c r="E669" s="307" t="s">
        <v>2617</v>
      </c>
      <c r="F669" s="1564">
        <f>F670+F674+F675+F679</f>
        <v>1634830.2</v>
      </c>
      <c r="G669" s="1564">
        <f t="shared" ref="G669" si="24">G670+G674+G675+G679</f>
        <v>1905656.0000000002</v>
      </c>
      <c r="H669" s="1564">
        <f>H670+H674+H675+H679+H677</f>
        <v>2179016.3000000003</v>
      </c>
      <c r="I669" s="1564">
        <f t="shared" ref="I669:J669" si="25">I670+I674+I675+I679+I677</f>
        <v>2307720.733</v>
      </c>
      <c r="J669" s="1564">
        <f t="shared" si="25"/>
        <v>2238783.0403300002</v>
      </c>
      <c r="K669" s="307"/>
      <c r="L669" s="307"/>
      <c r="M669" s="307"/>
      <c r="N669" s="307"/>
      <c r="O669" s="307"/>
      <c r="P669" s="307"/>
      <c r="Q669" s="307"/>
    </row>
    <row r="670" spans="1:17" s="20" customFormat="1" ht="25.5" x14ac:dyDescent="0.2">
      <c r="A670" s="125"/>
      <c r="B670" s="619"/>
      <c r="C670" s="620">
        <v>1</v>
      </c>
      <c r="D670" s="620">
        <v>1</v>
      </c>
      <c r="E670" s="344" t="s">
        <v>951</v>
      </c>
      <c r="F670" s="1538">
        <v>1224276</v>
      </c>
      <c r="G670" s="1538">
        <v>1414468</v>
      </c>
      <c r="H670" s="1538">
        <v>1412170.6</v>
      </c>
      <c r="I670" s="1538">
        <v>1420560.5560000001</v>
      </c>
      <c r="J670" s="1538">
        <v>1434766.1615600002</v>
      </c>
      <c r="K670" s="108" t="s">
        <v>952</v>
      </c>
      <c r="L670" s="345" t="s">
        <v>16</v>
      </c>
      <c r="M670" s="345"/>
      <c r="N670" s="345">
        <v>10.9</v>
      </c>
      <c r="O670" s="345">
        <v>10.9</v>
      </c>
      <c r="P670" s="345">
        <v>10.9</v>
      </c>
      <c r="Q670" s="345">
        <v>10.9</v>
      </c>
    </row>
    <row r="671" spans="1:17" s="20" customFormat="1" ht="84" customHeight="1" x14ac:dyDescent="0.2">
      <c r="A671" s="125"/>
      <c r="B671" s="2357"/>
      <c r="C671" s="2358">
        <v>2</v>
      </c>
      <c r="D671" s="2358">
        <v>2</v>
      </c>
      <c r="E671" s="2359" t="s">
        <v>953</v>
      </c>
      <c r="F671" s="2167"/>
      <c r="G671" s="2167"/>
      <c r="H671" s="2167"/>
      <c r="I671" s="2167"/>
      <c r="J671" s="2167"/>
      <c r="K671" s="344" t="s">
        <v>954</v>
      </c>
      <c r="L671" s="345" t="s">
        <v>955</v>
      </c>
      <c r="M671" s="345"/>
      <c r="N671" s="346" t="s">
        <v>956</v>
      </c>
      <c r="O671" s="346" t="s">
        <v>957</v>
      </c>
      <c r="P671" s="346" t="s">
        <v>958</v>
      </c>
      <c r="Q671" s="346" t="s">
        <v>959</v>
      </c>
    </row>
    <row r="672" spans="1:17" s="20" customFormat="1" ht="51" x14ac:dyDescent="0.2">
      <c r="A672" s="125"/>
      <c r="B672" s="2357"/>
      <c r="C672" s="2358"/>
      <c r="D672" s="2358"/>
      <c r="E672" s="2360"/>
      <c r="F672" s="2168"/>
      <c r="G672" s="2168"/>
      <c r="H672" s="2168"/>
      <c r="I672" s="2168"/>
      <c r="J672" s="2168"/>
      <c r="K672" s="347" t="s">
        <v>960</v>
      </c>
      <c r="L672" s="345" t="s">
        <v>16</v>
      </c>
      <c r="M672" s="345"/>
      <c r="N672" s="348">
        <v>50</v>
      </c>
      <c r="O672" s="348">
        <v>52</v>
      </c>
      <c r="P672" s="348">
        <v>53</v>
      </c>
      <c r="Q672" s="348">
        <v>55</v>
      </c>
    </row>
    <row r="673" spans="1:17" s="20" customFormat="1" ht="38.25" x14ac:dyDescent="0.2">
      <c r="A673" s="125"/>
      <c r="B673" s="619"/>
      <c r="C673" s="620">
        <v>3</v>
      </c>
      <c r="D673" s="620">
        <v>3</v>
      </c>
      <c r="E673" s="349" t="s">
        <v>961</v>
      </c>
      <c r="F673" s="1565"/>
      <c r="G673" s="1565"/>
      <c r="H673" s="1565"/>
      <c r="I673" s="1565"/>
      <c r="J673" s="1565"/>
      <c r="K673" s="344" t="s">
        <v>962</v>
      </c>
      <c r="L673" s="345" t="s">
        <v>955</v>
      </c>
      <c r="M673" s="345"/>
      <c r="N673" s="346">
        <v>12</v>
      </c>
      <c r="O673" s="346">
        <v>14</v>
      </c>
      <c r="P673" s="346">
        <v>16</v>
      </c>
      <c r="Q673" s="346">
        <v>18</v>
      </c>
    </row>
    <row r="674" spans="1:17" s="20" customFormat="1" ht="38.25" x14ac:dyDescent="0.2">
      <c r="A674" s="125"/>
      <c r="B674" s="619"/>
      <c r="C674" s="620">
        <v>4</v>
      </c>
      <c r="D674" s="620">
        <v>4</v>
      </c>
      <c r="E674" s="349" t="s">
        <v>963</v>
      </c>
      <c r="F674" s="1565">
        <v>9663.9</v>
      </c>
      <c r="G674" s="1565">
        <v>11812.3</v>
      </c>
      <c r="H674" s="1565">
        <v>11894.6</v>
      </c>
      <c r="I674" s="1565">
        <v>11930.422999999999</v>
      </c>
      <c r="J674" s="1565">
        <v>12049.727229999999</v>
      </c>
      <c r="K674" s="222" t="s">
        <v>964</v>
      </c>
      <c r="L674" s="345" t="s">
        <v>16</v>
      </c>
      <c r="M674" s="345"/>
      <c r="N674" s="350">
        <v>10</v>
      </c>
      <c r="O674" s="350">
        <v>12</v>
      </c>
      <c r="P674" s="350">
        <v>12</v>
      </c>
      <c r="Q674" s="350">
        <v>15</v>
      </c>
    </row>
    <row r="675" spans="1:17" s="20" customFormat="1" ht="25.5" x14ac:dyDescent="0.2">
      <c r="A675" s="125"/>
      <c r="B675" s="2354"/>
      <c r="C675" s="2288">
        <v>5</v>
      </c>
      <c r="D675" s="2288">
        <v>5</v>
      </c>
      <c r="E675" s="2356" t="s">
        <v>965</v>
      </c>
      <c r="F675" s="1892">
        <v>190686.3</v>
      </c>
      <c r="G675" s="1892">
        <v>257197.1</v>
      </c>
      <c r="H675" s="1892">
        <v>257197.1</v>
      </c>
      <c r="I675" s="1892">
        <v>259769.071</v>
      </c>
      <c r="J675" s="1892">
        <v>262366.76170999999</v>
      </c>
      <c r="K675" s="618" t="s">
        <v>966</v>
      </c>
      <c r="L675" s="319" t="s">
        <v>16</v>
      </c>
      <c r="M675" s="319"/>
      <c r="N675" s="351">
        <v>22.8</v>
      </c>
      <c r="O675" s="351">
        <v>22.8</v>
      </c>
      <c r="P675" s="351">
        <v>22.8</v>
      </c>
      <c r="Q675" s="351">
        <v>22.8</v>
      </c>
    </row>
    <row r="676" spans="1:17" s="20" customFormat="1" ht="38.25" x14ac:dyDescent="0.2">
      <c r="A676" s="125"/>
      <c r="B676" s="2355"/>
      <c r="C676" s="2289"/>
      <c r="D676" s="2289"/>
      <c r="E676" s="2356"/>
      <c r="F676" s="2157"/>
      <c r="G676" s="2157"/>
      <c r="H676" s="2157"/>
      <c r="I676" s="2157"/>
      <c r="J676" s="2157"/>
      <c r="K676" s="616" t="s">
        <v>967</v>
      </c>
      <c r="L676" s="319" t="s">
        <v>16</v>
      </c>
      <c r="M676" s="319"/>
      <c r="N676" s="352">
        <v>56</v>
      </c>
      <c r="O676" s="352">
        <v>70</v>
      </c>
      <c r="P676" s="352">
        <v>80</v>
      </c>
      <c r="Q676" s="352">
        <v>100</v>
      </c>
    </row>
    <row r="677" spans="1:17" s="20" customFormat="1" ht="89.25" x14ac:dyDescent="0.2">
      <c r="A677" s="125"/>
      <c r="B677" s="2354"/>
      <c r="C677" s="2288">
        <v>6</v>
      </c>
      <c r="D677" s="2288">
        <v>6</v>
      </c>
      <c r="E677" s="2366" t="s">
        <v>968</v>
      </c>
      <c r="F677" s="1892"/>
      <c r="G677" s="1892"/>
      <c r="H677" s="1892">
        <v>275570</v>
      </c>
      <c r="I677" s="1892">
        <v>379890</v>
      </c>
      <c r="J677" s="1892">
        <v>291674</v>
      </c>
      <c r="K677" s="616" t="s">
        <v>969</v>
      </c>
      <c r="L677" s="319"/>
      <c r="M677" s="319"/>
      <c r="N677" s="352" t="s">
        <v>970</v>
      </c>
      <c r="O677" s="352" t="s">
        <v>971</v>
      </c>
      <c r="P677" s="352" t="s">
        <v>972</v>
      </c>
      <c r="Q677" s="352" t="s">
        <v>973</v>
      </c>
    </row>
    <row r="678" spans="1:17" s="20" customFormat="1" ht="102" x14ac:dyDescent="0.2">
      <c r="A678" s="125"/>
      <c r="B678" s="2355"/>
      <c r="C678" s="2289"/>
      <c r="D678" s="2289"/>
      <c r="E678" s="2367"/>
      <c r="F678" s="2157"/>
      <c r="G678" s="2157"/>
      <c r="H678" s="2157"/>
      <c r="I678" s="2157"/>
      <c r="J678" s="2157"/>
      <c r="K678" s="616" t="s">
        <v>974</v>
      </c>
      <c r="L678" s="319"/>
      <c r="M678" s="319"/>
      <c r="N678" s="353" t="s">
        <v>975</v>
      </c>
      <c r="O678" s="352" t="s">
        <v>976</v>
      </c>
      <c r="P678" s="352" t="s">
        <v>976</v>
      </c>
      <c r="Q678" s="352" t="s">
        <v>976</v>
      </c>
    </row>
    <row r="679" spans="1:17" s="20" customFormat="1" ht="38.25" x14ac:dyDescent="0.2">
      <c r="A679" s="125"/>
      <c r="B679" s="2381"/>
      <c r="C679" s="2446">
        <v>7</v>
      </c>
      <c r="D679" s="2446">
        <v>7</v>
      </c>
      <c r="E679" s="2356" t="s">
        <v>977</v>
      </c>
      <c r="F679" s="1892">
        <v>210204</v>
      </c>
      <c r="G679" s="1892">
        <v>222178.6</v>
      </c>
      <c r="H679" s="1892">
        <v>222184</v>
      </c>
      <c r="I679" s="1892">
        <v>235570.68299999999</v>
      </c>
      <c r="J679" s="1892">
        <v>237926.38983</v>
      </c>
      <c r="K679" s="616" t="s">
        <v>978</v>
      </c>
      <c r="L679" s="319" t="s">
        <v>16</v>
      </c>
      <c r="M679" s="319"/>
      <c r="N679" s="352">
        <v>0</v>
      </c>
      <c r="O679" s="352">
        <v>2</v>
      </c>
      <c r="P679" s="352">
        <v>5</v>
      </c>
      <c r="Q679" s="352">
        <v>10</v>
      </c>
    </row>
    <row r="680" spans="1:17" s="20" customFormat="1" ht="38.25" x14ac:dyDescent="0.2">
      <c r="A680" s="125"/>
      <c r="B680" s="2381"/>
      <c r="C680" s="2446"/>
      <c r="D680" s="2446"/>
      <c r="E680" s="2356"/>
      <c r="F680" s="2158"/>
      <c r="G680" s="2158"/>
      <c r="H680" s="2158"/>
      <c r="I680" s="2158"/>
      <c r="J680" s="2158"/>
      <c r="K680" s="616" t="s">
        <v>979</v>
      </c>
      <c r="L680" s="319"/>
      <c r="M680" s="319"/>
      <c r="N680" s="352" t="s">
        <v>980</v>
      </c>
      <c r="O680" s="352" t="s">
        <v>981</v>
      </c>
      <c r="P680" s="352" t="s">
        <v>982</v>
      </c>
      <c r="Q680" s="352" t="s">
        <v>983</v>
      </c>
    </row>
    <row r="681" spans="1:17" s="20" customFormat="1" ht="25.5" x14ac:dyDescent="0.2">
      <c r="A681" s="125"/>
      <c r="B681" s="2381"/>
      <c r="C681" s="2446"/>
      <c r="D681" s="2446"/>
      <c r="E681" s="2356"/>
      <c r="F681" s="2157"/>
      <c r="G681" s="2157"/>
      <c r="H681" s="2157"/>
      <c r="I681" s="2157"/>
      <c r="J681" s="2157"/>
      <c r="K681" s="618" t="s">
        <v>984</v>
      </c>
      <c r="L681" s="319" t="s">
        <v>16</v>
      </c>
      <c r="M681" s="319"/>
      <c r="N681" s="352">
        <v>50</v>
      </c>
      <c r="O681" s="352">
        <v>52</v>
      </c>
      <c r="P681" s="352">
        <v>53</v>
      </c>
      <c r="Q681" s="352">
        <v>55</v>
      </c>
    </row>
    <row r="682" spans="1:17" s="20" customFormat="1" ht="63.75" customHeight="1" x14ac:dyDescent="0.2">
      <c r="A682" s="125"/>
      <c r="B682" s="621">
        <v>5</v>
      </c>
      <c r="C682" s="622"/>
      <c r="D682" s="622"/>
      <c r="E682" s="307" t="s">
        <v>2619</v>
      </c>
      <c r="F682" s="1561">
        <f>F683+F685</f>
        <v>5049407.5</v>
      </c>
      <c r="G682" s="1561">
        <f t="shared" ref="G682:J682" si="26">G683+G685</f>
        <v>5108311.7</v>
      </c>
      <c r="H682" s="1561">
        <f t="shared" si="26"/>
        <v>5108601.4000000004</v>
      </c>
      <c r="I682" s="1561">
        <f t="shared" si="26"/>
        <v>5171825.6950000003</v>
      </c>
      <c r="J682" s="1561">
        <f t="shared" si="26"/>
        <v>5223543.9519500006</v>
      </c>
      <c r="K682" s="616" t="s">
        <v>985</v>
      </c>
      <c r="L682" s="354" t="s">
        <v>16</v>
      </c>
      <c r="M682" s="354"/>
      <c r="N682" s="314">
        <v>19.7</v>
      </c>
      <c r="O682" s="314">
        <v>19.7</v>
      </c>
      <c r="P682" s="314">
        <v>19.7</v>
      </c>
      <c r="Q682" s="314">
        <v>19.7</v>
      </c>
    </row>
    <row r="683" spans="1:17" s="20" customFormat="1" ht="51" x14ac:dyDescent="0.2">
      <c r="A683" s="125"/>
      <c r="B683" s="2381"/>
      <c r="C683" s="1797">
        <v>1</v>
      </c>
      <c r="D683" s="1797">
        <v>1</v>
      </c>
      <c r="E683" s="2382" t="s">
        <v>986</v>
      </c>
      <c r="F683" s="1892">
        <v>509865.5</v>
      </c>
      <c r="G683" s="1892">
        <v>589772</v>
      </c>
      <c r="H683" s="1892">
        <v>589772</v>
      </c>
      <c r="I683" s="1892">
        <v>593171.58600000001</v>
      </c>
      <c r="J683" s="1892">
        <v>599103.30186000001</v>
      </c>
      <c r="K683" s="616" t="s">
        <v>987</v>
      </c>
      <c r="L683" s="319" t="s">
        <v>16</v>
      </c>
      <c r="M683" s="319"/>
      <c r="N683" s="355">
        <v>0.74</v>
      </c>
      <c r="O683" s="355">
        <v>0.76</v>
      </c>
      <c r="P683" s="355">
        <v>0.78</v>
      </c>
      <c r="Q683" s="355">
        <v>0.8</v>
      </c>
    </row>
    <row r="684" spans="1:17" s="20" customFormat="1" ht="38.25" x14ac:dyDescent="0.2">
      <c r="A684" s="125"/>
      <c r="B684" s="2381"/>
      <c r="C684" s="1797"/>
      <c r="D684" s="1797"/>
      <c r="E684" s="2383"/>
      <c r="F684" s="2157"/>
      <c r="G684" s="2157"/>
      <c r="H684" s="2157"/>
      <c r="I684" s="2157"/>
      <c r="J684" s="2157"/>
      <c r="K684" s="616" t="s">
        <v>988</v>
      </c>
      <c r="L684" s="343"/>
      <c r="M684" s="343"/>
      <c r="N684" s="356">
        <v>0.8</v>
      </c>
      <c r="O684" s="356">
        <v>1</v>
      </c>
      <c r="P684" s="356">
        <v>1</v>
      </c>
      <c r="Q684" s="356">
        <v>1</v>
      </c>
    </row>
    <row r="685" spans="1:17" s="20" customFormat="1" ht="120" customHeight="1" x14ac:dyDescent="0.2">
      <c r="A685" s="125"/>
      <c r="B685" s="2374"/>
      <c r="C685" s="2377">
        <v>2</v>
      </c>
      <c r="D685" s="2377">
        <v>2</v>
      </c>
      <c r="E685" s="2378" t="s">
        <v>989</v>
      </c>
      <c r="F685" s="1892">
        <v>4539542</v>
      </c>
      <c r="G685" s="1892">
        <v>4518539.7</v>
      </c>
      <c r="H685" s="1892">
        <v>4518829.4000000004</v>
      </c>
      <c r="I685" s="1892">
        <v>4578654.1090000002</v>
      </c>
      <c r="J685" s="1892">
        <v>4624440.6500900006</v>
      </c>
      <c r="K685" s="616" t="s">
        <v>990</v>
      </c>
      <c r="L685" s="343"/>
      <c r="M685" s="343"/>
      <c r="N685" s="357"/>
      <c r="O685" s="358" t="s">
        <v>991</v>
      </c>
      <c r="P685" s="358" t="s">
        <v>992</v>
      </c>
      <c r="Q685" s="358" t="s">
        <v>993</v>
      </c>
    </row>
    <row r="686" spans="1:17" s="20" customFormat="1" ht="12.75" x14ac:dyDescent="0.2">
      <c r="A686" s="125"/>
      <c r="B686" s="2375"/>
      <c r="C686" s="2363"/>
      <c r="D686" s="2363"/>
      <c r="E686" s="2379"/>
      <c r="F686" s="2158"/>
      <c r="G686" s="2158"/>
      <c r="H686" s="2158"/>
      <c r="I686" s="2158"/>
      <c r="J686" s="2158"/>
      <c r="K686" s="616" t="s">
        <v>994</v>
      </c>
      <c r="L686" s="319" t="s">
        <v>16</v>
      </c>
      <c r="M686" s="319"/>
      <c r="N686" s="358">
        <v>0.12</v>
      </c>
      <c r="O686" s="358">
        <v>0.15</v>
      </c>
      <c r="P686" s="358">
        <v>0.17</v>
      </c>
      <c r="Q686" s="358">
        <v>0.2</v>
      </c>
    </row>
    <row r="687" spans="1:17" s="20" customFormat="1" ht="25.5" x14ac:dyDescent="0.2">
      <c r="A687" s="125"/>
      <c r="B687" s="2375"/>
      <c r="C687" s="2363"/>
      <c r="D687" s="2363"/>
      <c r="E687" s="2379"/>
      <c r="F687" s="2158"/>
      <c r="G687" s="2158"/>
      <c r="H687" s="2158"/>
      <c r="I687" s="2158"/>
      <c r="J687" s="2158"/>
      <c r="K687" s="616" t="s">
        <v>995</v>
      </c>
      <c r="L687" s="319" t="s">
        <v>30</v>
      </c>
      <c r="M687" s="319"/>
      <c r="N687" s="359">
        <v>200</v>
      </c>
      <c r="O687" s="359">
        <v>220</v>
      </c>
      <c r="P687" s="359">
        <v>230</v>
      </c>
      <c r="Q687" s="359">
        <v>240</v>
      </c>
    </row>
    <row r="688" spans="1:17" s="20" customFormat="1" ht="126.75" customHeight="1" x14ac:dyDescent="0.2">
      <c r="A688" s="126"/>
      <c r="B688" s="2376"/>
      <c r="C688" s="2364"/>
      <c r="D688" s="2364"/>
      <c r="E688" s="2380"/>
      <c r="F688" s="2157"/>
      <c r="G688" s="2157"/>
      <c r="H688" s="2157"/>
      <c r="I688" s="2157"/>
      <c r="J688" s="2157"/>
      <c r="K688" s="616" t="s">
        <v>996</v>
      </c>
      <c r="L688" s="319"/>
      <c r="M688" s="319"/>
      <c r="N688" s="360" t="s">
        <v>997</v>
      </c>
      <c r="O688" s="360" t="s">
        <v>998</v>
      </c>
      <c r="P688" s="360" t="s">
        <v>999</v>
      </c>
      <c r="Q688" s="360" t="s">
        <v>1000</v>
      </c>
    </row>
    <row r="689" spans="1:17" s="20" customFormat="1" ht="76.5" x14ac:dyDescent="0.2">
      <c r="A689" s="126"/>
      <c r="B689" s="341">
        <v>6</v>
      </c>
      <c r="C689" s="342"/>
      <c r="D689" s="342"/>
      <c r="E689" s="307" t="s">
        <v>2618</v>
      </c>
      <c r="F689" s="1564">
        <f>F690+F691</f>
        <v>152202.1</v>
      </c>
      <c r="G689" s="1564">
        <f t="shared" ref="G689:J689" si="27">G690+G691</f>
        <v>160001.20000000001</v>
      </c>
      <c r="H689" s="1564">
        <f t="shared" si="27"/>
        <v>160001.19999999998</v>
      </c>
      <c r="I689" s="1564">
        <f t="shared" si="27"/>
        <v>161601.21199999997</v>
      </c>
      <c r="J689" s="1564">
        <f t="shared" si="27"/>
        <v>163217.22411999997</v>
      </c>
      <c r="K689" s="616" t="s">
        <v>1001</v>
      </c>
      <c r="L689" s="319" t="s">
        <v>16</v>
      </c>
      <c r="M689" s="319"/>
      <c r="N689" s="359">
        <v>0.5</v>
      </c>
      <c r="O689" s="359">
        <v>1</v>
      </c>
      <c r="P689" s="359">
        <v>1</v>
      </c>
      <c r="Q689" s="359">
        <v>1</v>
      </c>
    </row>
    <row r="690" spans="1:17" s="20" customFormat="1" ht="38.25" x14ac:dyDescent="0.2">
      <c r="A690" s="126"/>
      <c r="B690" s="341"/>
      <c r="C690" s="342">
        <v>1</v>
      </c>
      <c r="D690" s="342">
        <v>1</v>
      </c>
      <c r="E690" s="618" t="s">
        <v>1002</v>
      </c>
      <c r="F690" s="1563">
        <v>150116.20000000001</v>
      </c>
      <c r="G690" s="1563">
        <v>158309.30000000002</v>
      </c>
      <c r="H690" s="1563">
        <v>158309.29999999999</v>
      </c>
      <c r="I690" s="1563">
        <v>159892.39299999998</v>
      </c>
      <c r="J690" s="1563">
        <v>161491.31692999997</v>
      </c>
      <c r="K690" s="616" t="s">
        <v>1003</v>
      </c>
      <c r="L690" s="319" t="s">
        <v>1004</v>
      </c>
      <c r="M690" s="319"/>
      <c r="N690" s="359">
        <v>12</v>
      </c>
      <c r="O690" s="359">
        <v>13</v>
      </c>
      <c r="P690" s="359">
        <v>14</v>
      </c>
      <c r="Q690" s="359">
        <v>15</v>
      </c>
    </row>
    <row r="691" spans="1:17" s="20" customFormat="1" ht="51" x14ac:dyDescent="0.2">
      <c r="A691" s="126"/>
      <c r="B691" s="621"/>
      <c r="C691" s="622">
        <v>2</v>
      </c>
      <c r="D691" s="622">
        <v>2</v>
      </c>
      <c r="E691" s="616" t="s">
        <v>1005</v>
      </c>
      <c r="F691" s="1563">
        <v>2085.9</v>
      </c>
      <c r="G691" s="1563">
        <v>1691.9</v>
      </c>
      <c r="H691" s="1563">
        <v>1691.9</v>
      </c>
      <c r="I691" s="1563">
        <v>1708.8190000000002</v>
      </c>
      <c r="J691" s="1563">
        <v>1725.9071900000001</v>
      </c>
      <c r="K691" s="616" t="s">
        <v>1006</v>
      </c>
      <c r="L691" s="319" t="s">
        <v>16</v>
      </c>
      <c r="M691" s="319"/>
      <c r="N691" s="361" t="s">
        <v>1007</v>
      </c>
      <c r="O691" s="361" t="s">
        <v>1007</v>
      </c>
      <c r="P691" s="361" t="s">
        <v>1007</v>
      </c>
      <c r="Q691" s="361" t="s">
        <v>1007</v>
      </c>
    </row>
    <row r="692" spans="1:17" ht="12.75" x14ac:dyDescent="0.2">
      <c r="A692" s="2272" t="s">
        <v>68</v>
      </c>
      <c r="B692" s="2272"/>
      <c r="C692" s="2272"/>
      <c r="D692" s="2272"/>
      <c r="E692" s="2273"/>
      <c r="F692" s="1580">
        <v>28135572.399999999</v>
      </c>
      <c r="G692" s="1580">
        <v>33621169.5</v>
      </c>
      <c r="H692" s="1580">
        <v>34527493.400000006</v>
      </c>
      <c r="I692" s="1580">
        <v>34900125.694999993</v>
      </c>
      <c r="J692" s="1580">
        <v>35163480.051949993</v>
      </c>
      <c r="K692" s="362"/>
      <c r="L692" s="363"/>
      <c r="M692" s="364"/>
      <c r="N692" s="365"/>
      <c r="O692" s="366"/>
      <c r="P692" s="365"/>
      <c r="Q692" s="365"/>
    </row>
    <row r="693" spans="1:17" ht="23.25" customHeight="1" x14ac:dyDescent="0.2">
      <c r="A693" s="2373" t="s">
        <v>1008</v>
      </c>
      <c r="B693" s="2373"/>
      <c r="C693" s="2373"/>
      <c r="D693" s="2373"/>
      <c r="E693" s="2373"/>
      <c r="F693" s="2373"/>
      <c r="G693" s="2373"/>
      <c r="H693" s="2373"/>
      <c r="I693" s="2373"/>
      <c r="J693" s="2373"/>
      <c r="K693" s="2373"/>
      <c r="L693" s="2373"/>
      <c r="M693" s="2373"/>
      <c r="N693" s="2373"/>
      <c r="O693" s="2373"/>
      <c r="P693" s="2373"/>
      <c r="Q693" s="2373"/>
    </row>
    <row r="694" spans="1:17" s="20" customFormat="1" ht="71.25" customHeight="1" x14ac:dyDescent="0.2">
      <c r="A694" s="891">
        <v>1</v>
      </c>
      <c r="B694" s="1312" t="s">
        <v>111</v>
      </c>
      <c r="C694" s="892"/>
      <c r="D694" s="893"/>
      <c r="E694" s="894" t="s">
        <v>2622</v>
      </c>
      <c r="F694" s="1571">
        <v>65575.600000000006</v>
      </c>
      <c r="G694" s="1571">
        <v>65695</v>
      </c>
      <c r="H694" s="1571">
        <v>77090.2</v>
      </c>
      <c r="I694" s="1571">
        <v>77090.2</v>
      </c>
      <c r="J694" s="1571">
        <v>77090.2</v>
      </c>
      <c r="K694" s="624" t="s">
        <v>1009</v>
      </c>
      <c r="L694" s="212" t="s">
        <v>16</v>
      </c>
      <c r="M694" s="623">
        <v>34.700000000000003</v>
      </c>
      <c r="N694" s="623">
        <v>43.7</v>
      </c>
      <c r="O694" s="623">
        <v>46.2</v>
      </c>
      <c r="P694" s="623">
        <v>46.2</v>
      </c>
      <c r="Q694" s="623">
        <v>46.2</v>
      </c>
    </row>
    <row r="695" spans="1:17" s="20" customFormat="1" ht="17.25" customHeight="1" x14ac:dyDescent="0.2">
      <c r="A695" s="891"/>
      <c r="B695" s="1312"/>
      <c r="C695" s="581" t="s">
        <v>114</v>
      </c>
      <c r="D695" s="262"/>
      <c r="E695" s="414" t="s">
        <v>257</v>
      </c>
      <c r="F695" s="1652">
        <v>3304.7</v>
      </c>
      <c r="G695" s="1653">
        <v>3377.3</v>
      </c>
      <c r="H695" s="1653">
        <v>3402.3</v>
      </c>
      <c r="I695" s="1653">
        <v>3402.3</v>
      </c>
      <c r="J695" s="1653">
        <v>3402.3</v>
      </c>
      <c r="K695" s="370" t="s">
        <v>18</v>
      </c>
      <c r="L695" s="212" t="s">
        <v>19</v>
      </c>
      <c r="M695" s="368">
        <v>33.1</v>
      </c>
      <c r="N695" s="369">
        <v>34</v>
      </c>
      <c r="O695" s="369">
        <v>34.5</v>
      </c>
      <c r="P695" s="369">
        <v>35</v>
      </c>
      <c r="Q695" s="623">
        <v>0</v>
      </c>
    </row>
    <row r="696" spans="1:17" s="20" customFormat="1" ht="12.75" x14ac:dyDescent="0.2">
      <c r="A696" s="2371"/>
      <c r="B696" s="2384"/>
      <c r="C696" s="2210" t="s">
        <v>116</v>
      </c>
      <c r="D696" s="2386"/>
      <c r="E696" s="2372" t="s">
        <v>815</v>
      </c>
      <c r="F696" s="1654">
        <v>1429.8</v>
      </c>
      <c r="G696" s="1654">
        <v>1437.6</v>
      </c>
      <c r="H696" s="1654">
        <v>2639.1</v>
      </c>
      <c r="I696" s="1654">
        <v>2639.1</v>
      </c>
      <c r="J696" s="1654">
        <v>2639.1</v>
      </c>
      <c r="K696" s="238" t="s">
        <v>1010</v>
      </c>
      <c r="L696" s="212" t="s">
        <v>16</v>
      </c>
      <c r="M696" s="368">
        <v>100</v>
      </c>
      <c r="N696" s="368">
        <v>100</v>
      </c>
      <c r="O696" s="368">
        <v>100</v>
      </c>
      <c r="P696" s="368">
        <v>100</v>
      </c>
      <c r="Q696" s="623">
        <v>0</v>
      </c>
    </row>
    <row r="697" spans="1:17" s="20" customFormat="1" ht="12.75" x14ac:dyDescent="0.2">
      <c r="A697" s="2371"/>
      <c r="B697" s="2385"/>
      <c r="C697" s="2210"/>
      <c r="D697" s="2387"/>
      <c r="E697" s="2372"/>
      <c r="F697" s="1655"/>
      <c r="G697" s="1655"/>
      <c r="H697" s="1655"/>
      <c r="I697" s="1655"/>
      <c r="J697" s="1655"/>
      <c r="K697" s="604" t="s">
        <v>1011</v>
      </c>
      <c r="L697" s="212" t="s">
        <v>122</v>
      </c>
      <c r="M697" s="368">
        <v>53</v>
      </c>
      <c r="N697" s="369">
        <v>97</v>
      </c>
      <c r="O697" s="369">
        <v>100</v>
      </c>
      <c r="P697" s="369">
        <v>100</v>
      </c>
      <c r="Q697" s="623">
        <v>0</v>
      </c>
    </row>
    <row r="698" spans="1:17" s="20" customFormat="1" ht="25.5" x14ac:dyDescent="0.2">
      <c r="A698" s="891"/>
      <c r="B698" s="1312"/>
      <c r="C698" s="581" t="s">
        <v>119</v>
      </c>
      <c r="D698" s="895"/>
      <c r="E698" s="884" t="s">
        <v>816</v>
      </c>
      <c r="F698" s="1654">
        <v>4723.5</v>
      </c>
      <c r="G698" s="1653">
        <v>4731.3</v>
      </c>
      <c r="H698" s="1653">
        <v>4753.7</v>
      </c>
      <c r="I698" s="1653">
        <v>4753.7</v>
      </c>
      <c r="J698" s="1653">
        <v>4753.7</v>
      </c>
      <c r="K698" s="238" t="s">
        <v>1012</v>
      </c>
      <c r="L698" s="212" t="s">
        <v>122</v>
      </c>
      <c r="M698" s="368">
        <v>25</v>
      </c>
      <c r="N698" s="368">
        <v>25</v>
      </c>
      <c r="O698" s="368">
        <v>25</v>
      </c>
      <c r="P698" s="368">
        <v>25</v>
      </c>
      <c r="Q698" s="623">
        <v>0</v>
      </c>
    </row>
    <row r="699" spans="1:17" s="20" customFormat="1" ht="25.5" x14ac:dyDescent="0.2">
      <c r="A699" s="2371"/>
      <c r="B699" s="1312"/>
      <c r="C699" s="2210" t="s">
        <v>124</v>
      </c>
      <c r="D699" s="2210"/>
      <c r="E699" s="2372" t="s">
        <v>817</v>
      </c>
      <c r="F699" s="1656">
        <v>8673.7000000000007</v>
      </c>
      <c r="G699" s="1656">
        <v>8681.5</v>
      </c>
      <c r="H699" s="1656">
        <v>8905.5</v>
      </c>
      <c r="I699" s="1656">
        <v>8905.5</v>
      </c>
      <c r="J699" s="1656">
        <v>8905.5</v>
      </c>
      <c r="K699" s="238" t="s">
        <v>1013</v>
      </c>
      <c r="L699" s="212" t="s">
        <v>122</v>
      </c>
      <c r="M699" s="368">
        <v>25</v>
      </c>
      <c r="N699" s="369">
        <v>5</v>
      </c>
      <c r="O699" s="369">
        <v>5</v>
      </c>
      <c r="P699" s="369">
        <v>5</v>
      </c>
      <c r="Q699" s="623">
        <v>0</v>
      </c>
    </row>
    <row r="700" spans="1:17" s="20" customFormat="1" ht="25.5" x14ac:dyDescent="0.2">
      <c r="A700" s="2371"/>
      <c r="B700" s="1312"/>
      <c r="C700" s="2210"/>
      <c r="D700" s="2210"/>
      <c r="E700" s="2372"/>
      <c r="F700" s="1557"/>
      <c r="G700" s="1557"/>
      <c r="H700" s="1557"/>
      <c r="I700" s="1557"/>
      <c r="J700" s="1557"/>
      <c r="K700" s="349" t="s">
        <v>1014</v>
      </c>
      <c r="L700" s="212" t="s">
        <v>122</v>
      </c>
      <c r="M700" s="368">
        <v>30</v>
      </c>
      <c r="N700" s="369">
        <v>4</v>
      </c>
      <c r="O700" s="369">
        <v>4</v>
      </c>
      <c r="P700" s="369">
        <v>4</v>
      </c>
      <c r="Q700" s="623">
        <v>0</v>
      </c>
    </row>
    <row r="701" spans="1:17" s="20" customFormat="1" ht="38.25" x14ac:dyDescent="0.2">
      <c r="A701" s="2371"/>
      <c r="B701" s="2210"/>
      <c r="C701" s="2210" t="s">
        <v>128</v>
      </c>
      <c r="D701" s="2210"/>
      <c r="E701" s="2372" t="s">
        <v>1015</v>
      </c>
      <c r="F701" s="1656">
        <v>8194</v>
      </c>
      <c r="G701" s="1656">
        <v>8201.7999999999993</v>
      </c>
      <c r="H701" s="1656">
        <v>10450.9</v>
      </c>
      <c r="I701" s="1656">
        <v>10450.9</v>
      </c>
      <c r="J701" s="1656">
        <v>10450.9</v>
      </c>
      <c r="K701" s="624" t="s">
        <v>1016</v>
      </c>
      <c r="L701" s="212" t="s">
        <v>122</v>
      </c>
      <c r="M701" s="623">
        <v>44</v>
      </c>
      <c r="N701" s="623">
        <v>2</v>
      </c>
      <c r="O701" s="623">
        <v>3</v>
      </c>
      <c r="P701" s="623">
        <v>3</v>
      </c>
      <c r="Q701" s="623">
        <v>0</v>
      </c>
    </row>
    <row r="702" spans="1:17" s="20" customFormat="1" ht="38.25" x14ac:dyDescent="0.2">
      <c r="A702" s="2371"/>
      <c r="B702" s="2210"/>
      <c r="C702" s="2210"/>
      <c r="D702" s="2210"/>
      <c r="E702" s="2372"/>
      <c r="F702" s="1556"/>
      <c r="G702" s="1556"/>
      <c r="H702" s="1556"/>
      <c r="I702" s="1556"/>
      <c r="J702" s="1556"/>
      <c r="K702" s="370" t="s">
        <v>1017</v>
      </c>
      <c r="L702" s="212" t="s">
        <v>122</v>
      </c>
      <c r="M702" s="368">
        <v>250</v>
      </c>
      <c r="N702" s="368">
        <v>250</v>
      </c>
      <c r="O702" s="368">
        <v>250</v>
      </c>
      <c r="P702" s="368">
        <v>250</v>
      </c>
      <c r="Q702" s="623">
        <v>0</v>
      </c>
    </row>
    <row r="703" spans="1:17" s="20" customFormat="1" ht="25.5" x14ac:dyDescent="0.2">
      <c r="A703" s="2371"/>
      <c r="B703" s="2210"/>
      <c r="C703" s="2210"/>
      <c r="D703" s="2210"/>
      <c r="E703" s="2372"/>
      <c r="F703" s="1557"/>
      <c r="G703" s="1557"/>
      <c r="H703" s="1557"/>
      <c r="I703" s="1557"/>
      <c r="J703" s="1557"/>
      <c r="K703" s="238" t="s">
        <v>1018</v>
      </c>
      <c r="L703" s="212" t="s">
        <v>122</v>
      </c>
      <c r="M703" s="368">
        <v>2</v>
      </c>
      <c r="N703" s="368">
        <v>2</v>
      </c>
      <c r="O703" s="368">
        <v>2</v>
      </c>
      <c r="P703" s="368">
        <v>2</v>
      </c>
      <c r="Q703" s="623">
        <v>0</v>
      </c>
    </row>
    <row r="704" spans="1:17" s="20" customFormat="1" ht="25.5" x14ac:dyDescent="0.2">
      <c r="A704" s="891"/>
      <c r="B704" s="1312"/>
      <c r="C704" s="851" t="s">
        <v>202</v>
      </c>
      <c r="D704" s="262"/>
      <c r="E704" s="885" t="s">
        <v>266</v>
      </c>
      <c r="F704" s="1567">
        <v>32288.7</v>
      </c>
      <c r="G704" s="1567">
        <v>32296.5</v>
      </c>
      <c r="H704" s="1657">
        <v>42763</v>
      </c>
      <c r="I704" s="1657">
        <v>42763</v>
      </c>
      <c r="J704" s="1657">
        <v>42763</v>
      </c>
      <c r="K704" s="238" t="s">
        <v>1019</v>
      </c>
      <c r="L704" s="212" t="s">
        <v>16</v>
      </c>
      <c r="M704" s="368">
        <v>25</v>
      </c>
      <c r="N704" s="368">
        <v>25</v>
      </c>
      <c r="O704" s="368">
        <v>25</v>
      </c>
      <c r="P704" s="368">
        <v>25</v>
      </c>
      <c r="Q704" s="623">
        <v>0</v>
      </c>
    </row>
    <row r="705" spans="1:17" s="20" customFormat="1" ht="38.25" x14ac:dyDescent="0.2">
      <c r="A705" s="891"/>
      <c r="B705" s="1312"/>
      <c r="C705" s="851" t="s">
        <v>149</v>
      </c>
      <c r="D705" s="262"/>
      <c r="E705" s="414" t="s">
        <v>1020</v>
      </c>
      <c r="F705" s="1567">
        <v>6961.2</v>
      </c>
      <c r="G705" s="1567">
        <v>6969</v>
      </c>
      <c r="H705" s="1567">
        <v>4175.7</v>
      </c>
      <c r="I705" s="1567">
        <v>4175.7</v>
      </c>
      <c r="J705" s="1567">
        <v>4175.7</v>
      </c>
      <c r="K705" s="371" t="s">
        <v>1021</v>
      </c>
      <c r="L705" s="668" t="s">
        <v>16</v>
      </c>
      <c r="M705" s="623">
        <v>93</v>
      </c>
      <c r="N705" s="623">
        <v>93</v>
      </c>
      <c r="O705" s="623">
        <v>93</v>
      </c>
      <c r="P705" s="623">
        <v>93</v>
      </c>
      <c r="Q705" s="623">
        <v>0</v>
      </c>
    </row>
    <row r="706" spans="1:17" s="20" customFormat="1" ht="64.5" customHeight="1" x14ac:dyDescent="0.2">
      <c r="A706" s="891">
        <v>2</v>
      </c>
      <c r="B706" s="1313" t="s">
        <v>131</v>
      </c>
      <c r="C706" s="207"/>
      <c r="D706" s="207"/>
      <c r="E706" s="659" t="s">
        <v>2531</v>
      </c>
      <c r="F706" s="1658">
        <v>61609</v>
      </c>
      <c r="G706" s="1658">
        <v>61609</v>
      </c>
      <c r="H706" s="1658">
        <v>55662.100000000006</v>
      </c>
      <c r="I706" s="1658">
        <v>55662.100000000006</v>
      </c>
      <c r="J706" s="1658">
        <v>55662.100000000006</v>
      </c>
      <c r="K706" s="896"/>
      <c r="L706" s="897"/>
      <c r="M706" s="373"/>
      <c r="N706" s="373"/>
      <c r="O706" s="373"/>
      <c r="P706" s="373"/>
      <c r="Q706" s="579"/>
    </row>
    <row r="707" spans="1:17" s="20" customFormat="1" ht="25.5" x14ac:dyDescent="0.2">
      <c r="A707" s="2371"/>
      <c r="B707" s="2162"/>
      <c r="C707" s="2163" t="s">
        <v>114</v>
      </c>
      <c r="D707" s="2163"/>
      <c r="E707" s="2163" t="s">
        <v>1022</v>
      </c>
      <c r="F707" s="1613">
        <v>24035.599999999999</v>
      </c>
      <c r="G707" s="1613">
        <v>24012.2</v>
      </c>
      <c r="H707" s="1613">
        <v>7187</v>
      </c>
      <c r="I707" s="1613">
        <v>7187</v>
      </c>
      <c r="J707" s="1613">
        <v>7187</v>
      </c>
      <c r="K707" s="222" t="s">
        <v>1023</v>
      </c>
      <c r="L707" s="95" t="s">
        <v>122</v>
      </c>
      <c r="M707" s="374">
        <v>5</v>
      </c>
      <c r="N707" s="374">
        <v>5</v>
      </c>
      <c r="O707" s="374">
        <v>3</v>
      </c>
      <c r="P707" s="374">
        <v>3</v>
      </c>
      <c r="Q707" s="375">
        <v>0</v>
      </c>
    </row>
    <row r="708" spans="1:17" s="20" customFormat="1" ht="12.75" x14ac:dyDescent="0.2">
      <c r="A708" s="2371"/>
      <c r="B708" s="2162"/>
      <c r="C708" s="2163"/>
      <c r="D708" s="2163"/>
      <c r="E708" s="2163"/>
      <c r="F708" s="1549"/>
      <c r="G708" s="1549"/>
      <c r="H708" s="1549"/>
      <c r="I708" s="1549"/>
      <c r="J708" s="1549"/>
      <c r="K708" s="349" t="s">
        <v>1024</v>
      </c>
      <c r="L708" s="95" t="s">
        <v>16</v>
      </c>
      <c r="M708" s="374">
        <v>3</v>
      </c>
      <c r="N708" s="374">
        <v>4</v>
      </c>
      <c r="O708" s="374">
        <v>5</v>
      </c>
      <c r="P708" s="374">
        <v>6</v>
      </c>
      <c r="Q708" s="375">
        <v>0</v>
      </c>
    </row>
    <row r="709" spans="1:17" s="20" customFormat="1" ht="25.5" x14ac:dyDescent="0.2">
      <c r="A709" s="2371"/>
      <c r="B709" s="2161"/>
      <c r="C709" s="2041" t="s">
        <v>116</v>
      </c>
      <c r="D709" s="2041"/>
      <c r="E709" s="2041" t="s">
        <v>1025</v>
      </c>
      <c r="F709" s="1613">
        <v>33461.5</v>
      </c>
      <c r="G709" s="1613">
        <v>33469.300000000003</v>
      </c>
      <c r="H709" s="1613"/>
      <c r="I709" s="1613"/>
      <c r="J709" s="1613"/>
      <c r="K709" s="222" t="s">
        <v>1026</v>
      </c>
      <c r="L709" s="95" t="s">
        <v>122</v>
      </c>
      <c r="M709" s="374">
        <v>23</v>
      </c>
      <c r="N709" s="374">
        <v>2</v>
      </c>
      <c r="O709" s="374">
        <v>2</v>
      </c>
      <c r="P709" s="374">
        <v>2</v>
      </c>
      <c r="Q709" s="375">
        <v>0</v>
      </c>
    </row>
    <row r="710" spans="1:17" s="20" customFormat="1" ht="25.5" x14ac:dyDescent="0.2">
      <c r="A710" s="2371"/>
      <c r="B710" s="2161"/>
      <c r="C710" s="2041"/>
      <c r="D710" s="2041"/>
      <c r="E710" s="2041"/>
      <c r="F710" s="1550"/>
      <c r="G710" s="1550"/>
      <c r="H710" s="1550">
        <v>29019.8</v>
      </c>
      <c r="I710" s="1550">
        <v>29019.8</v>
      </c>
      <c r="J710" s="1550">
        <v>29019.8</v>
      </c>
      <c r="K710" s="221" t="s">
        <v>1027</v>
      </c>
      <c r="L710" s="95" t="s">
        <v>122</v>
      </c>
      <c r="M710" s="374">
        <v>12</v>
      </c>
      <c r="N710" s="374">
        <v>18</v>
      </c>
      <c r="O710" s="374">
        <v>10</v>
      </c>
      <c r="P710" s="374">
        <v>10</v>
      </c>
      <c r="Q710" s="375">
        <v>0</v>
      </c>
    </row>
    <row r="711" spans="1:17" s="20" customFormat="1" ht="38.25" x14ac:dyDescent="0.2">
      <c r="A711" s="2371"/>
      <c r="B711" s="2161"/>
      <c r="C711" s="2041"/>
      <c r="D711" s="2041"/>
      <c r="E711" s="2041"/>
      <c r="F711" s="1550"/>
      <c r="G711" s="1550"/>
      <c r="H711" s="1550"/>
      <c r="I711" s="1550"/>
      <c r="J711" s="1550"/>
      <c r="K711" s="221" t="s">
        <v>1028</v>
      </c>
      <c r="L711" s="95" t="s">
        <v>122</v>
      </c>
      <c r="M711" s="374">
        <v>500</v>
      </c>
      <c r="N711" s="374">
        <v>500</v>
      </c>
      <c r="O711" s="374">
        <v>500</v>
      </c>
      <c r="P711" s="374">
        <v>500</v>
      </c>
      <c r="Q711" s="375">
        <v>0</v>
      </c>
    </row>
    <row r="712" spans="1:17" s="20" customFormat="1" ht="25.5" x14ac:dyDescent="0.2">
      <c r="A712" s="2371"/>
      <c r="B712" s="2161"/>
      <c r="C712" s="2041"/>
      <c r="D712" s="2041"/>
      <c r="E712" s="2041"/>
      <c r="F712" s="1550"/>
      <c r="G712" s="1550"/>
      <c r="H712" s="1550"/>
      <c r="I712" s="1550"/>
      <c r="J712" s="1550"/>
      <c r="K712" s="222" t="s">
        <v>1029</v>
      </c>
      <c r="L712" s="95" t="s">
        <v>122</v>
      </c>
      <c r="M712" s="374">
        <v>49</v>
      </c>
      <c r="N712" s="374">
        <v>25</v>
      </c>
      <c r="O712" s="374">
        <v>26</v>
      </c>
      <c r="P712" s="374">
        <v>100</v>
      </c>
      <c r="Q712" s="375">
        <v>0</v>
      </c>
    </row>
    <row r="713" spans="1:17" s="20" customFormat="1" ht="25.5" x14ac:dyDescent="0.2">
      <c r="A713" s="2371"/>
      <c r="B713" s="2161"/>
      <c r="C713" s="2041"/>
      <c r="D713" s="2041"/>
      <c r="E713" s="2041"/>
      <c r="F713" s="1550"/>
      <c r="G713" s="1550"/>
      <c r="H713" s="1550"/>
      <c r="I713" s="1550"/>
      <c r="J713" s="1550"/>
      <c r="K713" s="222" t="s">
        <v>1030</v>
      </c>
      <c r="L713" s="95" t="s">
        <v>16</v>
      </c>
      <c r="M713" s="374">
        <v>10</v>
      </c>
      <c r="N713" s="374">
        <v>10</v>
      </c>
      <c r="O713" s="374">
        <v>10</v>
      </c>
      <c r="P713" s="374">
        <v>10</v>
      </c>
      <c r="Q713" s="375">
        <v>0</v>
      </c>
    </row>
    <row r="714" spans="1:17" s="20" customFormat="1" ht="38.25" x14ac:dyDescent="0.2">
      <c r="A714" s="2371"/>
      <c r="B714" s="2161"/>
      <c r="C714" s="2041"/>
      <c r="D714" s="2041"/>
      <c r="E714" s="2041"/>
      <c r="F714" s="1550"/>
      <c r="G714" s="1550"/>
      <c r="H714" s="1550"/>
      <c r="I714" s="1550"/>
      <c r="J714" s="1550"/>
      <c r="K714" s="221" t="s">
        <v>1031</v>
      </c>
      <c r="L714" s="374" t="s">
        <v>160</v>
      </c>
      <c r="M714" s="374">
        <v>2</v>
      </c>
      <c r="N714" s="374">
        <v>2</v>
      </c>
      <c r="O714" s="374">
        <v>2</v>
      </c>
      <c r="P714" s="374">
        <v>2</v>
      </c>
      <c r="Q714" s="375">
        <v>0</v>
      </c>
    </row>
    <row r="715" spans="1:17" s="20" customFormat="1" ht="12.75" x14ac:dyDescent="0.2">
      <c r="A715" s="2371"/>
      <c r="B715" s="2161"/>
      <c r="C715" s="2041"/>
      <c r="D715" s="2041"/>
      <c r="E715" s="2041"/>
      <c r="F715" s="1550"/>
      <c r="G715" s="1550"/>
      <c r="H715" s="1550"/>
      <c r="I715" s="1550"/>
      <c r="J715" s="1550"/>
      <c r="K715" s="222" t="s">
        <v>1032</v>
      </c>
      <c r="L715" s="374" t="s">
        <v>160</v>
      </c>
      <c r="M715" s="374">
        <v>2</v>
      </c>
      <c r="N715" s="374">
        <v>2</v>
      </c>
      <c r="O715" s="374">
        <v>2</v>
      </c>
      <c r="P715" s="374">
        <v>0</v>
      </c>
      <c r="Q715" s="375">
        <v>0</v>
      </c>
    </row>
    <row r="716" spans="1:17" s="20" customFormat="1" ht="12.75" x14ac:dyDescent="0.2">
      <c r="A716" s="2371"/>
      <c r="B716" s="2161"/>
      <c r="C716" s="2041"/>
      <c r="D716" s="2041"/>
      <c r="E716" s="2041"/>
      <c r="F716" s="1550"/>
      <c r="G716" s="1550"/>
      <c r="H716" s="1550"/>
      <c r="I716" s="1550"/>
      <c r="J716" s="1550"/>
      <c r="K716" s="222" t="s">
        <v>1033</v>
      </c>
      <c r="L716" s="374" t="s">
        <v>16</v>
      </c>
      <c r="M716" s="376" t="s">
        <v>1034</v>
      </c>
      <c r="N716" s="376" t="s">
        <v>1034</v>
      </c>
      <c r="O716" s="376" t="s">
        <v>1034</v>
      </c>
      <c r="P716" s="376" t="s">
        <v>1034</v>
      </c>
      <c r="Q716" s="375">
        <v>0</v>
      </c>
    </row>
    <row r="717" spans="1:17" s="20" customFormat="1" ht="25.5" x14ac:dyDescent="0.2">
      <c r="A717" s="2371"/>
      <c r="B717" s="2161"/>
      <c r="C717" s="2041"/>
      <c r="D717" s="2041"/>
      <c r="E717" s="2041"/>
      <c r="F717" s="1550"/>
      <c r="G717" s="1550"/>
      <c r="H717" s="1550"/>
      <c r="I717" s="1550"/>
      <c r="J717" s="1550"/>
      <c r="K717" s="222" t="s">
        <v>1035</v>
      </c>
      <c r="L717" s="95" t="s">
        <v>122</v>
      </c>
      <c r="M717" s="377">
        <v>4</v>
      </c>
      <c r="N717" s="377">
        <v>4</v>
      </c>
      <c r="O717" s="377">
        <v>4</v>
      </c>
      <c r="P717" s="377">
        <v>4</v>
      </c>
      <c r="Q717" s="378">
        <v>0</v>
      </c>
    </row>
    <row r="718" spans="1:17" s="20" customFormat="1" ht="25.5" x14ac:dyDescent="0.2">
      <c r="A718" s="2371"/>
      <c r="B718" s="2161"/>
      <c r="C718" s="2041"/>
      <c r="D718" s="2041"/>
      <c r="E718" s="2041"/>
      <c r="F718" s="1550"/>
      <c r="G718" s="1550"/>
      <c r="H718" s="1550"/>
      <c r="I718" s="1550"/>
      <c r="J718" s="1550"/>
      <c r="K718" s="222" t="s">
        <v>1036</v>
      </c>
      <c r="L718" s="95" t="s">
        <v>122</v>
      </c>
      <c r="M718" s="374">
        <v>1</v>
      </c>
      <c r="N718" s="374">
        <v>1</v>
      </c>
      <c r="O718" s="374">
        <v>1</v>
      </c>
      <c r="P718" s="374">
        <v>2</v>
      </c>
      <c r="Q718" s="375">
        <v>0</v>
      </c>
    </row>
    <row r="719" spans="1:17" s="20" customFormat="1" ht="25.5" x14ac:dyDescent="0.2">
      <c r="A719" s="2371"/>
      <c r="B719" s="2161"/>
      <c r="C719" s="2041"/>
      <c r="D719" s="2041"/>
      <c r="E719" s="2041"/>
      <c r="F719" s="1549"/>
      <c r="G719" s="1549"/>
      <c r="H719" s="1549"/>
      <c r="I719" s="1549"/>
      <c r="J719" s="1549"/>
      <c r="K719" s="372" t="s">
        <v>1037</v>
      </c>
      <c r="L719" s="374" t="s">
        <v>160</v>
      </c>
      <c r="M719" s="374">
        <v>3</v>
      </c>
      <c r="N719" s="374">
        <v>1</v>
      </c>
      <c r="O719" s="374">
        <v>1</v>
      </c>
      <c r="P719" s="374">
        <v>0</v>
      </c>
      <c r="Q719" s="375">
        <v>0</v>
      </c>
    </row>
    <row r="720" spans="1:17" s="20" customFormat="1" ht="25.5" x14ac:dyDescent="0.2">
      <c r="A720" s="2371"/>
      <c r="B720" s="2164"/>
      <c r="C720" s="1847" t="s">
        <v>119</v>
      </c>
      <c r="D720" s="1847"/>
      <c r="E720" s="1847" t="s">
        <v>1038</v>
      </c>
      <c r="F720" s="1613">
        <v>1277.4000000000001</v>
      </c>
      <c r="G720" s="1613">
        <v>1285.2</v>
      </c>
      <c r="H720" s="1613"/>
      <c r="I720" s="1613"/>
      <c r="J720" s="1613"/>
      <c r="K720" s="349" t="s">
        <v>1039</v>
      </c>
      <c r="L720" s="374" t="s">
        <v>16</v>
      </c>
      <c r="M720" s="380">
        <v>50</v>
      </c>
      <c r="N720" s="380">
        <v>100</v>
      </c>
      <c r="O720" s="380">
        <v>100</v>
      </c>
      <c r="P720" s="380">
        <v>100</v>
      </c>
      <c r="Q720" s="381">
        <v>0</v>
      </c>
    </row>
    <row r="721" spans="1:17" s="20" customFormat="1" ht="25.5" x14ac:dyDescent="0.2">
      <c r="A721" s="2371"/>
      <c r="B721" s="2164"/>
      <c r="C721" s="1847"/>
      <c r="D721" s="1847"/>
      <c r="E721" s="1847"/>
      <c r="F721" s="1549"/>
      <c r="G721" s="1549"/>
      <c r="H721" s="1549">
        <v>19455.3</v>
      </c>
      <c r="I721" s="1549">
        <v>19455.3</v>
      </c>
      <c r="J721" s="1549">
        <v>19455.3</v>
      </c>
      <c r="K721" s="222" t="s">
        <v>1040</v>
      </c>
      <c r="L721" s="382" t="s">
        <v>16</v>
      </c>
      <c r="M721" s="382">
        <v>4</v>
      </c>
      <c r="N721" s="382">
        <v>6</v>
      </c>
      <c r="O721" s="382">
        <v>30</v>
      </c>
      <c r="P721" s="382">
        <v>50</v>
      </c>
      <c r="Q721" s="76">
        <v>0</v>
      </c>
    </row>
    <row r="722" spans="1:17" s="20" customFormat="1" ht="38.25" x14ac:dyDescent="0.2">
      <c r="A722" s="2371"/>
      <c r="B722" s="2165"/>
      <c r="C722" s="2166" t="s">
        <v>124</v>
      </c>
      <c r="D722" s="2166"/>
      <c r="E722" s="2166" t="s">
        <v>1041</v>
      </c>
      <c r="F722" s="1613">
        <v>2834.5</v>
      </c>
      <c r="G722" s="1613">
        <v>2842.3</v>
      </c>
      <c r="H722" s="1613">
        <v>0</v>
      </c>
      <c r="I722" s="1613">
        <v>0</v>
      </c>
      <c r="J722" s="1613">
        <v>0</v>
      </c>
      <c r="K722" s="371" t="s">
        <v>1042</v>
      </c>
      <c r="L722" s="382" t="s">
        <v>160</v>
      </c>
      <c r="M722" s="373">
        <v>1</v>
      </c>
      <c r="N722" s="373">
        <v>1</v>
      </c>
      <c r="O722" s="373">
        <v>1</v>
      </c>
      <c r="P722" s="373">
        <v>1</v>
      </c>
      <c r="Q722" s="383">
        <v>0</v>
      </c>
    </row>
    <row r="723" spans="1:17" s="20" customFormat="1" ht="12.75" x14ac:dyDescent="0.2">
      <c r="A723" s="2371"/>
      <c r="B723" s="2165"/>
      <c r="C723" s="2166"/>
      <c r="D723" s="2166"/>
      <c r="E723" s="2166"/>
      <c r="F723" s="1549"/>
      <c r="G723" s="1549"/>
      <c r="H723" s="1549"/>
      <c r="I723" s="1549"/>
      <c r="J723" s="1549"/>
      <c r="K723" s="371"/>
      <c r="L723" s="382"/>
      <c r="M723" s="385"/>
      <c r="N723" s="385"/>
      <c r="O723" s="385"/>
      <c r="P723" s="385"/>
      <c r="Q723" s="386"/>
    </row>
    <row r="724" spans="1:17" s="20" customFormat="1" ht="74.25" customHeight="1" x14ac:dyDescent="0.2">
      <c r="A724" s="891">
        <v>3</v>
      </c>
      <c r="B724" s="1313" t="s">
        <v>155</v>
      </c>
      <c r="C724" s="372"/>
      <c r="D724" s="372"/>
      <c r="E724" s="898" t="s">
        <v>2532</v>
      </c>
      <c r="F724" s="1652">
        <v>3059.8999999999996</v>
      </c>
      <c r="G724" s="1652">
        <v>3059.8999999999996</v>
      </c>
      <c r="H724" s="1652">
        <v>4592.3999999999996</v>
      </c>
      <c r="I724" s="1652">
        <v>4592.3999999999996</v>
      </c>
      <c r="J724" s="1652">
        <v>4592.3999999999996</v>
      </c>
      <c r="K724" s="899"/>
      <c r="L724" s="624"/>
      <c r="M724" s="382"/>
      <c r="N724" s="382"/>
      <c r="O724" s="382"/>
      <c r="P724" s="387"/>
      <c r="Q724" s="76"/>
    </row>
    <row r="725" spans="1:17" s="20" customFormat="1" ht="25.5" x14ac:dyDescent="0.2">
      <c r="A725" s="891"/>
      <c r="B725" s="1312"/>
      <c r="C725" s="851" t="s">
        <v>114</v>
      </c>
      <c r="D725" s="900"/>
      <c r="E725" s="901" t="s">
        <v>1043</v>
      </c>
      <c r="F725" s="1568">
        <v>1860.1</v>
      </c>
      <c r="G725" s="1568">
        <v>1852.3</v>
      </c>
      <c r="H725" s="1568">
        <v>2821.3</v>
      </c>
      <c r="I725" s="1568">
        <v>2821.3</v>
      </c>
      <c r="J725" s="1568">
        <v>2821.3</v>
      </c>
      <c r="K725" s="902" t="s">
        <v>1044</v>
      </c>
      <c r="L725" s="95" t="s">
        <v>122</v>
      </c>
      <c r="M725" s="388" t="s">
        <v>0</v>
      </c>
      <c r="N725" s="388">
        <v>0</v>
      </c>
      <c r="O725" s="388">
        <v>1</v>
      </c>
      <c r="P725" s="389">
        <v>0</v>
      </c>
      <c r="Q725" s="76">
        <v>0</v>
      </c>
    </row>
    <row r="726" spans="1:17" s="20" customFormat="1" ht="30" customHeight="1" x14ac:dyDescent="0.2">
      <c r="A726" s="903"/>
      <c r="B726" s="1312"/>
      <c r="C726" s="581" t="s">
        <v>116</v>
      </c>
      <c r="D726" s="669"/>
      <c r="E726" s="901" t="s">
        <v>1045</v>
      </c>
      <c r="F726" s="1567">
        <v>1199.8</v>
      </c>
      <c r="G726" s="1567">
        <v>1207.5999999999999</v>
      </c>
      <c r="H726" s="1567">
        <v>1771.1</v>
      </c>
      <c r="I726" s="1567">
        <v>1771.1</v>
      </c>
      <c r="J726" s="1567">
        <v>1771.1</v>
      </c>
      <c r="K726" s="902" t="s">
        <v>1046</v>
      </c>
      <c r="L726" s="95" t="s">
        <v>122</v>
      </c>
      <c r="M726" s="388">
        <v>4</v>
      </c>
      <c r="N726" s="388">
        <v>4</v>
      </c>
      <c r="O726" s="388">
        <v>4</v>
      </c>
      <c r="P726" s="389">
        <v>4</v>
      </c>
      <c r="Q726" s="76">
        <v>0</v>
      </c>
    </row>
    <row r="727" spans="1:17" ht="31.5" customHeight="1" x14ac:dyDescent="0.2">
      <c r="A727" s="2389" t="s">
        <v>68</v>
      </c>
      <c r="B727" s="2389"/>
      <c r="C727" s="2389"/>
      <c r="D727" s="2389"/>
      <c r="E727" s="2389"/>
      <c r="F727" s="1610">
        <v>130244.5</v>
      </c>
      <c r="G727" s="1610">
        <v>130363.9</v>
      </c>
      <c r="H727" s="1610">
        <v>137344.69999999998</v>
      </c>
      <c r="I727" s="1610">
        <v>137344.69999999998</v>
      </c>
      <c r="J727" s="1610">
        <v>137344.69999999998</v>
      </c>
      <c r="K727" s="588"/>
      <c r="L727" s="615"/>
      <c r="M727" s="615"/>
      <c r="N727" s="615"/>
      <c r="O727" s="390"/>
      <c r="P727" s="615"/>
      <c r="Q727" s="615"/>
    </row>
    <row r="728" spans="1:17" s="51" customFormat="1" ht="30" customHeight="1" x14ac:dyDescent="0.2">
      <c r="A728" s="678" t="s">
        <v>1047</v>
      </c>
      <c r="B728" s="2445" t="s">
        <v>1047</v>
      </c>
      <c r="C728" s="2445"/>
      <c r="D728" s="2445"/>
      <c r="E728" s="2445"/>
      <c r="F728" s="2445"/>
      <c r="G728" s="2445"/>
      <c r="H728" s="2445"/>
      <c r="I728" s="2445"/>
      <c r="J728" s="2445"/>
      <c r="K728" s="678"/>
      <c r="L728" s="678"/>
      <c r="M728" s="678"/>
      <c r="N728" s="678"/>
      <c r="O728" s="678"/>
      <c r="P728" s="678"/>
      <c r="Q728" s="678"/>
    </row>
    <row r="729" spans="1:17" s="51" customFormat="1" ht="51" x14ac:dyDescent="0.2">
      <c r="A729" s="392"/>
      <c r="B729" s="1333" t="s">
        <v>111</v>
      </c>
      <c r="C729" s="1333"/>
      <c r="D729" s="1333"/>
      <c r="E729" s="127" t="s">
        <v>2754</v>
      </c>
      <c r="F729" s="1338">
        <v>560436.6</v>
      </c>
      <c r="G729" s="1338">
        <v>586066.4</v>
      </c>
      <c r="H729" s="1338">
        <f>H730+H731+H732+H733</f>
        <v>679922.7</v>
      </c>
      <c r="I729" s="1338">
        <v>671750.1</v>
      </c>
      <c r="J729" s="1338">
        <v>672006.6</v>
      </c>
      <c r="K729" s="1314"/>
      <c r="L729" s="410"/>
      <c r="M729" s="410"/>
      <c r="N729" s="410"/>
      <c r="O729" s="410"/>
      <c r="P729" s="410"/>
      <c r="Q729" s="715"/>
    </row>
    <row r="730" spans="1:17" s="51" customFormat="1" ht="12.75" x14ac:dyDescent="0.2">
      <c r="A730" s="392"/>
      <c r="B730" s="651"/>
      <c r="C730" s="651" t="s">
        <v>114</v>
      </c>
      <c r="D730" s="651">
        <v>0</v>
      </c>
      <c r="E730" s="40" t="s">
        <v>257</v>
      </c>
      <c r="F730" s="1339">
        <v>49942.7</v>
      </c>
      <c r="G730" s="1339">
        <v>50382.6</v>
      </c>
      <c r="H730" s="1339">
        <f>56699.8+128.6</f>
        <v>56828.4</v>
      </c>
      <c r="I730" s="1339">
        <v>56699.799999999996</v>
      </c>
      <c r="J730" s="1339">
        <v>56699.799999999996</v>
      </c>
      <c r="K730" s="1314"/>
      <c r="L730" s="410"/>
      <c r="M730" s="410"/>
      <c r="N730" s="410"/>
      <c r="O730" s="410"/>
      <c r="P730" s="410"/>
      <c r="Q730" s="715"/>
    </row>
    <row r="731" spans="1:17" s="51" customFormat="1" ht="12.75" x14ac:dyDescent="0.2">
      <c r="A731" s="392"/>
      <c r="B731" s="651"/>
      <c r="C731" s="651" t="s">
        <v>116</v>
      </c>
      <c r="D731" s="651">
        <v>1</v>
      </c>
      <c r="E731" s="40" t="s">
        <v>1048</v>
      </c>
      <c r="F731" s="1339">
        <v>19386</v>
      </c>
      <c r="G731" s="1339">
        <v>11826.8</v>
      </c>
      <c r="H731" s="1339">
        <v>14097.8</v>
      </c>
      <c r="I731" s="1339">
        <v>14057.8</v>
      </c>
      <c r="J731" s="1339">
        <v>14057.8</v>
      </c>
      <c r="K731" s="1314"/>
      <c r="L731" s="410"/>
      <c r="M731" s="410"/>
      <c r="N731" s="410"/>
      <c r="O731" s="591"/>
      <c r="P731" s="591"/>
      <c r="Q731" s="715"/>
    </row>
    <row r="732" spans="1:17" s="51" customFormat="1" ht="63.75" x14ac:dyDescent="0.2">
      <c r="A732" s="392"/>
      <c r="B732" s="651"/>
      <c r="C732" s="651" t="s">
        <v>119</v>
      </c>
      <c r="D732" s="651">
        <v>0</v>
      </c>
      <c r="E732" s="40" t="s">
        <v>1049</v>
      </c>
      <c r="F732" s="1339">
        <v>17706.5</v>
      </c>
      <c r="G732" s="1339">
        <v>22577.8</v>
      </c>
      <c r="H732" s="1339">
        <f>28222.5+47.1</f>
        <v>28269.599999999999</v>
      </c>
      <c r="I732" s="1339">
        <v>28222.5</v>
      </c>
      <c r="J732" s="1339">
        <v>28479</v>
      </c>
      <c r="K732" s="410"/>
      <c r="L732" s="410"/>
      <c r="M732" s="410"/>
      <c r="N732" s="410"/>
      <c r="O732" s="410"/>
      <c r="P732" s="410"/>
      <c r="Q732" s="715"/>
    </row>
    <row r="733" spans="1:17" s="51" customFormat="1" ht="71.25" customHeight="1" x14ac:dyDescent="0.2">
      <c r="A733" s="392"/>
      <c r="B733" s="651"/>
      <c r="C733" s="651" t="s">
        <v>124</v>
      </c>
      <c r="D733" s="651">
        <v>0</v>
      </c>
      <c r="E733" s="40" t="s">
        <v>1050</v>
      </c>
      <c r="F733" s="1340">
        <v>473401.4</v>
      </c>
      <c r="G733" s="1340">
        <v>501279.2</v>
      </c>
      <c r="H733" s="1340">
        <f>572770+7956.9</f>
        <v>580726.9</v>
      </c>
      <c r="I733" s="1340">
        <v>572770</v>
      </c>
      <c r="J733" s="1340">
        <v>572770</v>
      </c>
      <c r="K733" s="591"/>
      <c r="L733" s="410"/>
      <c r="M733" s="410"/>
      <c r="N733" s="410"/>
      <c r="O733" s="410"/>
      <c r="P733" s="410"/>
      <c r="Q733" s="410"/>
    </row>
    <row r="734" spans="1:17" s="51" customFormat="1" ht="144.75" customHeight="1" x14ac:dyDescent="0.2">
      <c r="A734" s="392"/>
      <c r="B734" s="1333" t="s">
        <v>131</v>
      </c>
      <c r="C734" s="1333"/>
      <c r="D734" s="1333"/>
      <c r="E734" s="127" t="s">
        <v>2755</v>
      </c>
      <c r="F734" s="1338">
        <v>7655714.2999999989</v>
      </c>
      <c r="G734" s="1338">
        <v>7539177.2000000002</v>
      </c>
      <c r="H734" s="1338">
        <f>H735+H738+H742+H744+H745+H747+H748</f>
        <v>7484062.2999999998</v>
      </c>
      <c r="I734" s="1338">
        <v>7693245</v>
      </c>
      <c r="J734" s="1338">
        <v>7806124.7999999989</v>
      </c>
      <c r="K734" s="1314"/>
      <c r="L734" s="410"/>
      <c r="M734" s="410"/>
      <c r="N734" s="410"/>
      <c r="O734" s="410"/>
      <c r="P734" s="410"/>
      <c r="Q734" s="410"/>
    </row>
    <row r="735" spans="1:17" s="51" customFormat="1" ht="38.25" customHeight="1" x14ac:dyDescent="0.2">
      <c r="A735" s="392"/>
      <c r="B735" s="2388"/>
      <c r="C735" s="2388" t="s">
        <v>114</v>
      </c>
      <c r="D735" s="2388" t="s">
        <v>1052</v>
      </c>
      <c r="E735" s="2041" t="s">
        <v>1053</v>
      </c>
      <c r="F735" s="2156">
        <v>4161907.8</v>
      </c>
      <c r="G735" s="2156">
        <v>4068747.3</v>
      </c>
      <c r="H735" s="2156">
        <f>4196904.7-462800</f>
        <v>3734104.7</v>
      </c>
      <c r="I735" s="2156">
        <v>3943287.4</v>
      </c>
      <c r="J735" s="2156">
        <v>4056167.1999999997</v>
      </c>
      <c r="K735" s="40" t="s">
        <v>2665</v>
      </c>
      <c r="L735" s="410" t="s">
        <v>612</v>
      </c>
      <c r="M735" s="1315">
        <v>4000</v>
      </c>
      <c r="N735" s="1315">
        <v>4000</v>
      </c>
      <c r="O735" s="1315">
        <v>4000</v>
      </c>
      <c r="P735" s="1315">
        <v>4000</v>
      </c>
      <c r="Q735" s="1316">
        <v>4000</v>
      </c>
    </row>
    <row r="736" spans="1:17" s="51" customFormat="1" ht="38.25" x14ac:dyDescent="0.2">
      <c r="A736" s="392"/>
      <c r="B736" s="2101"/>
      <c r="C736" s="2101"/>
      <c r="D736" s="2101"/>
      <c r="E736" s="2041"/>
      <c r="F736" s="2158"/>
      <c r="G736" s="2158"/>
      <c r="H736" s="2158"/>
      <c r="I736" s="2158"/>
      <c r="J736" s="2158"/>
      <c r="K736" s="40" t="s">
        <v>2666</v>
      </c>
      <c r="L736" s="410" t="s">
        <v>16</v>
      </c>
      <c r="M736" s="715" t="s">
        <v>1055</v>
      </c>
      <c r="N736" s="1317">
        <v>100</v>
      </c>
      <c r="O736" s="1317">
        <v>100</v>
      </c>
      <c r="P736" s="1317">
        <v>100</v>
      </c>
      <c r="Q736" s="1316">
        <v>100</v>
      </c>
    </row>
    <row r="737" spans="1:23" s="51" customFormat="1" ht="25.5" x14ac:dyDescent="0.2">
      <c r="A737" s="392"/>
      <c r="B737" s="2101"/>
      <c r="C737" s="2101"/>
      <c r="D737" s="2102"/>
      <c r="E737" s="2041"/>
      <c r="F737" s="2157"/>
      <c r="G737" s="2157"/>
      <c r="H737" s="2157"/>
      <c r="I737" s="2157"/>
      <c r="J737" s="2157"/>
      <c r="K737" s="40" t="s">
        <v>2667</v>
      </c>
      <c r="L737" s="410" t="s">
        <v>16</v>
      </c>
      <c r="M737" s="1315" t="s">
        <v>1057</v>
      </c>
      <c r="N737" s="1317">
        <v>100</v>
      </c>
      <c r="O737" s="1317">
        <v>100</v>
      </c>
      <c r="P737" s="1317">
        <v>110</v>
      </c>
      <c r="Q737" s="1318">
        <v>100</v>
      </c>
    </row>
    <row r="738" spans="1:23" s="51" customFormat="1" ht="25.5" customHeight="1" x14ac:dyDescent="0.2">
      <c r="A738" s="392"/>
      <c r="B738" s="2388"/>
      <c r="C738" s="2388" t="s">
        <v>116</v>
      </c>
      <c r="D738" s="2388" t="s">
        <v>1052</v>
      </c>
      <c r="E738" s="1747" t="s">
        <v>2652</v>
      </c>
      <c r="F738" s="1917">
        <v>3465583.8000000003</v>
      </c>
      <c r="G738" s="1917">
        <v>3438667.7</v>
      </c>
      <c r="H738" s="1917">
        <v>3709709</v>
      </c>
      <c r="I738" s="1917">
        <v>3709709</v>
      </c>
      <c r="J738" s="1917">
        <v>3709709</v>
      </c>
      <c r="K738" s="586" t="s">
        <v>2668</v>
      </c>
      <c r="L738" s="410" t="s">
        <v>16</v>
      </c>
      <c r="M738" s="63">
        <v>224.7</v>
      </c>
      <c r="N738" s="63">
        <v>224.7</v>
      </c>
      <c r="O738" s="63">
        <v>224.7</v>
      </c>
      <c r="P738" s="63">
        <v>224.7</v>
      </c>
      <c r="Q738" s="410">
        <v>224.7</v>
      </c>
    </row>
    <row r="739" spans="1:23" s="51" customFormat="1" ht="25.5" x14ac:dyDescent="0.2">
      <c r="A739" s="392"/>
      <c r="B739" s="2101"/>
      <c r="C739" s="2101"/>
      <c r="D739" s="2101"/>
      <c r="E739" s="1810"/>
      <c r="F739" s="2159"/>
      <c r="G739" s="2159"/>
      <c r="H739" s="2159"/>
      <c r="I739" s="2159"/>
      <c r="J739" s="2159"/>
      <c r="K739" s="586" t="s">
        <v>2623</v>
      </c>
      <c r="L739" s="410" t="s">
        <v>16</v>
      </c>
      <c r="M739" s="63" t="s">
        <v>1058</v>
      </c>
      <c r="N739" s="63" t="s">
        <v>1058</v>
      </c>
      <c r="O739" s="63" t="s">
        <v>1058</v>
      </c>
      <c r="P739" s="63" t="s">
        <v>1058</v>
      </c>
      <c r="Q739" s="249" t="s">
        <v>1058</v>
      </c>
    </row>
    <row r="740" spans="1:23" s="51" customFormat="1" ht="25.5" x14ac:dyDescent="0.2">
      <c r="A740" s="392"/>
      <c r="B740" s="2101"/>
      <c r="C740" s="2101"/>
      <c r="D740" s="2101"/>
      <c r="E740" s="1810"/>
      <c r="F740" s="2159"/>
      <c r="G740" s="2159"/>
      <c r="H740" s="2159"/>
      <c r="I740" s="2159"/>
      <c r="J740" s="2159"/>
      <c r="K740" s="586" t="s">
        <v>2669</v>
      </c>
      <c r="L740" s="410" t="s">
        <v>16</v>
      </c>
      <c r="M740" s="63">
        <v>56.2</v>
      </c>
      <c r="N740" s="63">
        <v>56.2</v>
      </c>
      <c r="O740" s="63">
        <v>56.2</v>
      </c>
      <c r="P740" s="63">
        <v>56.2</v>
      </c>
      <c r="Q740" s="1319">
        <v>56.2</v>
      </c>
    </row>
    <row r="741" spans="1:23" s="51" customFormat="1" ht="38.25" x14ac:dyDescent="0.2">
      <c r="A741" s="392"/>
      <c r="B741" s="2102"/>
      <c r="C741" s="2102"/>
      <c r="D741" s="2102"/>
      <c r="E741" s="1748"/>
      <c r="F741" s="2155"/>
      <c r="G741" s="2155"/>
      <c r="H741" s="2155"/>
      <c r="I741" s="2155"/>
      <c r="J741" s="2155"/>
      <c r="K741" s="586" t="s">
        <v>2670</v>
      </c>
      <c r="L741" s="591" t="s">
        <v>2624</v>
      </c>
      <c r="M741" s="63">
        <v>37</v>
      </c>
      <c r="N741" s="63">
        <v>37</v>
      </c>
      <c r="O741" s="63">
        <v>37</v>
      </c>
      <c r="P741" s="63">
        <v>37</v>
      </c>
      <c r="Q741" s="1319">
        <v>37</v>
      </c>
    </row>
    <row r="742" spans="1:23" s="51" customFormat="1" ht="25.5" customHeight="1" x14ac:dyDescent="0.2">
      <c r="A742" s="392"/>
      <c r="B742" s="2388"/>
      <c r="C742" s="2388" t="s">
        <v>119</v>
      </c>
      <c r="D742" s="2388">
        <v>1</v>
      </c>
      <c r="E742" s="2390" t="s">
        <v>1059</v>
      </c>
      <c r="F742" s="2156">
        <v>19138.5</v>
      </c>
      <c r="G742" s="2156">
        <v>18500</v>
      </c>
      <c r="H742" s="2156">
        <v>18500</v>
      </c>
      <c r="I742" s="2156">
        <v>18500</v>
      </c>
      <c r="J742" s="2156">
        <v>18500</v>
      </c>
      <c r="K742" s="40" t="s">
        <v>2625</v>
      </c>
      <c r="L742" s="591" t="s">
        <v>2627</v>
      </c>
      <c r="M742" s="1316">
        <v>7</v>
      </c>
      <c r="N742" s="1316">
        <v>7</v>
      </c>
      <c r="O742" s="1316">
        <v>7</v>
      </c>
      <c r="P742" s="1316">
        <v>7</v>
      </c>
      <c r="Q742" s="1320">
        <v>7</v>
      </c>
    </row>
    <row r="743" spans="1:23" s="51" customFormat="1" ht="53.25" customHeight="1" x14ac:dyDescent="0.2">
      <c r="A743" s="392"/>
      <c r="B743" s="2102"/>
      <c r="C743" s="2102"/>
      <c r="D743" s="2102"/>
      <c r="E743" s="2391"/>
      <c r="F743" s="2157"/>
      <c r="G743" s="2157"/>
      <c r="H743" s="2157"/>
      <c r="I743" s="2157"/>
      <c r="J743" s="2157"/>
      <c r="K743" s="40" t="s">
        <v>2626</v>
      </c>
      <c r="L743" s="591" t="s">
        <v>2627</v>
      </c>
      <c r="M743" s="1316">
        <v>15</v>
      </c>
      <c r="N743" s="1316">
        <v>12</v>
      </c>
      <c r="O743" s="1316">
        <v>12</v>
      </c>
      <c r="P743" s="1316">
        <v>12</v>
      </c>
      <c r="Q743" s="1321">
        <v>12</v>
      </c>
    </row>
    <row r="744" spans="1:23" s="51" customFormat="1" ht="25.5" x14ac:dyDescent="0.2">
      <c r="A744" s="392"/>
      <c r="B744" s="676"/>
      <c r="C744" s="676" t="s">
        <v>124</v>
      </c>
      <c r="D744" s="676">
        <v>1</v>
      </c>
      <c r="E744" s="1331" t="s">
        <v>2653</v>
      </c>
      <c r="F744" s="1341">
        <v>1234.7</v>
      </c>
      <c r="G744" s="1341">
        <v>2600</v>
      </c>
      <c r="H744" s="1341">
        <v>2500</v>
      </c>
      <c r="I744" s="1341">
        <v>2500</v>
      </c>
      <c r="J744" s="1341">
        <v>2500</v>
      </c>
      <c r="K744" s="40" t="s">
        <v>2671</v>
      </c>
      <c r="L744" s="591" t="s">
        <v>115</v>
      </c>
      <c r="M744" s="1316">
        <v>106</v>
      </c>
      <c r="N744" s="1316">
        <v>100</v>
      </c>
      <c r="O744" s="1316">
        <v>100</v>
      </c>
      <c r="P744" s="1316">
        <v>100</v>
      </c>
      <c r="Q744" s="1321">
        <v>100</v>
      </c>
    </row>
    <row r="745" spans="1:23" s="51" customFormat="1" ht="12.75" x14ac:dyDescent="0.2">
      <c r="A745" s="392"/>
      <c r="B745" s="2388"/>
      <c r="C745" s="2388" t="s">
        <v>128</v>
      </c>
      <c r="D745" s="2388">
        <v>1</v>
      </c>
      <c r="E745" s="2390" t="s">
        <v>1060</v>
      </c>
      <c r="F745" s="1917">
        <v>3962.6</v>
      </c>
      <c r="G745" s="1917">
        <v>6409.4</v>
      </c>
      <c r="H745" s="1917">
        <v>15000</v>
      </c>
      <c r="I745" s="1917">
        <v>15000</v>
      </c>
      <c r="J745" s="1917">
        <v>15000</v>
      </c>
      <c r="K745" s="40" t="s">
        <v>2628</v>
      </c>
      <c r="L745" s="591" t="s">
        <v>115</v>
      </c>
      <c r="M745" s="1316">
        <v>34</v>
      </c>
      <c r="N745" s="1316">
        <v>60</v>
      </c>
      <c r="O745" s="1316">
        <v>80</v>
      </c>
      <c r="P745" s="1316">
        <v>80</v>
      </c>
      <c r="Q745" s="1321">
        <v>80</v>
      </c>
      <c r="S745" s="9"/>
      <c r="T745" s="9"/>
      <c r="U745" s="9"/>
      <c r="V745" s="9"/>
      <c r="W745" s="9"/>
    </row>
    <row r="746" spans="1:23" s="51" customFormat="1" ht="12.75" x14ac:dyDescent="0.2">
      <c r="A746" s="392"/>
      <c r="B746" s="2102"/>
      <c r="C746" s="2102"/>
      <c r="D746" s="2102"/>
      <c r="E746" s="2391"/>
      <c r="F746" s="2155"/>
      <c r="G746" s="2155"/>
      <c r="H746" s="2155"/>
      <c r="I746" s="2155"/>
      <c r="J746" s="2155"/>
      <c r="K746" s="40" t="s">
        <v>2629</v>
      </c>
      <c r="L746" s="591" t="s">
        <v>115</v>
      </c>
      <c r="M746" s="1316">
        <v>46</v>
      </c>
      <c r="N746" s="1316">
        <v>40</v>
      </c>
      <c r="O746" s="1316">
        <v>80</v>
      </c>
      <c r="P746" s="1316">
        <v>80</v>
      </c>
      <c r="Q746" s="1318">
        <v>80</v>
      </c>
      <c r="S746" s="9"/>
      <c r="T746" s="9"/>
      <c r="U746" s="9"/>
      <c r="V746" s="9"/>
      <c r="W746" s="9"/>
    </row>
    <row r="747" spans="1:23" s="51" customFormat="1" ht="25.5" x14ac:dyDescent="0.2">
      <c r="A747" s="392"/>
      <c r="B747" s="651"/>
      <c r="C747" s="651" t="s">
        <v>202</v>
      </c>
      <c r="D747" s="651">
        <v>1</v>
      </c>
      <c r="E747" s="955" t="s">
        <v>2654</v>
      </c>
      <c r="F747" s="1339">
        <v>1015.3</v>
      </c>
      <c r="G747" s="1339">
        <v>1204.2</v>
      </c>
      <c r="H747" s="1339">
        <v>1200</v>
      </c>
      <c r="I747" s="1339">
        <v>1200</v>
      </c>
      <c r="J747" s="1339">
        <v>1200</v>
      </c>
      <c r="K747" s="40" t="s">
        <v>2630</v>
      </c>
      <c r="L747" s="410" t="s">
        <v>115</v>
      </c>
      <c r="M747" s="63">
        <v>20</v>
      </c>
      <c r="N747" s="63">
        <v>18</v>
      </c>
      <c r="O747" s="63">
        <v>18</v>
      </c>
      <c r="P747" s="63">
        <v>18</v>
      </c>
      <c r="Q747" s="410">
        <v>18</v>
      </c>
      <c r="S747" s="20"/>
      <c r="T747" s="20"/>
      <c r="U747" s="20"/>
      <c r="V747" s="20"/>
      <c r="W747" s="20"/>
    </row>
    <row r="748" spans="1:23" s="51" customFormat="1" ht="25.5" x14ac:dyDescent="0.2">
      <c r="A748" s="392"/>
      <c r="B748" s="651"/>
      <c r="C748" s="651" t="s">
        <v>149</v>
      </c>
      <c r="D748" s="651">
        <v>0</v>
      </c>
      <c r="E748" s="955" t="s">
        <v>1061</v>
      </c>
      <c r="F748" s="1339">
        <v>2871.6</v>
      </c>
      <c r="G748" s="1339">
        <v>3048.6</v>
      </c>
      <c r="H748" s="1339">
        <v>3048.6000000000004</v>
      </c>
      <c r="I748" s="1339">
        <v>3048.6000000000004</v>
      </c>
      <c r="J748" s="1339">
        <v>3048.6000000000004</v>
      </c>
      <c r="K748" s="40" t="s">
        <v>2631</v>
      </c>
      <c r="L748" s="591" t="s">
        <v>1062</v>
      </c>
      <c r="M748" s="1315">
        <v>1832</v>
      </c>
      <c r="N748" s="1315">
        <v>1220</v>
      </c>
      <c r="O748" s="1315">
        <v>1340</v>
      </c>
      <c r="P748" s="1315">
        <v>1470</v>
      </c>
      <c r="Q748" s="1322">
        <v>1600</v>
      </c>
      <c r="S748" s="20"/>
      <c r="T748" s="20"/>
      <c r="U748" s="20"/>
      <c r="V748" s="20"/>
      <c r="W748" s="20"/>
    </row>
    <row r="749" spans="1:23" s="51" customFormat="1" ht="76.5" x14ac:dyDescent="0.2">
      <c r="A749" s="392"/>
      <c r="B749" s="1334" t="s">
        <v>155</v>
      </c>
      <c r="C749" s="1323"/>
      <c r="D749" s="1323"/>
      <c r="E749" s="586" t="s">
        <v>2753</v>
      </c>
      <c r="F749" s="1343">
        <v>1041507.8</v>
      </c>
      <c r="G749" s="1343">
        <v>1090348.2999999998</v>
      </c>
      <c r="H749" s="1343">
        <f>H750+H752+H754+H757+H760+H763+H764</f>
        <v>1126202.7</v>
      </c>
      <c r="I749" s="1343">
        <v>1126219.8999999999</v>
      </c>
      <c r="J749" s="1343">
        <v>1126276.3999999999</v>
      </c>
      <c r="K749" s="586"/>
      <c r="L749" s="410"/>
      <c r="M749" s="410"/>
      <c r="N749" s="410"/>
      <c r="O749" s="410"/>
      <c r="P749" s="410"/>
      <c r="Q749" s="63"/>
      <c r="S749" s="20"/>
      <c r="T749" s="20"/>
      <c r="U749" s="20"/>
      <c r="V749" s="20"/>
      <c r="W749" s="20"/>
    </row>
    <row r="750" spans="1:23" s="51" customFormat="1" ht="15" customHeight="1" x14ac:dyDescent="0.2">
      <c r="A750" s="392"/>
      <c r="B750" s="2118"/>
      <c r="C750" s="2118" t="s">
        <v>114</v>
      </c>
      <c r="D750" s="2118">
        <v>2</v>
      </c>
      <c r="E750" s="2041" t="s">
        <v>2655</v>
      </c>
      <c r="F750" s="1917">
        <v>40787.1</v>
      </c>
      <c r="G750" s="1917">
        <v>54615</v>
      </c>
      <c r="H750" s="1917">
        <v>55943.9</v>
      </c>
      <c r="I750" s="1917">
        <v>55943.9</v>
      </c>
      <c r="J750" s="1917">
        <v>55943.9</v>
      </c>
      <c r="K750" s="214" t="s">
        <v>2672</v>
      </c>
      <c r="L750" s="410" t="s">
        <v>1063</v>
      </c>
      <c r="M750" s="63">
        <v>0</v>
      </c>
      <c r="N750" s="63">
        <v>1</v>
      </c>
      <c r="O750" s="63">
        <v>1</v>
      </c>
      <c r="P750" s="63">
        <v>1</v>
      </c>
      <c r="Q750" s="63">
        <v>1</v>
      </c>
      <c r="S750" s="20"/>
      <c r="T750" s="20"/>
      <c r="U750" s="20"/>
      <c r="V750" s="20"/>
      <c r="W750" s="20"/>
    </row>
    <row r="751" spans="1:23" ht="12.75" customHeight="1" x14ac:dyDescent="0.2">
      <c r="A751" s="392"/>
      <c r="B751" s="2118"/>
      <c r="C751" s="2118"/>
      <c r="D751" s="2118"/>
      <c r="E751" s="2041"/>
      <c r="F751" s="2155"/>
      <c r="G751" s="2155"/>
      <c r="H751" s="2155"/>
      <c r="I751" s="2155"/>
      <c r="J751" s="2155"/>
      <c r="K751" s="214" t="s">
        <v>2673</v>
      </c>
      <c r="L751" s="410" t="s">
        <v>115</v>
      </c>
      <c r="M751" s="63">
        <v>14</v>
      </c>
      <c r="N751" s="63">
        <v>10</v>
      </c>
      <c r="O751" s="63">
        <v>10</v>
      </c>
      <c r="P751" s="63">
        <v>10</v>
      </c>
      <c r="Q751" s="35">
        <v>10</v>
      </c>
      <c r="S751" s="20"/>
      <c r="T751" s="20"/>
      <c r="U751" s="20"/>
      <c r="V751" s="20"/>
      <c r="W751" s="20"/>
    </row>
    <row r="752" spans="1:23" ht="37.5" customHeight="1" x14ac:dyDescent="0.2">
      <c r="A752" s="392"/>
      <c r="B752" s="2388"/>
      <c r="C752" s="2388" t="s">
        <v>116</v>
      </c>
      <c r="D752" s="2388">
        <v>2</v>
      </c>
      <c r="E752" s="1747" t="s">
        <v>1064</v>
      </c>
      <c r="F752" s="2156">
        <v>10022.1</v>
      </c>
      <c r="G752" s="2156">
        <v>10481</v>
      </c>
      <c r="H752" s="2156">
        <v>11599</v>
      </c>
      <c r="I752" s="2156">
        <v>11599</v>
      </c>
      <c r="J752" s="2156">
        <v>11599</v>
      </c>
      <c r="K752" s="586" t="s">
        <v>2632</v>
      </c>
      <c r="L752" s="410" t="s">
        <v>115</v>
      </c>
      <c r="M752" s="63">
        <v>650</v>
      </c>
      <c r="N752" s="63">
        <v>600</v>
      </c>
      <c r="O752" s="63">
        <v>600</v>
      </c>
      <c r="P752" s="63">
        <v>600</v>
      </c>
      <c r="Q752" s="243">
        <v>600</v>
      </c>
      <c r="S752" s="20"/>
      <c r="T752" s="20"/>
      <c r="U752" s="20"/>
      <c r="V752" s="20"/>
      <c r="W752" s="20"/>
    </row>
    <row r="753" spans="1:23" s="20" customFormat="1" ht="12.75" customHeight="1" x14ac:dyDescent="0.2">
      <c r="A753" s="392"/>
      <c r="B753" s="2102"/>
      <c r="C753" s="2102"/>
      <c r="D753" s="2102"/>
      <c r="E753" s="1748"/>
      <c r="F753" s="2157"/>
      <c r="G753" s="2157"/>
      <c r="H753" s="2157"/>
      <c r="I753" s="2157"/>
      <c r="J753" s="2157"/>
      <c r="K753" s="586" t="s">
        <v>2674</v>
      </c>
      <c r="L753" s="410" t="s">
        <v>115</v>
      </c>
      <c r="M753" s="63">
        <v>0</v>
      </c>
      <c r="N753" s="63">
        <v>2</v>
      </c>
      <c r="O753" s="63">
        <v>2</v>
      </c>
      <c r="P753" s="63">
        <v>2</v>
      </c>
      <c r="Q753" s="714">
        <v>0</v>
      </c>
    </row>
    <row r="754" spans="1:23" s="20" customFormat="1" ht="15" customHeight="1" x14ac:dyDescent="0.2">
      <c r="A754" s="392"/>
      <c r="B754" s="2118"/>
      <c r="C754" s="2118" t="s">
        <v>119</v>
      </c>
      <c r="D754" s="2118">
        <v>0</v>
      </c>
      <c r="E754" s="2041" t="s">
        <v>1065</v>
      </c>
      <c r="F754" s="1917">
        <v>403195.2</v>
      </c>
      <c r="G754" s="1917">
        <v>392792</v>
      </c>
      <c r="H754" s="1917">
        <v>424641.6</v>
      </c>
      <c r="I754" s="1917">
        <v>424658.8</v>
      </c>
      <c r="J754" s="1917">
        <v>424715.3</v>
      </c>
      <c r="K754" s="586" t="s">
        <v>2633</v>
      </c>
      <c r="L754" s="410" t="s">
        <v>115</v>
      </c>
      <c r="M754" s="715">
        <v>2391</v>
      </c>
      <c r="N754" s="715">
        <v>2726</v>
      </c>
      <c r="O754" s="715">
        <v>2726</v>
      </c>
      <c r="P754" s="715">
        <v>2726</v>
      </c>
      <c r="Q754" s="715">
        <v>2726</v>
      </c>
    </row>
    <row r="755" spans="1:23" s="20" customFormat="1" ht="12.75" customHeight="1" x14ac:dyDescent="0.2">
      <c r="A755" s="392"/>
      <c r="B755" s="2118"/>
      <c r="C755" s="2118"/>
      <c r="D755" s="2118"/>
      <c r="E755" s="2041"/>
      <c r="F755" s="2159"/>
      <c r="G755" s="2159"/>
      <c r="H755" s="2159"/>
      <c r="I755" s="2159"/>
      <c r="J755" s="2159"/>
      <c r="K755" s="586" t="s">
        <v>2675</v>
      </c>
      <c r="L755" s="410" t="s">
        <v>643</v>
      </c>
      <c r="M755" s="716">
        <v>396710.8</v>
      </c>
      <c r="N755" s="716">
        <v>392792</v>
      </c>
      <c r="O755" s="716">
        <v>415016.39999999997</v>
      </c>
      <c r="P755" s="716">
        <v>415016.39999999997</v>
      </c>
      <c r="Q755" s="716">
        <v>415016.39999999997</v>
      </c>
    </row>
    <row r="756" spans="1:23" s="20" customFormat="1" ht="12.75" customHeight="1" x14ac:dyDescent="0.2">
      <c r="A756" s="392"/>
      <c r="B756" s="2118"/>
      <c r="C756" s="2118"/>
      <c r="D756" s="2118"/>
      <c r="E756" s="2041"/>
      <c r="F756" s="2155"/>
      <c r="G756" s="2155"/>
      <c r="H756" s="2155"/>
      <c r="I756" s="2155"/>
      <c r="J756" s="2155"/>
      <c r="K756" s="586" t="s">
        <v>2676</v>
      </c>
      <c r="L756" s="410" t="s">
        <v>643</v>
      </c>
      <c r="M756" s="1321">
        <v>13.826530043217621</v>
      </c>
      <c r="N756" s="1321">
        <v>12.007581315725117</v>
      </c>
      <c r="O756" s="1321">
        <v>12.686977256052822</v>
      </c>
      <c r="P756" s="1321">
        <v>12.686977256052822</v>
      </c>
      <c r="Q756" s="139">
        <v>12.686977256052822</v>
      </c>
    </row>
    <row r="757" spans="1:23" s="20" customFormat="1" ht="25.5" x14ac:dyDescent="0.2">
      <c r="A757" s="392"/>
      <c r="B757" s="2118"/>
      <c r="C757" s="2118" t="s">
        <v>124</v>
      </c>
      <c r="D757" s="2118">
        <v>1</v>
      </c>
      <c r="E757" s="2041" t="s">
        <v>2656</v>
      </c>
      <c r="F757" s="1917">
        <v>15013.3</v>
      </c>
      <c r="G757" s="1917">
        <v>22394.2</v>
      </c>
      <c r="H757" s="1917">
        <v>22394.2</v>
      </c>
      <c r="I757" s="1917">
        <v>22394.2</v>
      </c>
      <c r="J757" s="1917">
        <v>22394.199999999997</v>
      </c>
      <c r="K757" s="586" t="s">
        <v>2635</v>
      </c>
      <c r="L757" s="410" t="s">
        <v>1063</v>
      </c>
      <c r="M757" s="63">
        <v>1</v>
      </c>
      <c r="N757" s="63">
        <v>0</v>
      </c>
      <c r="O757" s="63">
        <v>0</v>
      </c>
      <c r="P757" s="63">
        <v>1</v>
      </c>
      <c r="Q757" s="717">
        <v>0</v>
      </c>
    </row>
    <row r="758" spans="1:23" s="20" customFormat="1" ht="25.5" x14ac:dyDescent="0.2">
      <c r="A758" s="392"/>
      <c r="B758" s="2118"/>
      <c r="C758" s="2118"/>
      <c r="D758" s="2118"/>
      <c r="E758" s="2041"/>
      <c r="F758" s="2159"/>
      <c r="G758" s="2159"/>
      <c r="H758" s="2159"/>
      <c r="I758" s="2159"/>
      <c r="J758" s="2159"/>
      <c r="K758" s="586" t="s">
        <v>2636</v>
      </c>
      <c r="L758" s="410" t="s">
        <v>115</v>
      </c>
      <c r="M758" s="63">
        <v>666</v>
      </c>
      <c r="N758" s="63">
        <v>600</v>
      </c>
      <c r="O758" s="63">
        <v>600</v>
      </c>
      <c r="P758" s="63">
        <v>600</v>
      </c>
      <c r="Q758" s="591">
        <v>600</v>
      </c>
    </row>
    <row r="759" spans="1:23" s="20" customFormat="1" ht="38.25" x14ac:dyDescent="0.2">
      <c r="A759" s="392"/>
      <c r="B759" s="2118"/>
      <c r="C759" s="2118"/>
      <c r="D759" s="2118"/>
      <c r="E759" s="2041"/>
      <c r="F759" s="2155"/>
      <c r="G759" s="2155"/>
      <c r="H759" s="2155"/>
      <c r="I759" s="2155"/>
      <c r="J759" s="2155"/>
      <c r="K759" s="586" t="s">
        <v>2637</v>
      </c>
      <c r="L759" s="410" t="s">
        <v>115</v>
      </c>
      <c r="M759" s="63">
        <v>424</v>
      </c>
      <c r="N759" s="63">
        <v>400</v>
      </c>
      <c r="O759" s="63">
        <v>500</v>
      </c>
      <c r="P759" s="63">
        <v>500</v>
      </c>
      <c r="Q759" s="591">
        <v>500</v>
      </c>
    </row>
    <row r="760" spans="1:23" s="20" customFormat="1" ht="30" customHeight="1" x14ac:dyDescent="0.2">
      <c r="A760" s="392"/>
      <c r="B760" s="2118"/>
      <c r="C760" s="2118" t="s">
        <v>128</v>
      </c>
      <c r="D760" s="2118">
        <v>0</v>
      </c>
      <c r="E760" s="2041" t="s">
        <v>2651</v>
      </c>
      <c r="F760" s="2156">
        <v>101329.1</v>
      </c>
      <c r="G760" s="2156">
        <v>93974</v>
      </c>
      <c r="H760" s="2156">
        <v>97000</v>
      </c>
      <c r="I760" s="2156">
        <v>97000</v>
      </c>
      <c r="J760" s="2156">
        <v>97000</v>
      </c>
      <c r="K760" s="586" t="s">
        <v>2638</v>
      </c>
      <c r="L760" s="410" t="s">
        <v>1178</v>
      </c>
      <c r="M760" s="715">
        <v>365</v>
      </c>
      <c r="N760" s="715">
        <v>2444</v>
      </c>
      <c r="O760" s="715">
        <v>2726</v>
      </c>
      <c r="P760" s="715">
        <v>2740</v>
      </c>
      <c r="Q760" s="717">
        <v>2740</v>
      </c>
    </row>
    <row r="761" spans="1:23" s="20" customFormat="1" ht="12.75" customHeight="1" x14ac:dyDescent="0.2">
      <c r="A761" s="392"/>
      <c r="B761" s="2118"/>
      <c r="C761" s="2118"/>
      <c r="D761" s="2118"/>
      <c r="E761" s="2041"/>
      <c r="F761" s="2158"/>
      <c r="G761" s="2158"/>
      <c r="H761" s="2158"/>
      <c r="I761" s="2158"/>
      <c r="J761" s="2158"/>
      <c r="K761" s="586" t="s">
        <v>2639</v>
      </c>
      <c r="L761" s="410" t="s">
        <v>115</v>
      </c>
      <c r="M761" s="63">
        <v>4</v>
      </c>
      <c r="N761" s="63">
        <v>4</v>
      </c>
      <c r="O761" s="63">
        <v>4</v>
      </c>
      <c r="P761" s="63">
        <v>4</v>
      </c>
      <c r="Q761" s="591">
        <v>4</v>
      </c>
    </row>
    <row r="762" spans="1:23" s="20" customFormat="1" ht="25.5" x14ac:dyDescent="0.2">
      <c r="A762" s="392"/>
      <c r="B762" s="2118"/>
      <c r="C762" s="2118"/>
      <c r="D762" s="2118"/>
      <c r="E762" s="2041"/>
      <c r="F762" s="2157"/>
      <c r="G762" s="2157"/>
      <c r="H762" s="2157"/>
      <c r="I762" s="2157"/>
      <c r="J762" s="2157"/>
      <c r="K762" s="586" t="s">
        <v>2640</v>
      </c>
      <c r="L762" s="410" t="s">
        <v>1178</v>
      </c>
      <c r="M762" s="715">
        <v>12679</v>
      </c>
      <c r="N762" s="715">
        <v>13050</v>
      </c>
      <c r="O762" s="715">
        <v>13100</v>
      </c>
      <c r="P762" s="715">
        <v>13300</v>
      </c>
      <c r="Q762" s="591">
        <v>13300</v>
      </c>
    </row>
    <row r="763" spans="1:23" s="20" customFormat="1" ht="25.5" x14ac:dyDescent="0.2">
      <c r="A763" s="392"/>
      <c r="B763" s="651"/>
      <c r="C763" s="651" t="s">
        <v>202</v>
      </c>
      <c r="D763" s="651">
        <v>3</v>
      </c>
      <c r="E763" s="586" t="s">
        <v>2657</v>
      </c>
      <c r="F763" s="1339">
        <v>84717.2</v>
      </c>
      <c r="G763" s="1339">
        <v>90000</v>
      </c>
      <c r="H763" s="1339">
        <v>90000</v>
      </c>
      <c r="I763" s="1339">
        <v>90000</v>
      </c>
      <c r="J763" s="1339">
        <v>90000</v>
      </c>
      <c r="K763" s="586" t="s">
        <v>2641</v>
      </c>
      <c r="L763" s="410" t="s">
        <v>115</v>
      </c>
      <c r="M763" s="715">
        <v>5426</v>
      </c>
      <c r="N763" s="715">
        <v>6669</v>
      </c>
      <c r="O763" s="715">
        <v>4806</v>
      </c>
      <c r="P763" s="715">
        <v>4806</v>
      </c>
      <c r="Q763" s="1301">
        <v>4806</v>
      </c>
    </row>
    <row r="764" spans="1:23" s="20" customFormat="1" ht="25.5" customHeight="1" x14ac:dyDescent="0.2">
      <c r="A764" s="392"/>
      <c r="B764" s="2118"/>
      <c r="C764" s="2118" t="s">
        <v>149</v>
      </c>
      <c r="D764" s="2118">
        <v>1</v>
      </c>
      <c r="E764" s="2041" t="s">
        <v>2658</v>
      </c>
      <c r="F764" s="1917">
        <v>386443.8</v>
      </c>
      <c r="G764" s="1917">
        <v>426092.1</v>
      </c>
      <c r="H764" s="1917">
        <v>424624</v>
      </c>
      <c r="I764" s="1917">
        <v>424624</v>
      </c>
      <c r="J764" s="1917">
        <v>424624</v>
      </c>
      <c r="K764" s="1332" t="s">
        <v>2677</v>
      </c>
      <c r="L764" s="410" t="s">
        <v>1063</v>
      </c>
      <c r="M764" s="715">
        <v>1</v>
      </c>
      <c r="N764" s="715">
        <v>1</v>
      </c>
      <c r="O764" s="715">
        <v>1</v>
      </c>
      <c r="P764" s="715">
        <v>0</v>
      </c>
      <c r="Q764" s="649">
        <v>0</v>
      </c>
      <c r="S764" s="9"/>
      <c r="T764" s="9"/>
      <c r="U764" s="9"/>
      <c r="V764" s="9"/>
      <c r="W764" s="9"/>
    </row>
    <row r="765" spans="1:23" s="20" customFormat="1" ht="42" customHeight="1" x14ac:dyDescent="0.2">
      <c r="A765" s="392"/>
      <c r="B765" s="2118"/>
      <c r="C765" s="2118"/>
      <c r="D765" s="2118"/>
      <c r="E765" s="2041"/>
      <c r="F765" s="2155"/>
      <c r="G765" s="2155"/>
      <c r="H765" s="2155"/>
      <c r="I765" s="2155"/>
      <c r="J765" s="2155"/>
      <c r="K765" s="1332" t="s">
        <v>2678</v>
      </c>
      <c r="L765" s="410" t="s">
        <v>115</v>
      </c>
      <c r="M765" s="715">
        <v>6476</v>
      </c>
      <c r="N765" s="715">
        <v>6500</v>
      </c>
      <c r="O765" s="715">
        <v>7400</v>
      </c>
      <c r="P765" s="715">
        <v>7400</v>
      </c>
      <c r="Q765" s="597">
        <v>7400</v>
      </c>
      <c r="S765" s="9"/>
      <c r="T765" s="9"/>
      <c r="U765" s="9"/>
      <c r="V765" s="9"/>
      <c r="W765" s="9"/>
    </row>
    <row r="766" spans="1:23" s="20" customFormat="1" ht="112.5" customHeight="1" x14ac:dyDescent="0.2">
      <c r="A766" s="392"/>
      <c r="B766" s="1333" t="s">
        <v>164</v>
      </c>
      <c r="C766" s="651"/>
      <c r="D766" s="651"/>
      <c r="E766" s="160" t="s">
        <v>2752</v>
      </c>
      <c r="F766" s="1338">
        <v>1134403.5000000005</v>
      </c>
      <c r="G766" s="1338">
        <v>1105028.8999999999</v>
      </c>
      <c r="H766" s="1338">
        <f>H767+H769+H771</f>
        <v>1077692.2</v>
      </c>
      <c r="I766" s="1338">
        <v>1075910.3</v>
      </c>
      <c r="J766" s="1338">
        <v>1068358.8999999999</v>
      </c>
      <c r="K766" s="1314"/>
      <c r="L766" s="410"/>
      <c r="M766" s="410"/>
      <c r="N766" s="410"/>
      <c r="O766" s="410"/>
      <c r="P766" s="410"/>
      <c r="Q766" s="398"/>
    </row>
    <row r="767" spans="1:23" s="20" customFormat="1" ht="25.5" x14ac:dyDescent="0.2">
      <c r="A767" s="392"/>
      <c r="B767" s="676"/>
      <c r="C767" s="676" t="s">
        <v>114</v>
      </c>
      <c r="D767" s="676" t="s">
        <v>795</v>
      </c>
      <c r="E767" s="1747" t="s">
        <v>2659</v>
      </c>
      <c r="F767" s="2156">
        <v>1097186.0000000005</v>
      </c>
      <c r="G767" s="2156">
        <v>1070011.2</v>
      </c>
      <c r="H767" s="2156">
        <v>1035235.9</v>
      </c>
      <c r="I767" s="2156">
        <v>1025256.2</v>
      </c>
      <c r="J767" s="2156">
        <v>1020929.3999999999</v>
      </c>
      <c r="K767" s="586" t="s">
        <v>2679</v>
      </c>
      <c r="L767" s="410" t="s">
        <v>612</v>
      </c>
      <c r="M767" s="1316" t="s">
        <v>1051</v>
      </c>
      <c r="N767" s="1316" t="s">
        <v>1051</v>
      </c>
      <c r="O767" s="1316" t="s">
        <v>1051</v>
      </c>
      <c r="P767" s="1316" t="s">
        <v>1051</v>
      </c>
      <c r="Q767" s="597" t="s">
        <v>1051</v>
      </c>
    </row>
    <row r="768" spans="1:23" s="20" customFormat="1" ht="30.75" customHeight="1" x14ac:dyDescent="0.2">
      <c r="A768" s="392"/>
      <c r="B768" s="677"/>
      <c r="C768" s="677"/>
      <c r="D768" s="677"/>
      <c r="E768" s="1748"/>
      <c r="F768" s="2157"/>
      <c r="G768" s="2157"/>
      <c r="H768" s="2157"/>
      <c r="I768" s="2157"/>
      <c r="J768" s="2157"/>
      <c r="K768" s="586" t="s">
        <v>2680</v>
      </c>
      <c r="L768" s="410" t="s">
        <v>612</v>
      </c>
      <c r="M768" s="410">
        <v>3000</v>
      </c>
      <c r="N768" s="410">
        <v>3000</v>
      </c>
      <c r="O768" s="410">
        <v>3000</v>
      </c>
      <c r="P768" s="410">
        <v>3000</v>
      </c>
      <c r="Q768" s="399">
        <v>3000</v>
      </c>
    </row>
    <row r="769" spans="1:23" s="20" customFormat="1" ht="12.75" customHeight="1" x14ac:dyDescent="0.2">
      <c r="A769" s="392"/>
      <c r="B769" s="2388"/>
      <c r="C769" s="2388" t="s">
        <v>116</v>
      </c>
      <c r="D769" s="2388" t="s">
        <v>795</v>
      </c>
      <c r="E769" s="1747" t="s">
        <v>2660</v>
      </c>
      <c r="F769" s="2156">
        <v>27202.300000000003</v>
      </c>
      <c r="G769" s="2156">
        <v>23167.7</v>
      </c>
      <c r="H769" s="2156">
        <v>30606.3</v>
      </c>
      <c r="I769" s="2156">
        <v>26854.100000000002</v>
      </c>
      <c r="J769" s="2156">
        <v>23029.5</v>
      </c>
      <c r="K769" s="586" t="s">
        <v>2642</v>
      </c>
      <c r="L769" s="410" t="s">
        <v>612</v>
      </c>
      <c r="M769" s="1316" t="s">
        <v>1054</v>
      </c>
      <c r="N769" s="1316" t="s">
        <v>1054</v>
      </c>
      <c r="O769" s="1316" t="s">
        <v>1054</v>
      </c>
      <c r="P769" s="1316" t="s">
        <v>1054</v>
      </c>
      <c r="Q769" s="597" t="s">
        <v>1054</v>
      </c>
      <c r="S769" s="9"/>
      <c r="T769" s="9"/>
      <c r="U769" s="9"/>
      <c r="V769" s="9"/>
      <c r="W769" s="9"/>
    </row>
    <row r="770" spans="1:23" ht="15" customHeight="1" x14ac:dyDescent="0.2">
      <c r="A770" s="392"/>
      <c r="B770" s="2102"/>
      <c r="C770" s="2102"/>
      <c r="D770" s="2102"/>
      <c r="E770" s="1748"/>
      <c r="F770" s="2157"/>
      <c r="G770" s="2157"/>
      <c r="H770" s="2157"/>
      <c r="I770" s="2157"/>
      <c r="J770" s="2157"/>
      <c r="K770" s="586" t="s">
        <v>2643</v>
      </c>
      <c r="L770" s="410" t="s">
        <v>612</v>
      </c>
      <c r="M770" s="1316" t="s">
        <v>1066</v>
      </c>
      <c r="N770" s="1316" t="s">
        <v>1056</v>
      </c>
      <c r="O770" s="1316" t="s">
        <v>1056</v>
      </c>
      <c r="P770" s="1316" t="s">
        <v>1056</v>
      </c>
      <c r="Q770" s="243" t="s">
        <v>1056</v>
      </c>
    </row>
    <row r="771" spans="1:23" ht="39" customHeight="1" x14ac:dyDescent="0.2">
      <c r="A771" s="392"/>
      <c r="B771" s="651"/>
      <c r="C771" s="651" t="s">
        <v>119</v>
      </c>
      <c r="D771" s="651" t="s">
        <v>795</v>
      </c>
      <c r="E771" s="586" t="s">
        <v>1067</v>
      </c>
      <c r="F771" s="1339">
        <v>10015.199999999999</v>
      </c>
      <c r="G771" s="1339">
        <v>11850</v>
      </c>
      <c r="H771" s="1339">
        <v>11850</v>
      </c>
      <c r="I771" s="1339">
        <v>23800</v>
      </c>
      <c r="J771" s="1339">
        <v>24400</v>
      </c>
      <c r="K771" s="586" t="s">
        <v>2681</v>
      </c>
      <c r="L771" s="410" t="s">
        <v>16</v>
      </c>
      <c r="M771" s="1318">
        <v>47.6</v>
      </c>
      <c r="N771" s="1318">
        <v>47.6</v>
      </c>
      <c r="O771" s="1318">
        <v>44.3</v>
      </c>
      <c r="P771" s="1318">
        <v>44.9</v>
      </c>
      <c r="Q771" s="1324">
        <v>45.4</v>
      </c>
      <c r="S771" s="400"/>
      <c r="T771" s="400"/>
      <c r="U771" s="400"/>
      <c r="V771" s="400"/>
      <c r="W771" s="400"/>
    </row>
    <row r="772" spans="1:23" s="20" customFormat="1" ht="150.75" customHeight="1" x14ac:dyDescent="0.2">
      <c r="A772" s="392"/>
      <c r="B772" s="1333" t="s">
        <v>253</v>
      </c>
      <c r="C772" s="651"/>
      <c r="D772" s="651"/>
      <c r="E772" s="160" t="s">
        <v>2750</v>
      </c>
      <c r="F772" s="1339">
        <v>446214.8</v>
      </c>
      <c r="G772" s="1339">
        <v>515376.80000000005</v>
      </c>
      <c r="H772" s="1339">
        <f>H773+H777+H779</f>
        <v>473974.2</v>
      </c>
      <c r="I772" s="1339">
        <v>473761.9</v>
      </c>
      <c r="J772" s="1339">
        <v>473761.9</v>
      </c>
      <c r="K772" s="1314"/>
      <c r="L772" s="410"/>
      <c r="M772" s="410"/>
      <c r="N772" s="410"/>
      <c r="O772" s="410"/>
      <c r="P772" s="410"/>
      <c r="Q772" s="1325"/>
      <c r="S772" s="9"/>
      <c r="T772" s="9"/>
      <c r="U772" s="9"/>
      <c r="V772" s="9"/>
      <c r="W772" s="9"/>
    </row>
    <row r="773" spans="1:23" s="20" customFormat="1" ht="15" customHeight="1" x14ac:dyDescent="0.2">
      <c r="A773" s="392"/>
      <c r="B773" s="2388"/>
      <c r="C773" s="2388" t="s">
        <v>114</v>
      </c>
      <c r="D773" s="2388" t="s">
        <v>1052</v>
      </c>
      <c r="E773" s="1747" t="s">
        <v>2661</v>
      </c>
      <c r="F773" s="2156">
        <v>91717.4</v>
      </c>
      <c r="G773" s="2156">
        <v>91245</v>
      </c>
      <c r="H773" s="2156">
        <f>247632.1-150000</f>
        <v>97632.1</v>
      </c>
      <c r="I773" s="2156">
        <v>97632.1</v>
      </c>
      <c r="J773" s="2156">
        <v>97632.1</v>
      </c>
      <c r="K773" s="641" t="s">
        <v>2644</v>
      </c>
      <c r="L773" s="647" t="s">
        <v>115</v>
      </c>
      <c r="M773" s="249">
        <v>123</v>
      </c>
      <c r="N773" s="249">
        <v>500</v>
      </c>
      <c r="O773" s="249">
        <v>755</v>
      </c>
      <c r="P773" s="249">
        <v>803</v>
      </c>
      <c r="Q773" s="1325">
        <v>891</v>
      </c>
      <c r="S773" s="9"/>
      <c r="T773" s="9"/>
      <c r="U773" s="9"/>
      <c r="V773" s="9"/>
      <c r="W773" s="9"/>
    </row>
    <row r="774" spans="1:23" s="20" customFormat="1" ht="25.5" x14ac:dyDescent="0.2">
      <c r="A774" s="392"/>
      <c r="B774" s="2101"/>
      <c r="C774" s="2101"/>
      <c r="D774" s="2101"/>
      <c r="E774" s="1810"/>
      <c r="F774" s="2158"/>
      <c r="G774" s="2158"/>
      <c r="H774" s="2158"/>
      <c r="I774" s="2158"/>
      <c r="J774" s="2158"/>
      <c r="K774" s="641" t="s">
        <v>2645</v>
      </c>
      <c r="L774" s="647" t="s">
        <v>16</v>
      </c>
      <c r="M774" s="1319">
        <v>48</v>
      </c>
      <c r="N774" s="1319">
        <v>70</v>
      </c>
      <c r="O774" s="1319">
        <v>70</v>
      </c>
      <c r="P774" s="1319">
        <v>70</v>
      </c>
      <c r="Q774" s="591">
        <v>70</v>
      </c>
      <c r="S774" s="9"/>
      <c r="T774" s="9"/>
      <c r="U774" s="9"/>
      <c r="V774" s="9"/>
      <c r="W774" s="9"/>
    </row>
    <row r="775" spans="1:23" ht="25.5" x14ac:dyDescent="0.2">
      <c r="A775" s="392"/>
      <c r="B775" s="2101"/>
      <c r="C775" s="2101"/>
      <c r="D775" s="2101"/>
      <c r="E775" s="1810"/>
      <c r="F775" s="2158"/>
      <c r="G775" s="2158"/>
      <c r="H775" s="2158"/>
      <c r="I775" s="2158"/>
      <c r="J775" s="2158"/>
      <c r="K775" s="641" t="s">
        <v>2646</v>
      </c>
      <c r="L775" s="647" t="s">
        <v>2634</v>
      </c>
      <c r="M775" s="1319">
        <v>17.8</v>
      </c>
      <c r="N775" s="1319">
        <v>15</v>
      </c>
      <c r="O775" s="1319">
        <v>16.899999999999999</v>
      </c>
      <c r="P775" s="1319">
        <v>17.8</v>
      </c>
      <c r="Q775" s="1326">
        <v>18.100000000000001</v>
      </c>
    </row>
    <row r="776" spans="1:23" ht="12.75" customHeight="1" x14ac:dyDescent="0.2">
      <c r="A776" s="392"/>
      <c r="B776" s="2102"/>
      <c r="C776" s="2102"/>
      <c r="D776" s="2102"/>
      <c r="E776" s="1748"/>
      <c r="F776" s="2157"/>
      <c r="G776" s="2157"/>
      <c r="H776" s="2157"/>
      <c r="I776" s="2157"/>
      <c r="J776" s="2157"/>
      <c r="K776" s="586" t="s">
        <v>2682</v>
      </c>
      <c r="L776" s="647" t="s">
        <v>2683</v>
      </c>
      <c r="M776" s="249">
        <v>0</v>
      </c>
      <c r="N776" s="249">
        <v>0</v>
      </c>
      <c r="O776" s="1320">
        <v>1000</v>
      </c>
      <c r="P776" s="1320">
        <v>1300</v>
      </c>
      <c r="Q776" s="1327">
        <v>1600</v>
      </c>
    </row>
    <row r="777" spans="1:23" s="400" customFormat="1" ht="25.5" x14ac:dyDescent="0.2">
      <c r="A777" s="392"/>
      <c r="B777" s="2388"/>
      <c r="C777" s="2388" t="s">
        <v>116</v>
      </c>
      <c r="D777" s="2388">
        <v>1</v>
      </c>
      <c r="E777" s="1747" t="s">
        <v>2662</v>
      </c>
      <c r="F777" s="1917">
        <v>19273.300000000003</v>
      </c>
      <c r="G777" s="1917">
        <v>21349.4</v>
      </c>
      <c r="H777" s="1917">
        <f>21847.4+212.3</f>
        <v>22059.7</v>
      </c>
      <c r="I777" s="1917">
        <v>21847.399999999998</v>
      </c>
      <c r="J777" s="1917">
        <v>21847.399999999998</v>
      </c>
      <c r="K777" s="586" t="s">
        <v>2647</v>
      </c>
      <c r="L777" s="410" t="s">
        <v>2634</v>
      </c>
      <c r="M777" s="1321">
        <v>771</v>
      </c>
      <c r="N777" s="1321">
        <v>500</v>
      </c>
      <c r="O777" s="1321">
        <v>500</v>
      </c>
      <c r="P777" s="1321">
        <v>500</v>
      </c>
      <c r="Q777" s="591">
        <v>500</v>
      </c>
      <c r="S777" s="9"/>
      <c r="T777" s="9"/>
      <c r="U777" s="9"/>
      <c r="V777" s="9"/>
      <c r="W777" s="9"/>
    </row>
    <row r="778" spans="1:23" ht="12.75" x14ac:dyDescent="0.2">
      <c r="A778" s="392"/>
      <c r="B778" s="2102"/>
      <c r="C778" s="2102"/>
      <c r="D778" s="2102"/>
      <c r="E778" s="1748"/>
      <c r="F778" s="2155"/>
      <c r="G778" s="2155"/>
      <c r="H778" s="2155"/>
      <c r="I778" s="2155"/>
      <c r="J778" s="2155"/>
      <c r="K778" s="586" t="s">
        <v>2648</v>
      </c>
      <c r="L778" s="410" t="s">
        <v>2634</v>
      </c>
      <c r="M778" s="1321">
        <v>27</v>
      </c>
      <c r="N778" s="1321">
        <v>27</v>
      </c>
      <c r="O778" s="1321">
        <v>27</v>
      </c>
      <c r="P778" s="1321">
        <v>27</v>
      </c>
      <c r="Q778" s="591">
        <v>27</v>
      </c>
    </row>
    <row r="779" spans="1:23" ht="38.25" x14ac:dyDescent="0.2">
      <c r="A779" s="392"/>
      <c r="B779" s="2388"/>
      <c r="C779" s="2388" t="s">
        <v>119</v>
      </c>
      <c r="D779" s="2388" t="s">
        <v>795</v>
      </c>
      <c r="E779" s="1747" t="s">
        <v>1068</v>
      </c>
      <c r="F779" s="2156">
        <v>335224.09999999998</v>
      </c>
      <c r="G779" s="2156">
        <v>402782.4</v>
      </c>
      <c r="H779" s="2156">
        <v>354282.4</v>
      </c>
      <c r="I779" s="2156">
        <v>354282.4</v>
      </c>
      <c r="J779" s="2156">
        <v>354282.4</v>
      </c>
      <c r="K779" s="586" t="s">
        <v>2748</v>
      </c>
      <c r="L779" s="410" t="s">
        <v>16</v>
      </c>
      <c r="M779" s="63">
        <v>96.9</v>
      </c>
      <c r="N779" s="63">
        <v>96.9</v>
      </c>
      <c r="O779" s="63">
        <v>98.5</v>
      </c>
      <c r="P779" s="63">
        <v>99.3</v>
      </c>
      <c r="Q779" s="410">
        <v>100</v>
      </c>
    </row>
    <row r="780" spans="1:23" ht="39.75" customHeight="1" x14ac:dyDescent="0.2">
      <c r="A780" s="392"/>
      <c r="B780" s="2102"/>
      <c r="C780" s="2102"/>
      <c r="D780" s="2102"/>
      <c r="E780" s="1748"/>
      <c r="F780" s="2157"/>
      <c r="G780" s="2157"/>
      <c r="H780" s="2157"/>
      <c r="I780" s="2157"/>
      <c r="J780" s="2157"/>
      <c r="K780" s="586" t="s">
        <v>2749</v>
      </c>
      <c r="L780" s="410" t="s">
        <v>16</v>
      </c>
      <c r="M780" s="1318">
        <v>38.9</v>
      </c>
      <c r="N780" s="1318">
        <v>38.9</v>
      </c>
      <c r="O780" s="1318">
        <v>39</v>
      </c>
      <c r="P780" s="1318">
        <v>38</v>
      </c>
      <c r="Q780" s="410">
        <v>36.799999999999997</v>
      </c>
    </row>
    <row r="781" spans="1:23" ht="123.75" customHeight="1" x14ac:dyDescent="0.2">
      <c r="A781" s="392"/>
      <c r="B781" s="1333" t="s">
        <v>146</v>
      </c>
      <c r="C781" s="651"/>
      <c r="D781" s="651"/>
      <c r="E781" s="1330" t="s">
        <v>2751</v>
      </c>
      <c r="F781" s="1339">
        <v>3908.6000000000004</v>
      </c>
      <c r="G781" s="1339">
        <v>7863.3</v>
      </c>
      <c r="H781" s="1339">
        <f>H782+H783</f>
        <v>11285.800000000001</v>
      </c>
      <c r="I781" s="1339">
        <v>11285.800000000001</v>
      </c>
      <c r="J781" s="1339">
        <v>11285.800000000001</v>
      </c>
      <c r="K781" s="1314"/>
      <c r="L781" s="410"/>
      <c r="M781" s="410"/>
      <c r="N781" s="410"/>
      <c r="O781" s="410"/>
      <c r="P781" s="410"/>
      <c r="Q781" s="591"/>
    </row>
    <row r="782" spans="1:23" ht="69" customHeight="1" x14ac:dyDescent="0.2">
      <c r="A782" s="392"/>
      <c r="B782" s="1328"/>
      <c r="C782" s="1329" t="s">
        <v>114</v>
      </c>
      <c r="D782" s="651">
        <v>1</v>
      </c>
      <c r="E782" s="955" t="s">
        <v>2663</v>
      </c>
      <c r="F782" s="1339">
        <v>3908.6000000000004</v>
      </c>
      <c r="G782" s="1339">
        <v>7863.3</v>
      </c>
      <c r="H782" s="1339">
        <v>7863.3000000000011</v>
      </c>
      <c r="I782" s="1339">
        <v>7863.3000000000011</v>
      </c>
      <c r="J782" s="1339">
        <v>7863.3000000000011</v>
      </c>
      <c r="K782" s="586" t="s">
        <v>2649</v>
      </c>
      <c r="L782" s="410" t="s">
        <v>122</v>
      </c>
      <c r="M782" s="63">
        <v>8</v>
      </c>
      <c r="N782" s="63">
        <v>8</v>
      </c>
      <c r="O782" s="63">
        <v>8</v>
      </c>
      <c r="P782" s="63">
        <v>8</v>
      </c>
      <c r="Q782" s="591">
        <v>8</v>
      </c>
    </row>
    <row r="783" spans="1:23" ht="38.25" x14ac:dyDescent="0.2">
      <c r="A783" s="392"/>
      <c r="B783" s="1329"/>
      <c r="C783" s="1329" t="s">
        <v>116</v>
      </c>
      <c r="D783" s="651">
        <v>1</v>
      </c>
      <c r="E783" s="955" t="s">
        <v>2664</v>
      </c>
      <c r="F783" s="1339">
        <v>0</v>
      </c>
      <c r="G783" s="1339">
        <v>0</v>
      </c>
      <c r="H783" s="1339">
        <v>3422.5</v>
      </c>
      <c r="I783" s="1339">
        <v>3422.5</v>
      </c>
      <c r="J783" s="1339">
        <v>3422.5</v>
      </c>
      <c r="K783" s="40" t="s">
        <v>2650</v>
      </c>
      <c r="L783" s="410" t="s">
        <v>122</v>
      </c>
      <c r="M783" s="63">
        <v>0</v>
      </c>
      <c r="N783" s="63">
        <v>0</v>
      </c>
      <c r="O783" s="63">
        <v>1</v>
      </c>
      <c r="P783" s="63">
        <v>1</v>
      </c>
      <c r="Q783" s="591">
        <v>1</v>
      </c>
    </row>
    <row r="784" spans="1:23" ht="30" customHeight="1" x14ac:dyDescent="0.2">
      <c r="A784" s="2389" t="s">
        <v>68</v>
      </c>
      <c r="B784" s="2389"/>
      <c r="C784" s="2389"/>
      <c r="D784" s="2389"/>
      <c r="E784" s="2389"/>
      <c r="F784" s="1580">
        <v>10842185.6</v>
      </c>
      <c r="G784" s="1580">
        <f>G729+G734+G749+G766+G772+G781</f>
        <v>10843860.900000002</v>
      </c>
      <c r="H784" s="1580">
        <f t="shared" ref="H784:J784" si="28">H729+H734+H749+H766+H772+H781</f>
        <v>10853139.899999999</v>
      </c>
      <c r="I784" s="1580">
        <f t="shared" si="28"/>
        <v>11052173.000000002</v>
      </c>
      <c r="J784" s="1580">
        <f t="shared" si="28"/>
        <v>11157814.4</v>
      </c>
      <c r="K784" s="402"/>
      <c r="L784" s="111"/>
      <c r="M784" s="111"/>
      <c r="N784" s="111"/>
      <c r="O784" s="111"/>
      <c r="P784" s="111"/>
      <c r="Q784" s="111"/>
    </row>
    <row r="785" spans="1:17" ht="23.25" customHeight="1" x14ac:dyDescent="0.2">
      <c r="A785" s="403"/>
      <c r="B785" s="2392" t="s">
        <v>2684</v>
      </c>
      <c r="C785" s="2392"/>
      <c r="D785" s="2392"/>
      <c r="E785" s="2392"/>
      <c r="F785" s="2392"/>
      <c r="G785" s="2392"/>
      <c r="H785" s="2392"/>
      <c r="I785" s="2392"/>
      <c r="J785" s="2392"/>
      <c r="K785" s="2392"/>
      <c r="L785" s="404"/>
      <c r="M785" s="404"/>
      <c r="N785" s="404"/>
      <c r="O785" s="404"/>
      <c r="P785" s="404"/>
      <c r="Q785" s="404"/>
    </row>
    <row r="786" spans="1:17" ht="82.5" customHeight="1" x14ac:dyDescent="0.2">
      <c r="A786" s="405"/>
      <c r="B786" s="1344">
        <v>1</v>
      </c>
      <c r="C786" s="63"/>
      <c r="D786" s="63">
        <v>0</v>
      </c>
      <c r="E786" s="127" t="s">
        <v>2533</v>
      </c>
      <c r="F786" s="1568">
        <f>F788+F789+F790+F791+F792+F793+F794</f>
        <v>12713.6</v>
      </c>
      <c r="G786" s="1568">
        <f>G788+G789+G790+G791+G792+G793+G794</f>
        <v>23242.100000000002</v>
      </c>
      <c r="H786" s="1568">
        <f>H788+H789+H790+H791+H792+H793+H794</f>
        <v>23242.100000000002</v>
      </c>
      <c r="I786" s="1568">
        <f t="shared" ref="I786:J786" si="29">I788+I789+I790+I791+I792+I793+I794</f>
        <v>24936.3</v>
      </c>
      <c r="J786" s="1568">
        <f t="shared" si="29"/>
        <v>26667.525000000001</v>
      </c>
      <c r="K786" s="160" t="s">
        <v>15</v>
      </c>
      <c r="L786" s="591" t="s">
        <v>16</v>
      </c>
      <c r="M786" s="395">
        <v>6.5000000000000002E-2</v>
      </c>
      <c r="N786" s="395">
        <v>6.5000000000000002E-2</v>
      </c>
      <c r="O786" s="395">
        <v>6.5000000000000002E-2</v>
      </c>
      <c r="P786" s="395">
        <v>6.54E-2</v>
      </c>
      <c r="Q786" s="395">
        <v>6.54E-2</v>
      </c>
    </row>
    <row r="787" spans="1:17" ht="12.75" x14ac:dyDescent="0.2">
      <c r="A787" s="405"/>
      <c r="B787" s="62"/>
      <c r="C787" s="406"/>
      <c r="D787" s="133"/>
      <c r="E787" s="211" t="s">
        <v>182</v>
      </c>
      <c r="F787" s="1549"/>
      <c r="G787" s="1549"/>
      <c r="H787" s="1549"/>
      <c r="I787" s="1549"/>
      <c r="J787" s="1594"/>
      <c r="K787" s="586" t="s">
        <v>692</v>
      </c>
      <c r="L787" s="593"/>
      <c r="M787" s="395"/>
      <c r="N787" s="395"/>
      <c r="O787" s="395"/>
      <c r="P787" s="395"/>
      <c r="Q787" s="395"/>
    </row>
    <row r="788" spans="1:17" ht="12.75" x14ac:dyDescent="0.2">
      <c r="A788" s="405"/>
      <c r="B788" s="407"/>
      <c r="C788" s="138">
        <v>1</v>
      </c>
      <c r="D788" s="133">
        <v>0</v>
      </c>
      <c r="E788" s="600" t="s">
        <v>184</v>
      </c>
      <c r="F788" s="1568">
        <v>3251.8</v>
      </c>
      <c r="G788" s="1568">
        <v>5194.99</v>
      </c>
      <c r="H788" s="1568">
        <v>5194.99</v>
      </c>
      <c r="I788" s="1568">
        <f>H788+254</f>
        <v>5448.99</v>
      </c>
      <c r="J788" s="1568">
        <f>I788+288.5375</f>
        <v>5737.5275000000001</v>
      </c>
      <c r="K788" s="586" t="s">
        <v>22</v>
      </c>
      <c r="L788" s="591" t="s">
        <v>19</v>
      </c>
      <c r="M788" s="591"/>
      <c r="N788" s="591"/>
      <c r="O788" s="591"/>
      <c r="P788" s="591"/>
      <c r="Q788" s="591"/>
    </row>
    <row r="789" spans="1:17" ht="25.5" x14ac:dyDescent="0.2">
      <c r="A789" s="405"/>
      <c r="B789" s="407"/>
      <c r="C789" s="141">
        <v>2</v>
      </c>
      <c r="D789" s="133">
        <v>0</v>
      </c>
      <c r="E789" s="600" t="s">
        <v>117</v>
      </c>
      <c r="F789" s="1568">
        <v>1121.5</v>
      </c>
      <c r="G789" s="1568">
        <v>2261.0300000000002</v>
      </c>
      <c r="H789" s="1568">
        <v>2261.0300000000002</v>
      </c>
      <c r="I789" s="1568">
        <f t="shared" ref="I789:I794" si="30">H789+254</f>
        <v>2515.0300000000002</v>
      </c>
      <c r="J789" s="1568">
        <f>I789+288.5375</f>
        <v>2803.5675000000001</v>
      </c>
      <c r="K789" s="586" t="s">
        <v>1069</v>
      </c>
      <c r="L789" s="591" t="s">
        <v>16</v>
      </c>
      <c r="M789" s="396">
        <v>1</v>
      </c>
      <c r="N789" s="396">
        <v>0</v>
      </c>
      <c r="O789" s="396">
        <v>0</v>
      </c>
      <c r="P789" s="396">
        <v>0</v>
      </c>
      <c r="Q789" s="396">
        <v>0</v>
      </c>
    </row>
    <row r="790" spans="1:17" ht="12.75" x14ac:dyDescent="0.2">
      <c r="A790" s="405"/>
      <c r="B790" s="407"/>
      <c r="C790" s="141">
        <v>3</v>
      </c>
      <c r="D790" s="133">
        <v>0</v>
      </c>
      <c r="E790" s="600" t="s">
        <v>461</v>
      </c>
      <c r="F790" s="1568">
        <v>973.5</v>
      </c>
      <c r="G790" s="1568">
        <v>1896.43</v>
      </c>
      <c r="H790" s="1568">
        <v>1896.43</v>
      </c>
      <c r="I790" s="1568">
        <f t="shared" si="30"/>
        <v>2150.4300000000003</v>
      </c>
      <c r="J790" s="1568">
        <f>I790+288.5375</f>
        <v>2438.9675000000002</v>
      </c>
      <c r="K790" s="586" t="s">
        <v>1070</v>
      </c>
      <c r="L790" s="591" t="s">
        <v>16</v>
      </c>
      <c r="M790" s="396">
        <v>0</v>
      </c>
      <c r="N790" s="396">
        <v>0</v>
      </c>
      <c r="O790" s="396">
        <v>0</v>
      </c>
      <c r="P790" s="396">
        <v>0</v>
      </c>
      <c r="Q790" s="396">
        <v>0</v>
      </c>
    </row>
    <row r="791" spans="1:17" ht="25.5" x14ac:dyDescent="0.2">
      <c r="A791" s="405"/>
      <c r="B791" s="407"/>
      <c r="C791" s="141">
        <v>4</v>
      </c>
      <c r="D791" s="133">
        <v>0</v>
      </c>
      <c r="E791" s="600" t="s">
        <v>28</v>
      </c>
      <c r="F791" s="1568"/>
      <c r="G791" s="1568">
        <v>144.1</v>
      </c>
      <c r="H791" s="1568">
        <v>144.1</v>
      </c>
      <c r="I791" s="1568">
        <f>H791+254-83.8</f>
        <v>314.3</v>
      </c>
      <c r="J791" s="1568">
        <v>314.3</v>
      </c>
      <c r="K791" s="586" t="s">
        <v>1071</v>
      </c>
      <c r="L791" s="591" t="s">
        <v>27</v>
      </c>
      <c r="M791" s="591">
        <v>0</v>
      </c>
      <c r="N791" s="591">
        <v>0</v>
      </c>
      <c r="O791" s="591">
        <v>0</v>
      </c>
      <c r="P791" s="591">
        <v>0</v>
      </c>
      <c r="Q791" s="591">
        <v>0</v>
      </c>
    </row>
    <row r="792" spans="1:17" ht="25.5" x14ac:dyDescent="0.2">
      <c r="A792" s="405"/>
      <c r="B792" s="407"/>
      <c r="C792" s="141">
        <v>5</v>
      </c>
      <c r="D792" s="133">
        <v>0</v>
      </c>
      <c r="E792" s="40" t="s">
        <v>465</v>
      </c>
      <c r="F792" s="1568">
        <v>1523.9</v>
      </c>
      <c r="G792" s="1568">
        <v>2517.63</v>
      </c>
      <c r="H792" s="1568">
        <v>2517.63</v>
      </c>
      <c r="I792" s="1568">
        <f>H792+254</f>
        <v>2771.63</v>
      </c>
      <c r="J792" s="1568">
        <f t="shared" ref="J792:J794" si="31">I792+288.5375</f>
        <v>3060.1675</v>
      </c>
      <c r="K792" s="586" t="s">
        <v>1072</v>
      </c>
      <c r="L792" s="591" t="s">
        <v>30</v>
      </c>
      <c r="M792" s="591"/>
      <c r="N792" s="591"/>
      <c r="O792" s="591"/>
      <c r="P792" s="591"/>
      <c r="Q792" s="591"/>
    </row>
    <row r="793" spans="1:17" ht="25.5" x14ac:dyDescent="0.2">
      <c r="A793" s="405"/>
      <c r="B793" s="407"/>
      <c r="C793" s="143">
        <v>6</v>
      </c>
      <c r="D793" s="133">
        <v>0</v>
      </c>
      <c r="E793" s="40" t="s">
        <v>1073</v>
      </c>
      <c r="F793" s="1568">
        <v>4885.8999999999996</v>
      </c>
      <c r="G793" s="1568">
        <v>9210.69</v>
      </c>
      <c r="H793" s="1568">
        <v>9210.69</v>
      </c>
      <c r="I793" s="1568">
        <f t="shared" si="30"/>
        <v>9464.69</v>
      </c>
      <c r="J793" s="1568">
        <f>I793+288.5375</f>
        <v>9753.2275000000009</v>
      </c>
      <c r="K793" s="586" t="s">
        <v>1074</v>
      </c>
      <c r="L793" s="591" t="s">
        <v>16</v>
      </c>
      <c r="M793" s="397">
        <v>0.28399999999999997</v>
      </c>
      <c r="N793" s="397">
        <v>0.28399999999999997</v>
      </c>
      <c r="O793" s="397">
        <v>0.28399999999999997</v>
      </c>
      <c r="P793" s="397">
        <v>0.28399999999999997</v>
      </c>
      <c r="Q793" s="397">
        <v>0.28399999999999997</v>
      </c>
    </row>
    <row r="794" spans="1:17" ht="12.75" x14ac:dyDescent="0.2">
      <c r="A794" s="405"/>
      <c r="B794" s="407"/>
      <c r="C794" s="143">
        <v>7</v>
      </c>
      <c r="D794" s="133">
        <v>0</v>
      </c>
      <c r="E794" s="40" t="s">
        <v>1075</v>
      </c>
      <c r="F794" s="1568">
        <v>957</v>
      </c>
      <c r="G794" s="1568">
        <v>2017.23</v>
      </c>
      <c r="H794" s="1568">
        <v>2017.23</v>
      </c>
      <c r="I794" s="1568">
        <f t="shared" si="30"/>
        <v>2271.23</v>
      </c>
      <c r="J794" s="1568">
        <f t="shared" si="31"/>
        <v>2559.7674999999999</v>
      </c>
      <c r="K794" s="586"/>
      <c r="L794" s="591"/>
      <c r="M794" s="591"/>
      <c r="N794" s="591"/>
      <c r="O794" s="591"/>
      <c r="P794" s="591"/>
      <c r="Q794" s="591"/>
    </row>
    <row r="795" spans="1:17" ht="51" x14ac:dyDescent="0.2">
      <c r="A795" s="405"/>
      <c r="B795" s="1335">
        <v>2</v>
      </c>
      <c r="C795" s="143">
        <v>8</v>
      </c>
      <c r="D795" s="133">
        <v>0</v>
      </c>
      <c r="E795" s="160" t="s">
        <v>2534</v>
      </c>
      <c r="F795" s="1568"/>
      <c r="G795" s="1568"/>
      <c r="H795" s="1568"/>
      <c r="I795" s="1568">
        <v>0</v>
      </c>
      <c r="J795" s="1568">
        <v>0</v>
      </c>
      <c r="K795" s="127" t="s">
        <v>1077</v>
      </c>
      <c r="L795" s="591"/>
      <c r="M795" s="591"/>
      <c r="N795" s="591"/>
      <c r="O795" s="591"/>
      <c r="P795" s="591"/>
      <c r="Q795" s="591"/>
    </row>
    <row r="796" spans="1:17" ht="12.75" x14ac:dyDescent="0.2">
      <c r="A796" s="405"/>
      <c r="B796" s="408"/>
      <c r="C796" s="409"/>
      <c r="D796" s="409"/>
      <c r="E796" s="40" t="s">
        <v>1078</v>
      </c>
      <c r="F796" s="1568">
        <f>SUM(F797:F798)</f>
        <v>24112.199999999997</v>
      </c>
      <c r="G796" s="1568">
        <f>SUM(G797:G798)</f>
        <v>38036.300000000003</v>
      </c>
      <c r="H796" s="1568">
        <f>SUM(H797:H798)</f>
        <v>38036.300000000003</v>
      </c>
      <c r="I796" s="1568">
        <f>SUM(I797:I798)</f>
        <v>38544.300000000003</v>
      </c>
      <c r="J796" s="1568">
        <f>SUM(J797:J798)</f>
        <v>39015.275000000001</v>
      </c>
      <c r="K796" s="40" t="s">
        <v>1079</v>
      </c>
      <c r="L796" s="396">
        <v>1</v>
      </c>
      <c r="M796" s="395"/>
      <c r="N796" s="395"/>
      <c r="O796" s="395"/>
      <c r="P796" s="395"/>
      <c r="Q796" s="410"/>
    </row>
    <row r="797" spans="1:17" ht="53.25" customHeight="1" x14ac:dyDescent="0.2">
      <c r="A797" s="405"/>
      <c r="B797" s="408"/>
      <c r="C797" s="409" t="s">
        <v>114</v>
      </c>
      <c r="D797" s="409"/>
      <c r="E797" s="40" t="s">
        <v>1080</v>
      </c>
      <c r="F797" s="1568">
        <v>5377.1</v>
      </c>
      <c r="G797" s="1568">
        <v>9491.5400000000009</v>
      </c>
      <c r="H797" s="1568">
        <v>9491.5400000000009</v>
      </c>
      <c r="I797" s="1568">
        <f>H797+254</f>
        <v>9745.5400000000009</v>
      </c>
      <c r="J797" s="1568">
        <f>I797+288.5375-53.05</f>
        <v>9981.027500000002</v>
      </c>
      <c r="K797" s="40" t="s">
        <v>1081</v>
      </c>
      <c r="L797" s="649"/>
      <c r="M797" s="649">
        <v>1145</v>
      </c>
      <c r="N797" s="649"/>
      <c r="O797" s="649"/>
      <c r="P797" s="649"/>
      <c r="Q797" s="591"/>
    </row>
    <row r="798" spans="1:17" ht="105.75" customHeight="1" x14ac:dyDescent="0.2">
      <c r="A798" s="405"/>
      <c r="B798" s="1335">
        <v>3</v>
      </c>
      <c r="C798" s="154" t="s">
        <v>116</v>
      </c>
      <c r="D798" s="154"/>
      <c r="E798" s="160" t="s">
        <v>2535</v>
      </c>
      <c r="F798" s="1613">
        <v>18735.099999999999</v>
      </c>
      <c r="G798" s="1568">
        <v>28544.76</v>
      </c>
      <c r="H798" s="1568">
        <v>28544.76</v>
      </c>
      <c r="I798" s="1568">
        <f>H798+254</f>
        <v>28798.76</v>
      </c>
      <c r="J798" s="1568">
        <f>I798+288.5375-53.05</f>
        <v>29034.247499999998</v>
      </c>
      <c r="K798" s="127" t="s">
        <v>1082</v>
      </c>
      <c r="L798" s="591" t="s">
        <v>16</v>
      </c>
      <c r="M798" s="597"/>
      <c r="N798" s="597"/>
      <c r="O798" s="597"/>
      <c r="P798" s="597"/>
      <c r="Q798" s="591"/>
    </row>
    <row r="799" spans="1:17" ht="25.5" x14ac:dyDescent="0.2">
      <c r="A799" s="405"/>
      <c r="B799" s="407"/>
      <c r="C799" s="154"/>
      <c r="D799" s="154"/>
      <c r="E799" s="40" t="s">
        <v>1083</v>
      </c>
      <c r="F799" s="1613">
        <f>F800</f>
        <v>12265</v>
      </c>
      <c r="G799" s="1613">
        <v>3747.9</v>
      </c>
      <c r="H799" s="1613">
        <v>3747.9</v>
      </c>
      <c r="I799" s="1568">
        <f t="shared" ref="I799:J799" si="32">I800</f>
        <v>3832.5</v>
      </c>
      <c r="J799" s="1568">
        <f t="shared" si="32"/>
        <v>3938.6</v>
      </c>
      <c r="K799" s="40" t="s">
        <v>1084</v>
      </c>
      <c r="L799" s="591"/>
      <c r="M799" s="411"/>
      <c r="N799" s="398"/>
      <c r="O799" s="398"/>
      <c r="P799" s="398"/>
      <c r="Q799" s="591"/>
    </row>
    <row r="800" spans="1:17" ht="96.75" customHeight="1" x14ac:dyDescent="0.2">
      <c r="A800" s="405"/>
      <c r="B800" s="1335">
        <v>4</v>
      </c>
      <c r="C800" s="154" t="s">
        <v>114</v>
      </c>
      <c r="D800" s="154"/>
      <c r="E800" s="160" t="s">
        <v>2536</v>
      </c>
      <c r="F800" s="1613">
        <v>12265</v>
      </c>
      <c r="G800" s="1613">
        <v>3747.9</v>
      </c>
      <c r="H800" s="1613">
        <v>3747.9</v>
      </c>
      <c r="I800" s="1568">
        <v>3832.5</v>
      </c>
      <c r="J800" s="1568">
        <v>3938.6</v>
      </c>
      <c r="K800" s="127" t="s">
        <v>1085</v>
      </c>
      <c r="L800" s="591"/>
      <c r="M800" s="597"/>
      <c r="N800" s="597"/>
      <c r="O800" s="597"/>
      <c r="P800" s="597"/>
      <c r="Q800" s="410"/>
    </row>
    <row r="801" spans="1:17" ht="80.25" customHeight="1" x14ac:dyDescent="0.2">
      <c r="A801" s="405"/>
      <c r="B801" s="62"/>
      <c r="C801" s="409"/>
      <c r="D801" s="409"/>
      <c r="E801" s="40" t="s">
        <v>1086</v>
      </c>
      <c r="F801" s="1568">
        <f>F802</f>
        <v>60735.1</v>
      </c>
      <c r="G801" s="1568">
        <f>G802</f>
        <v>59447.4</v>
      </c>
      <c r="H801" s="1568">
        <f>H802</f>
        <v>59447.4</v>
      </c>
      <c r="I801" s="1568"/>
      <c r="J801" s="1568"/>
      <c r="K801" s="40" t="s">
        <v>1087</v>
      </c>
      <c r="L801" s="396">
        <v>1</v>
      </c>
      <c r="M801" s="399"/>
      <c r="N801" s="399"/>
      <c r="O801" s="399"/>
      <c r="P801" s="399"/>
      <c r="Q801" s="139"/>
    </row>
    <row r="802" spans="1:17" ht="56.25" customHeight="1" x14ac:dyDescent="0.2">
      <c r="A802" s="405"/>
      <c r="B802" s="62"/>
      <c r="C802" s="409" t="s">
        <v>114</v>
      </c>
      <c r="D802" s="409"/>
      <c r="E802" s="40" t="s">
        <v>1088</v>
      </c>
      <c r="F802" s="1568">
        <v>60735.1</v>
      </c>
      <c r="G802" s="1568">
        <v>59447.4</v>
      </c>
      <c r="H802" s="1568">
        <v>59447.4</v>
      </c>
      <c r="I802" s="1568">
        <v>59447.4</v>
      </c>
      <c r="J802" s="1568">
        <v>59447.4</v>
      </c>
      <c r="K802" s="40" t="s">
        <v>2685</v>
      </c>
      <c r="L802" s="591"/>
      <c r="M802" s="597"/>
      <c r="N802" s="597"/>
      <c r="O802" s="597"/>
      <c r="P802" s="597"/>
      <c r="Q802" s="139"/>
    </row>
    <row r="803" spans="1:17" ht="23.25" customHeight="1" x14ac:dyDescent="0.2">
      <c r="A803" s="2389" t="s">
        <v>68</v>
      </c>
      <c r="B803" s="2389"/>
      <c r="C803" s="2389"/>
      <c r="D803" s="2389"/>
      <c r="E803" s="2389"/>
      <c r="F803" s="1611">
        <v>109825.9</v>
      </c>
      <c r="G803" s="1611">
        <v>124473.70000000001</v>
      </c>
      <c r="H803" s="1611">
        <v>124473.70000000001</v>
      </c>
      <c r="I803" s="1611">
        <v>126760.5</v>
      </c>
      <c r="J803" s="1611">
        <v>129068.80000000002</v>
      </c>
      <c r="K803" s="589"/>
      <c r="L803" s="718"/>
      <c r="M803" s="615"/>
      <c r="N803" s="615"/>
      <c r="O803" s="615"/>
      <c r="P803" s="615"/>
      <c r="Q803" s="615"/>
    </row>
    <row r="804" spans="1:17" ht="29.25" customHeight="1" x14ac:dyDescent="0.2">
      <c r="A804" s="1912" t="s">
        <v>1089</v>
      </c>
      <c r="B804" s="1913"/>
      <c r="C804" s="1913"/>
      <c r="D804" s="1913"/>
      <c r="E804" s="1913"/>
      <c r="F804" s="1913"/>
      <c r="G804" s="1913"/>
      <c r="H804" s="1913"/>
      <c r="I804" s="1913"/>
      <c r="J804" s="1913"/>
      <c r="K804" s="683"/>
      <c r="L804" s="683"/>
      <c r="M804" s="683"/>
      <c r="N804" s="683"/>
      <c r="O804" s="683"/>
      <c r="P804" s="683"/>
      <c r="Q804" s="683"/>
    </row>
    <row r="805" spans="1:17" ht="63.75" customHeight="1" x14ac:dyDescent="0.2">
      <c r="A805" s="35"/>
      <c r="B805" s="1368" t="s">
        <v>111</v>
      </c>
      <c r="C805" s="635"/>
      <c r="D805" s="635"/>
      <c r="E805" s="160" t="s">
        <v>1090</v>
      </c>
      <c r="F805" s="1659">
        <v>739.4</v>
      </c>
      <c r="G805" s="1659">
        <v>739.4</v>
      </c>
      <c r="H805" s="1659">
        <v>739.4</v>
      </c>
      <c r="I805" s="1659">
        <v>753.6</v>
      </c>
      <c r="J805" s="1659">
        <v>760.7</v>
      </c>
      <c r="K805" s="1336" t="s">
        <v>0</v>
      </c>
      <c r="L805" s="635"/>
      <c r="M805" s="635"/>
      <c r="N805" s="635"/>
      <c r="O805" s="635"/>
      <c r="P805" s="635"/>
      <c r="Q805" s="139">
        <v>715</v>
      </c>
    </row>
    <row r="806" spans="1:17" ht="29.25" customHeight="1" x14ac:dyDescent="0.2">
      <c r="A806" s="35"/>
      <c r="B806" s="2150"/>
      <c r="C806" s="2151" t="s">
        <v>114</v>
      </c>
      <c r="D806" s="1924"/>
      <c r="E806" s="1747" t="s">
        <v>1091</v>
      </c>
      <c r="F806" s="2153">
        <v>739.4</v>
      </c>
      <c r="G806" s="2153">
        <v>739.4</v>
      </c>
      <c r="H806" s="2153">
        <v>739.4</v>
      </c>
      <c r="I806" s="2153">
        <v>753.6</v>
      </c>
      <c r="J806" s="2153">
        <v>760.7</v>
      </c>
      <c r="K806" s="1922" t="s">
        <v>2778</v>
      </c>
      <c r="L806" s="1924"/>
      <c r="M806" s="1924">
        <v>60</v>
      </c>
      <c r="N806" s="1924">
        <v>100</v>
      </c>
      <c r="O806" s="1924">
        <v>100</v>
      </c>
      <c r="P806" s="1924">
        <v>100</v>
      </c>
      <c r="Q806" s="1369" t="s">
        <v>1092</v>
      </c>
    </row>
    <row r="807" spans="1:17" ht="29.25" customHeight="1" x14ac:dyDescent="0.2">
      <c r="A807" s="35"/>
      <c r="B807" s="2150"/>
      <c r="C807" s="2152"/>
      <c r="D807" s="1925"/>
      <c r="E807" s="1748"/>
      <c r="F807" s="2154"/>
      <c r="G807" s="2154"/>
      <c r="H807" s="2154"/>
      <c r="I807" s="2154"/>
      <c r="J807" s="2154"/>
      <c r="K807" s="1923"/>
      <c r="L807" s="1925"/>
      <c r="M807" s="1925"/>
      <c r="N807" s="1925"/>
      <c r="O807" s="1925"/>
      <c r="P807" s="1925"/>
      <c r="Q807" s="591">
        <v>145</v>
      </c>
    </row>
    <row r="808" spans="1:17" ht="29.25" customHeight="1" x14ac:dyDescent="0.2">
      <c r="A808" s="412"/>
      <c r="B808" s="2393" t="s">
        <v>2779</v>
      </c>
      <c r="C808" s="2393"/>
      <c r="D808" s="2393"/>
      <c r="E808" s="2393"/>
      <c r="F808" s="1580">
        <v>739.4</v>
      </c>
      <c r="G808" s="1580">
        <v>739.4</v>
      </c>
      <c r="H808" s="1580">
        <v>739.4</v>
      </c>
      <c r="I808" s="1580">
        <v>753.6</v>
      </c>
      <c r="J808" s="1580">
        <v>760.7</v>
      </c>
      <c r="K808" s="1370"/>
      <c r="L808" s="1302"/>
      <c r="M808" s="1302"/>
      <c r="N808" s="1302"/>
      <c r="O808" s="1302"/>
      <c r="P808" s="1302"/>
      <c r="Q808" s="507"/>
    </row>
    <row r="809" spans="1:17" ht="29.25" customHeight="1" x14ac:dyDescent="0.2">
      <c r="A809" s="1926" t="s">
        <v>1093</v>
      </c>
      <c r="B809" s="1927"/>
      <c r="C809" s="1927"/>
      <c r="D809" s="1927"/>
      <c r="E809" s="1927"/>
      <c r="F809" s="1927"/>
      <c r="G809" s="1927"/>
      <c r="H809" s="1927"/>
      <c r="I809" s="1927"/>
      <c r="J809" s="1927"/>
      <c r="K809" s="1927"/>
      <c r="L809" s="413"/>
      <c r="M809" s="413"/>
      <c r="N809" s="413"/>
      <c r="O809" s="413"/>
      <c r="P809" s="413"/>
      <c r="Q809" s="413"/>
    </row>
    <row r="810" spans="1:17" ht="29.25" customHeight="1" x14ac:dyDescent="0.2">
      <c r="A810" s="500"/>
      <c r="B810" s="1833" t="s">
        <v>111</v>
      </c>
      <c r="C810" s="1833"/>
      <c r="D810" s="1807"/>
      <c r="E810" s="1837" t="s">
        <v>2780</v>
      </c>
      <c r="F810" s="2065">
        <f t="shared" ref="F810:G810" si="33">F828+F838+F844+F819</f>
        <v>126212.9</v>
      </c>
      <c r="G810" s="2065">
        <f t="shared" si="33"/>
        <v>138701</v>
      </c>
      <c r="H810" s="2065">
        <f>H828+H838+H844+H819</f>
        <v>143980.1</v>
      </c>
      <c r="I810" s="2065">
        <f t="shared" ref="I810:J810" si="34">I828+I838+I844+I819</f>
        <v>146999.79999999999</v>
      </c>
      <c r="J810" s="2065">
        <f t="shared" si="34"/>
        <v>146783.09999999998</v>
      </c>
      <c r="K810" s="1837" t="s">
        <v>2781</v>
      </c>
      <c r="L810" s="1929" t="s">
        <v>16</v>
      </c>
      <c r="M810" s="1929">
        <v>12.1</v>
      </c>
      <c r="N810" s="1929">
        <v>42.9</v>
      </c>
      <c r="O810" s="1929">
        <v>40.700000000000003</v>
      </c>
      <c r="P810" s="1929">
        <v>40.700000000000003</v>
      </c>
      <c r="Q810" s="1929">
        <v>40.700000000000003</v>
      </c>
    </row>
    <row r="811" spans="1:17" ht="29.25" customHeight="1" x14ac:dyDescent="0.2">
      <c r="A811" s="567"/>
      <c r="B811" s="2149"/>
      <c r="C811" s="2149"/>
      <c r="D811" s="1808"/>
      <c r="E811" s="1928"/>
      <c r="F811" s="1889"/>
      <c r="G811" s="1889"/>
      <c r="H811" s="1889"/>
      <c r="I811" s="1889"/>
      <c r="J811" s="1889"/>
      <c r="K811" s="1928"/>
      <c r="L811" s="1930"/>
      <c r="M811" s="1930"/>
      <c r="N811" s="1930"/>
      <c r="O811" s="1930"/>
      <c r="P811" s="1930"/>
      <c r="Q811" s="1930"/>
    </row>
    <row r="812" spans="1:17" ht="29.25" customHeight="1" x14ac:dyDescent="0.2">
      <c r="A812" s="567"/>
      <c r="B812" s="2149"/>
      <c r="C812" s="2149"/>
      <c r="D812" s="1808"/>
      <c r="E812" s="1928"/>
      <c r="F812" s="1889"/>
      <c r="G812" s="1889"/>
      <c r="H812" s="1889"/>
      <c r="I812" s="1889"/>
      <c r="J812" s="1889"/>
      <c r="K812" s="1928"/>
      <c r="L812" s="1930"/>
      <c r="M812" s="1930"/>
      <c r="N812" s="1930"/>
      <c r="O812" s="1930"/>
      <c r="P812" s="1930"/>
      <c r="Q812" s="1930"/>
    </row>
    <row r="813" spans="1:17" ht="29.25" customHeight="1" x14ac:dyDescent="0.2">
      <c r="A813" s="567"/>
      <c r="B813" s="2149"/>
      <c r="C813" s="2149"/>
      <c r="D813" s="1808"/>
      <c r="E813" s="1928"/>
      <c r="F813" s="1889"/>
      <c r="G813" s="1889"/>
      <c r="H813" s="1889"/>
      <c r="I813" s="1889"/>
      <c r="J813" s="1889"/>
      <c r="K813" s="1928"/>
      <c r="L813" s="1930"/>
      <c r="M813" s="1930"/>
      <c r="N813" s="1930"/>
      <c r="O813" s="1930"/>
      <c r="P813" s="1930"/>
      <c r="Q813" s="1930"/>
    </row>
    <row r="814" spans="1:17" ht="29.25" customHeight="1" x14ac:dyDescent="0.2">
      <c r="A814" s="567"/>
      <c r="B814" s="2149"/>
      <c r="C814" s="2149"/>
      <c r="D814" s="1808"/>
      <c r="E814" s="1928"/>
      <c r="F814" s="1889"/>
      <c r="G814" s="1889"/>
      <c r="H814" s="1889"/>
      <c r="I814" s="1889"/>
      <c r="J814" s="1889"/>
      <c r="K814" s="1928"/>
      <c r="L814" s="1930"/>
      <c r="M814" s="1930"/>
      <c r="N814" s="1930"/>
      <c r="O814" s="1930"/>
      <c r="P814" s="1930"/>
      <c r="Q814" s="1930"/>
    </row>
    <row r="815" spans="1:17" ht="29.25" customHeight="1" x14ac:dyDescent="0.2">
      <c r="A815" s="567"/>
      <c r="B815" s="2149"/>
      <c r="C815" s="2149"/>
      <c r="D815" s="1808"/>
      <c r="E815" s="1928"/>
      <c r="F815" s="1889"/>
      <c r="G815" s="1889"/>
      <c r="H815" s="1889"/>
      <c r="I815" s="1889"/>
      <c r="J815" s="1889"/>
      <c r="K815" s="1928"/>
      <c r="L815" s="1930"/>
      <c r="M815" s="1930"/>
      <c r="N815" s="1930"/>
      <c r="O815" s="1930"/>
      <c r="P815" s="1930"/>
      <c r="Q815" s="1930"/>
    </row>
    <row r="816" spans="1:17" ht="29.25" customHeight="1" x14ac:dyDescent="0.2">
      <c r="A816" s="567"/>
      <c r="B816" s="2149"/>
      <c r="C816" s="2149"/>
      <c r="D816" s="1808"/>
      <c r="E816" s="1928"/>
      <c r="F816" s="1889"/>
      <c r="G816" s="1889"/>
      <c r="H816" s="1889"/>
      <c r="I816" s="1889"/>
      <c r="J816" s="1889"/>
      <c r="K816" s="1928"/>
      <c r="L816" s="1930"/>
      <c r="M816" s="1930"/>
      <c r="N816" s="1930"/>
      <c r="O816" s="1930"/>
      <c r="P816" s="1930"/>
      <c r="Q816" s="1930"/>
    </row>
    <row r="817" spans="1:17" ht="29.25" customHeight="1" x14ac:dyDescent="0.2">
      <c r="A817" s="567"/>
      <c r="B817" s="2149"/>
      <c r="C817" s="2149"/>
      <c r="D817" s="1808"/>
      <c r="E817" s="1928"/>
      <c r="F817" s="1889"/>
      <c r="G817" s="1889"/>
      <c r="H817" s="1889"/>
      <c r="I817" s="1889"/>
      <c r="J817" s="1889"/>
      <c r="K817" s="1928"/>
      <c r="L817" s="1930"/>
      <c r="M817" s="1930"/>
      <c r="N817" s="1930"/>
      <c r="O817" s="1930"/>
      <c r="P817" s="1930"/>
      <c r="Q817" s="1930"/>
    </row>
    <row r="818" spans="1:17" ht="29.25" customHeight="1" x14ac:dyDescent="0.2">
      <c r="A818" s="567"/>
      <c r="B818" s="1834"/>
      <c r="C818" s="1834"/>
      <c r="D818" s="1809"/>
      <c r="E818" s="1838"/>
      <c r="F818" s="2123"/>
      <c r="G818" s="2123"/>
      <c r="H818" s="2123"/>
      <c r="I818" s="2123"/>
      <c r="J818" s="2123"/>
      <c r="K818" s="1838"/>
      <c r="L818" s="1931"/>
      <c r="M818" s="1931"/>
      <c r="N818" s="1931"/>
      <c r="O818" s="1931"/>
      <c r="P818" s="1931"/>
      <c r="Q818" s="1931"/>
    </row>
    <row r="819" spans="1:17" ht="29.25" customHeight="1" x14ac:dyDescent="0.2">
      <c r="A819" s="567"/>
      <c r="B819" s="648"/>
      <c r="C819" s="1792" t="s">
        <v>1094</v>
      </c>
      <c r="D819" s="631"/>
      <c r="E819" s="1813" t="s">
        <v>2782</v>
      </c>
      <c r="F819" s="1787">
        <v>25165.1</v>
      </c>
      <c r="G819" s="1787">
        <v>26244.2</v>
      </c>
      <c r="H819" s="1787">
        <v>24619.3</v>
      </c>
      <c r="I819" s="1787">
        <v>25048.799999999999</v>
      </c>
      <c r="J819" s="1787">
        <v>25048.799999999999</v>
      </c>
      <c r="K819" s="697" t="s">
        <v>2783</v>
      </c>
      <c r="L819" s="414" t="s">
        <v>1095</v>
      </c>
      <c r="M819" s="905">
        <v>219.9</v>
      </c>
      <c r="N819" s="906">
        <v>233.8</v>
      </c>
      <c r="O819" s="906">
        <v>248.5</v>
      </c>
      <c r="P819" s="906">
        <v>262.60000000000002</v>
      </c>
      <c r="Q819" s="906">
        <v>277.5</v>
      </c>
    </row>
    <row r="820" spans="1:17" ht="29.25" customHeight="1" x14ac:dyDescent="0.2">
      <c r="A820" s="567"/>
      <c r="B820" s="648"/>
      <c r="C820" s="2079"/>
      <c r="D820" s="631"/>
      <c r="E820" s="1814"/>
      <c r="F820" s="1788"/>
      <c r="G820" s="1788"/>
      <c r="H820" s="1788"/>
      <c r="I820" s="1788"/>
      <c r="J820" s="1788"/>
      <c r="K820" s="697" t="s">
        <v>2784</v>
      </c>
      <c r="L820" s="414" t="s">
        <v>16</v>
      </c>
      <c r="M820" s="905">
        <v>102.6</v>
      </c>
      <c r="N820" s="906">
        <v>102</v>
      </c>
      <c r="O820" s="906">
        <v>102.7</v>
      </c>
      <c r="P820" s="906">
        <v>102.9</v>
      </c>
      <c r="Q820" s="906">
        <v>103.1</v>
      </c>
    </row>
    <row r="821" spans="1:17" ht="29.25" customHeight="1" x14ac:dyDescent="0.2">
      <c r="A821" s="567"/>
      <c r="B821" s="648"/>
      <c r="C821" s="2079"/>
      <c r="D821" s="631"/>
      <c r="E821" s="1814"/>
      <c r="F821" s="1788"/>
      <c r="G821" s="1788"/>
      <c r="H821" s="1788"/>
      <c r="I821" s="1788"/>
      <c r="J821" s="1788"/>
      <c r="K821" s="697" t="s">
        <v>2785</v>
      </c>
      <c r="L821" s="414" t="s">
        <v>590</v>
      </c>
      <c r="M821" s="401">
        <v>37.9</v>
      </c>
      <c r="N821" s="401">
        <v>41</v>
      </c>
      <c r="O821" s="401">
        <v>43.5</v>
      </c>
      <c r="P821" s="401">
        <v>47.1</v>
      </c>
      <c r="Q821" s="401">
        <v>50.6</v>
      </c>
    </row>
    <row r="822" spans="1:17" ht="29.25" customHeight="1" x14ac:dyDescent="0.2">
      <c r="A822" s="567"/>
      <c r="B822" s="648"/>
      <c r="C822" s="2079"/>
      <c r="D822" s="631"/>
      <c r="E822" s="1814"/>
      <c r="F822" s="1788"/>
      <c r="G822" s="1788"/>
      <c r="H822" s="1788"/>
      <c r="I822" s="1788"/>
      <c r="J822" s="1788"/>
      <c r="K822" s="697" t="s">
        <v>2786</v>
      </c>
      <c r="L822" s="414" t="s">
        <v>16</v>
      </c>
      <c r="M822" s="401">
        <v>103.9</v>
      </c>
      <c r="N822" s="401">
        <v>103.6</v>
      </c>
      <c r="O822" s="401">
        <v>104</v>
      </c>
      <c r="P822" s="401">
        <v>104.5</v>
      </c>
      <c r="Q822" s="401">
        <v>104.8</v>
      </c>
    </row>
    <row r="823" spans="1:17" ht="29.25" customHeight="1" x14ac:dyDescent="0.2">
      <c r="A823" s="567"/>
      <c r="B823" s="648"/>
      <c r="C823" s="2079"/>
      <c r="D823" s="631"/>
      <c r="E823" s="1814"/>
      <c r="F823" s="1788"/>
      <c r="G823" s="1788"/>
      <c r="H823" s="1788"/>
      <c r="I823" s="1788"/>
      <c r="J823" s="1788"/>
      <c r="K823" s="697" t="s">
        <v>2785</v>
      </c>
      <c r="L823" s="414" t="s">
        <v>1095</v>
      </c>
      <c r="M823" s="905">
        <v>110.5</v>
      </c>
      <c r="N823" s="905">
        <v>118.7</v>
      </c>
      <c r="O823" s="905">
        <v>127.9</v>
      </c>
      <c r="P823" s="905">
        <v>136.9</v>
      </c>
      <c r="Q823" s="905">
        <v>146.5</v>
      </c>
    </row>
    <row r="824" spans="1:17" ht="29.25" customHeight="1" x14ac:dyDescent="0.2">
      <c r="A824" s="567"/>
      <c r="B824" s="648"/>
      <c r="C824" s="2079"/>
      <c r="D824" s="631"/>
      <c r="E824" s="1814"/>
      <c r="F824" s="1788"/>
      <c r="G824" s="1788"/>
      <c r="H824" s="1788"/>
      <c r="I824" s="1788"/>
      <c r="J824" s="1788"/>
      <c r="K824" s="697" t="s">
        <v>2787</v>
      </c>
      <c r="L824" s="414" t="s">
        <v>16</v>
      </c>
      <c r="M824" s="905">
        <v>102.6</v>
      </c>
      <c r="N824" s="905">
        <v>107.7</v>
      </c>
      <c r="O824" s="905">
        <v>103</v>
      </c>
      <c r="P824" s="905">
        <v>103</v>
      </c>
      <c r="Q824" s="905">
        <v>103.3</v>
      </c>
    </row>
    <row r="825" spans="1:17" ht="29.25" customHeight="1" x14ac:dyDescent="0.2">
      <c r="A825" s="567"/>
      <c r="B825" s="648"/>
      <c r="C825" s="2079"/>
      <c r="D825" s="631"/>
      <c r="E825" s="1814"/>
      <c r="F825" s="1788"/>
      <c r="G825" s="1788"/>
      <c r="H825" s="1788"/>
      <c r="I825" s="1788"/>
      <c r="J825" s="1788"/>
      <c r="K825" s="697" t="s">
        <v>2785</v>
      </c>
      <c r="L825" s="414" t="s">
        <v>1095</v>
      </c>
      <c r="M825" s="905">
        <v>103.9</v>
      </c>
      <c r="N825" s="905">
        <v>109.3</v>
      </c>
      <c r="O825" s="905">
        <v>114.7</v>
      </c>
      <c r="P825" s="905">
        <v>119.8</v>
      </c>
      <c r="Q825" s="905">
        <v>125</v>
      </c>
    </row>
    <row r="826" spans="1:17" ht="29.25" customHeight="1" x14ac:dyDescent="0.2">
      <c r="A826" s="567"/>
      <c r="B826" s="648"/>
      <c r="C826" s="2079"/>
      <c r="D826" s="631"/>
      <c r="E826" s="1814"/>
      <c r="F826" s="1788"/>
      <c r="G826" s="1788"/>
      <c r="H826" s="1788"/>
      <c r="I826" s="1788"/>
      <c r="J826" s="1788"/>
      <c r="K826" s="697" t="s">
        <v>2788</v>
      </c>
      <c r="L826" s="414" t="s">
        <v>16</v>
      </c>
      <c r="M826" s="905">
        <v>102.5</v>
      </c>
      <c r="N826" s="905">
        <v>102.3</v>
      </c>
      <c r="O826" s="905">
        <v>102.6</v>
      </c>
      <c r="P826" s="905">
        <v>102.8</v>
      </c>
      <c r="Q826" s="905">
        <v>103</v>
      </c>
    </row>
    <row r="827" spans="1:17" ht="29.25" customHeight="1" x14ac:dyDescent="0.2">
      <c r="A827" s="567"/>
      <c r="B827" s="648"/>
      <c r="C827" s="1793"/>
      <c r="D827" s="631"/>
      <c r="E827" s="1815"/>
      <c r="F827" s="1789"/>
      <c r="G827" s="1789"/>
      <c r="H827" s="1789"/>
      <c r="I827" s="1789"/>
      <c r="J827" s="1789"/>
      <c r="K827" s="697" t="s">
        <v>2785</v>
      </c>
      <c r="L827" s="401" t="s">
        <v>1095</v>
      </c>
      <c r="M827" s="401">
        <v>103.9</v>
      </c>
      <c r="N827" s="401">
        <v>109.3</v>
      </c>
      <c r="O827" s="401">
        <v>114.7</v>
      </c>
      <c r="P827" s="401">
        <v>119.8</v>
      </c>
      <c r="Q827" s="401">
        <v>125</v>
      </c>
    </row>
    <row r="828" spans="1:17" ht="29.25" customHeight="1" x14ac:dyDescent="0.2">
      <c r="A828" s="567"/>
      <c r="B828" s="1792"/>
      <c r="C828" s="1792" t="s">
        <v>1096</v>
      </c>
      <c r="D828" s="1807"/>
      <c r="E828" s="1813" t="s">
        <v>1097</v>
      </c>
      <c r="F828" s="1787">
        <v>15312.9</v>
      </c>
      <c r="G828" s="1787">
        <v>17254.400000000001</v>
      </c>
      <c r="H828" s="1787">
        <v>15657.2</v>
      </c>
      <c r="I828" s="1787">
        <v>16125.3</v>
      </c>
      <c r="J828" s="1787">
        <v>15908.6</v>
      </c>
      <c r="K828" s="697"/>
      <c r="L828" s="401"/>
      <c r="M828" s="401"/>
      <c r="N828" s="401"/>
      <c r="O828" s="401"/>
      <c r="P828" s="401"/>
      <c r="Q828" s="401"/>
    </row>
    <row r="829" spans="1:17" ht="29.25" customHeight="1" x14ac:dyDescent="0.2">
      <c r="A829" s="20"/>
      <c r="B829" s="2079"/>
      <c r="C829" s="2079"/>
      <c r="D829" s="1808"/>
      <c r="E829" s="1814"/>
      <c r="F829" s="1788"/>
      <c r="G829" s="1788"/>
      <c r="H829" s="1788"/>
      <c r="I829" s="1788"/>
      <c r="J829" s="1788"/>
      <c r="K829" s="562" t="s">
        <v>2789</v>
      </c>
      <c r="L829" s="22" t="s">
        <v>16</v>
      </c>
      <c r="M829" s="22">
        <v>92</v>
      </c>
      <c r="N829" s="22">
        <v>97</v>
      </c>
      <c r="O829" s="22">
        <v>97</v>
      </c>
      <c r="P829" s="22">
        <v>97</v>
      </c>
      <c r="Q829" s="22">
        <v>97</v>
      </c>
    </row>
    <row r="830" spans="1:17" ht="29.25" customHeight="1" x14ac:dyDescent="0.2">
      <c r="A830" s="20"/>
      <c r="B830" s="2079"/>
      <c r="C830" s="2079"/>
      <c r="D830" s="1808"/>
      <c r="E830" s="1814"/>
      <c r="F830" s="1788"/>
      <c r="G830" s="1788"/>
      <c r="H830" s="1788"/>
      <c r="I830" s="1788"/>
      <c r="J830" s="1788"/>
      <c r="K830" s="697" t="s">
        <v>1098</v>
      </c>
      <c r="L830" s="22" t="s">
        <v>122</v>
      </c>
      <c r="M830" s="22">
        <v>3</v>
      </c>
      <c r="N830" s="22">
        <v>5</v>
      </c>
      <c r="O830" s="22">
        <v>5</v>
      </c>
      <c r="P830" s="22">
        <v>5</v>
      </c>
      <c r="Q830" s="22">
        <v>5</v>
      </c>
    </row>
    <row r="831" spans="1:17" ht="29.25" customHeight="1" x14ac:dyDescent="0.2">
      <c r="A831" s="20"/>
      <c r="B831" s="2079"/>
      <c r="C831" s="2079"/>
      <c r="D831" s="1808"/>
      <c r="E831" s="1814"/>
      <c r="F831" s="1788"/>
      <c r="G831" s="1788"/>
      <c r="H831" s="1788"/>
      <c r="I831" s="1788"/>
      <c r="J831" s="1788"/>
      <c r="K831" s="634" t="s">
        <v>1099</v>
      </c>
      <c r="L831" s="22" t="s">
        <v>265</v>
      </c>
      <c r="M831" s="22">
        <v>7</v>
      </c>
      <c r="N831" s="22">
        <v>7</v>
      </c>
      <c r="O831" s="22">
        <v>7</v>
      </c>
      <c r="P831" s="22">
        <v>7</v>
      </c>
      <c r="Q831" s="22">
        <v>7</v>
      </c>
    </row>
    <row r="832" spans="1:17" ht="29.25" customHeight="1" x14ac:dyDescent="0.2">
      <c r="A832" s="20"/>
      <c r="B832" s="2079"/>
      <c r="C832" s="2079"/>
      <c r="D832" s="1808"/>
      <c r="E832" s="1814"/>
      <c r="F832" s="1788"/>
      <c r="G832" s="1788"/>
      <c r="H832" s="1788"/>
      <c r="I832" s="1788"/>
      <c r="J832" s="1788"/>
      <c r="K832" s="634" t="s">
        <v>1100</v>
      </c>
      <c r="L832" s="22" t="s">
        <v>1101</v>
      </c>
      <c r="M832" s="22">
        <v>100</v>
      </c>
      <c r="N832" s="22">
        <v>100</v>
      </c>
      <c r="O832" s="22">
        <v>100</v>
      </c>
      <c r="P832" s="22">
        <v>100</v>
      </c>
      <c r="Q832" s="22">
        <v>100</v>
      </c>
    </row>
    <row r="833" spans="1:17" ht="29.25" customHeight="1" x14ac:dyDescent="0.2">
      <c r="A833" s="20"/>
      <c r="B833" s="2079"/>
      <c r="C833" s="2079"/>
      <c r="D833" s="1808"/>
      <c r="E833" s="1814"/>
      <c r="F833" s="1788"/>
      <c r="G833" s="1788"/>
      <c r="H833" s="1788"/>
      <c r="I833" s="1788"/>
      <c r="J833" s="1788"/>
      <c r="K833" s="634" t="s">
        <v>1102</v>
      </c>
      <c r="L833" s="22" t="s">
        <v>1101</v>
      </c>
      <c r="M833" s="22">
        <v>100</v>
      </c>
      <c r="N833" s="22">
        <v>100</v>
      </c>
      <c r="O833" s="22">
        <v>100</v>
      </c>
      <c r="P833" s="22">
        <v>100</v>
      </c>
      <c r="Q833" s="22">
        <v>100</v>
      </c>
    </row>
    <row r="834" spans="1:17" ht="29.25" customHeight="1" x14ac:dyDescent="0.2">
      <c r="A834" s="20"/>
      <c r="B834" s="2079"/>
      <c r="C834" s="2079"/>
      <c r="D834" s="1808"/>
      <c r="E834" s="1814"/>
      <c r="F834" s="1788"/>
      <c r="G834" s="1788"/>
      <c r="H834" s="1788"/>
      <c r="I834" s="1788"/>
      <c r="J834" s="1788"/>
      <c r="K834" s="1813" t="s">
        <v>1103</v>
      </c>
      <c r="L834" s="1827" t="s">
        <v>265</v>
      </c>
      <c r="M834" s="1827">
        <v>5</v>
      </c>
      <c r="N834" s="1827">
        <v>5</v>
      </c>
      <c r="O834" s="1827">
        <v>5</v>
      </c>
      <c r="P834" s="1827">
        <v>5</v>
      </c>
      <c r="Q834" s="1827">
        <v>5</v>
      </c>
    </row>
    <row r="835" spans="1:17" ht="29.25" customHeight="1" x14ac:dyDescent="0.2">
      <c r="A835" s="20"/>
      <c r="B835" s="2079"/>
      <c r="C835" s="2079"/>
      <c r="D835" s="1808"/>
      <c r="E835" s="1814"/>
      <c r="F835" s="1788"/>
      <c r="G835" s="1788"/>
      <c r="H835" s="1788"/>
      <c r="I835" s="1788"/>
      <c r="J835" s="1788"/>
      <c r="K835" s="1814"/>
      <c r="L835" s="1932"/>
      <c r="M835" s="1932"/>
      <c r="N835" s="1932"/>
      <c r="O835" s="1932"/>
      <c r="P835" s="1932"/>
      <c r="Q835" s="1932"/>
    </row>
    <row r="836" spans="1:17" ht="29.25" customHeight="1" x14ac:dyDescent="0.2">
      <c r="A836" s="20"/>
      <c r="B836" s="2079"/>
      <c r="C836" s="2079"/>
      <c r="D836" s="1808"/>
      <c r="E836" s="1814"/>
      <c r="F836" s="1788"/>
      <c r="G836" s="1788"/>
      <c r="H836" s="1788"/>
      <c r="I836" s="1788"/>
      <c r="J836" s="1788"/>
      <c r="K836" s="1814"/>
      <c r="L836" s="1932"/>
      <c r="M836" s="1932"/>
      <c r="N836" s="1932"/>
      <c r="O836" s="1932"/>
      <c r="P836" s="1932"/>
      <c r="Q836" s="1932"/>
    </row>
    <row r="837" spans="1:17" ht="29.25" customHeight="1" x14ac:dyDescent="0.2">
      <c r="A837" s="20"/>
      <c r="B837" s="1793"/>
      <c r="C837" s="1793"/>
      <c r="D837" s="1809"/>
      <c r="E837" s="1815"/>
      <c r="F837" s="1789"/>
      <c r="G837" s="1789"/>
      <c r="H837" s="1789"/>
      <c r="I837" s="1789"/>
      <c r="J837" s="1789"/>
      <c r="K837" s="1815"/>
      <c r="L837" s="1828"/>
      <c r="M837" s="1828"/>
      <c r="N837" s="1828"/>
      <c r="O837" s="1828"/>
      <c r="P837" s="1828"/>
      <c r="Q837" s="1828"/>
    </row>
    <row r="838" spans="1:17" ht="29.25" customHeight="1" x14ac:dyDescent="0.2">
      <c r="A838" s="20"/>
      <c r="B838" s="1792"/>
      <c r="C838" s="1792" t="s">
        <v>1104</v>
      </c>
      <c r="D838" s="1807"/>
      <c r="E838" s="1813" t="s">
        <v>1105</v>
      </c>
      <c r="F838" s="1787">
        <v>10678.2</v>
      </c>
      <c r="G838" s="1787">
        <v>12598.3</v>
      </c>
      <c r="H838" s="1787">
        <v>17696</v>
      </c>
      <c r="I838" s="1787">
        <v>18031.3</v>
      </c>
      <c r="J838" s="1787">
        <v>18031.3</v>
      </c>
      <c r="K838" s="697"/>
      <c r="L838" s="415"/>
      <c r="M838" s="415"/>
      <c r="N838" s="415"/>
      <c r="O838" s="415"/>
      <c r="P838" s="415"/>
      <c r="Q838" s="415"/>
    </row>
    <row r="839" spans="1:17" ht="48.75" customHeight="1" x14ac:dyDescent="0.2">
      <c r="A839" s="20"/>
      <c r="B839" s="2079"/>
      <c r="C839" s="2079"/>
      <c r="D839" s="1808"/>
      <c r="E839" s="1814"/>
      <c r="F839" s="1788"/>
      <c r="G839" s="1788"/>
      <c r="H839" s="1788"/>
      <c r="I839" s="1788"/>
      <c r="J839" s="1788"/>
      <c r="K839" s="697" t="s">
        <v>1106</v>
      </c>
      <c r="L839" s="22" t="s">
        <v>16</v>
      </c>
      <c r="M839" s="22">
        <v>46.2</v>
      </c>
      <c r="N839" s="22" t="s">
        <v>1107</v>
      </c>
      <c r="O839" s="22" t="s">
        <v>1107</v>
      </c>
      <c r="P839" s="22" t="s">
        <v>1107</v>
      </c>
      <c r="Q839" s="22" t="s">
        <v>1107</v>
      </c>
    </row>
    <row r="840" spans="1:17" ht="52.5" customHeight="1" x14ac:dyDescent="0.2">
      <c r="A840" s="20"/>
      <c r="B840" s="2079"/>
      <c r="C840" s="2079"/>
      <c r="D840" s="1808"/>
      <c r="E840" s="1814"/>
      <c r="F840" s="1788"/>
      <c r="G840" s="1788"/>
      <c r="H840" s="1788"/>
      <c r="I840" s="1788"/>
      <c r="J840" s="1788"/>
      <c r="K840" s="697" t="s">
        <v>1108</v>
      </c>
      <c r="L840" s="22" t="s">
        <v>463</v>
      </c>
      <c r="M840" s="693" t="s">
        <v>1109</v>
      </c>
      <c r="N840" s="22" t="s">
        <v>1107</v>
      </c>
      <c r="O840" s="22" t="s">
        <v>1107</v>
      </c>
      <c r="P840" s="22" t="s">
        <v>1107</v>
      </c>
      <c r="Q840" s="22" t="s">
        <v>1107</v>
      </c>
    </row>
    <row r="841" spans="1:17" ht="29.25" customHeight="1" x14ac:dyDescent="0.2">
      <c r="A841" s="20"/>
      <c r="B841" s="2079"/>
      <c r="C841" s="2079"/>
      <c r="D841" s="1808"/>
      <c r="E841" s="1814"/>
      <c r="F841" s="1788"/>
      <c r="G841" s="1788"/>
      <c r="H841" s="1788"/>
      <c r="I841" s="1788"/>
      <c r="J841" s="1788"/>
      <c r="K841" s="634" t="s">
        <v>1110</v>
      </c>
      <c r="L841" s="599" t="s">
        <v>265</v>
      </c>
      <c r="M841" s="599">
        <v>32</v>
      </c>
      <c r="N841" s="22" t="s">
        <v>1107</v>
      </c>
      <c r="O841" s="22" t="s">
        <v>1107</v>
      </c>
      <c r="P841" s="22" t="s">
        <v>1107</v>
      </c>
      <c r="Q841" s="22" t="s">
        <v>1107</v>
      </c>
    </row>
    <row r="842" spans="1:17" ht="29.25" customHeight="1" x14ac:dyDescent="0.2">
      <c r="A842" s="20"/>
      <c r="B842" s="2079"/>
      <c r="C842" s="2079"/>
      <c r="D842" s="1808"/>
      <c r="E842" s="1814"/>
      <c r="F842" s="1788"/>
      <c r="G842" s="1788"/>
      <c r="H842" s="1788"/>
      <c r="I842" s="1788"/>
      <c r="J842" s="1788"/>
      <c r="K842" s="562" t="s">
        <v>1111</v>
      </c>
      <c r="L842" s="680" t="s">
        <v>122</v>
      </c>
      <c r="M842" s="680">
        <v>648</v>
      </c>
      <c r="N842" s="22" t="s">
        <v>1107</v>
      </c>
      <c r="O842" s="22" t="s">
        <v>1107</v>
      </c>
      <c r="P842" s="22" t="s">
        <v>1107</v>
      </c>
      <c r="Q842" s="22" t="s">
        <v>1107</v>
      </c>
    </row>
    <row r="843" spans="1:17" ht="61.5" customHeight="1" x14ac:dyDescent="0.2">
      <c r="A843" s="20"/>
      <c r="B843" s="1793"/>
      <c r="C843" s="1793"/>
      <c r="D843" s="1809"/>
      <c r="E843" s="1815"/>
      <c r="F843" s="1789"/>
      <c r="G843" s="1789"/>
      <c r="H843" s="1789"/>
      <c r="I843" s="1789"/>
      <c r="J843" s="1789"/>
      <c r="K843" s="562" t="s">
        <v>1112</v>
      </c>
      <c r="L843" s="680" t="s">
        <v>16</v>
      </c>
      <c r="M843" s="22">
        <v>16</v>
      </c>
      <c r="N843" s="22">
        <v>16</v>
      </c>
      <c r="O843" s="22">
        <v>16</v>
      </c>
      <c r="P843" s="22">
        <v>16</v>
      </c>
      <c r="Q843" s="22">
        <v>16</v>
      </c>
    </row>
    <row r="844" spans="1:17" ht="29.25" customHeight="1" x14ac:dyDescent="0.2">
      <c r="A844" s="20"/>
      <c r="B844" s="696"/>
      <c r="C844" s="696" t="s">
        <v>1113</v>
      </c>
      <c r="D844" s="599"/>
      <c r="E844" s="697" t="s">
        <v>2790</v>
      </c>
      <c r="F844" s="1547">
        <v>75056.7</v>
      </c>
      <c r="G844" s="1547">
        <v>82604.100000000006</v>
      </c>
      <c r="H844" s="1547">
        <v>86007.6</v>
      </c>
      <c r="I844" s="1547">
        <v>87794.4</v>
      </c>
      <c r="J844" s="1547">
        <v>87794.4</v>
      </c>
      <c r="K844" s="697" t="s">
        <v>1114</v>
      </c>
      <c r="L844" s="416" t="s">
        <v>16</v>
      </c>
      <c r="M844" s="22">
        <v>7.7</v>
      </c>
      <c r="N844" s="22">
        <v>27</v>
      </c>
      <c r="O844" s="22">
        <v>25.5</v>
      </c>
      <c r="P844" s="417">
        <v>25.5</v>
      </c>
      <c r="Q844" s="22">
        <v>25.5</v>
      </c>
    </row>
    <row r="845" spans="1:17" ht="58.5" customHeight="1" x14ac:dyDescent="0.2">
      <c r="A845" s="20"/>
      <c r="B845" s="1184" t="s">
        <v>131</v>
      </c>
      <c r="C845" s="917"/>
      <c r="D845" s="917"/>
      <c r="E845" s="525" t="s">
        <v>2791</v>
      </c>
      <c r="F845" s="1660">
        <f>F846+F851+F852+F858+F860+F865+F867+F870+F871+F872+F873+F877+F879+F883+F887+F891+F894+F895+F896+F897</f>
        <v>849211.99999999988</v>
      </c>
      <c r="G845" s="1660">
        <f>G846+G851+G852+G858+G860+G865+G867+G870+G871+G872+G873+G877+G879+G883+G887+G891+G894+G895+G896+G897</f>
        <v>839550.99999999988</v>
      </c>
      <c r="H845" s="1660">
        <f>H846+H851+H852+H858+H860+H865+H867+H870+H871+H873+H877+H879+H883+H887+H891+H894+H895+H896+H897</f>
        <v>961527.1</v>
      </c>
      <c r="I845" s="1660">
        <f t="shared" ref="I845:J845" si="35">I846+I851+I852+I858+I860+I865+I867+I870+I871+I873+I877+I879+I883+I887+I891+I894+I895+I896+I897</f>
        <v>523370.89999999997</v>
      </c>
      <c r="J845" s="1660">
        <f t="shared" si="35"/>
        <v>547976.5</v>
      </c>
      <c r="K845" s="659" t="s">
        <v>1115</v>
      </c>
      <c r="L845" s="415" t="s">
        <v>16</v>
      </c>
      <c r="M845" s="415">
        <v>22.1</v>
      </c>
      <c r="N845" s="568">
        <v>57.1</v>
      </c>
      <c r="O845" s="568">
        <v>59.3</v>
      </c>
      <c r="P845" s="568">
        <v>59.3</v>
      </c>
      <c r="Q845" s="568">
        <v>59.3</v>
      </c>
    </row>
    <row r="846" spans="1:17" ht="29.25" customHeight="1" x14ac:dyDescent="0.2">
      <c r="A846" s="20"/>
      <c r="B846" s="1792"/>
      <c r="C846" s="1792" t="s">
        <v>114</v>
      </c>
      <c r="D846" s="1792"/>
      <c r="E846" s="1813" t="s">
        <v>2792</v>
      </c>
      <c r="F846" s="1874">
        <v>112039.6</v>
      </c>
      <c r="G846" s="1868">
        <v>119453.5</v>
      </c>
      <c r="H846" s="1868">
        <v>126182.39999999999</v>
      </c>
      <c r="I846" s="1868">
        <v>128102.7</v>
      </c>
      <c r="J846" s="1868">
        <v>128102.7</v>
      </c>
      <c r="K846" s="697" t="s">
        <v>1116</v>
      </c>
      <c r="L846" s="22" t="s">
        <v>1117</v>
      </c>
      <c r="M846" s="418">
        <v>114.5</v>
      </c>
      <c r="N846" s="418">
        <v>120</v>
      </c>
      <c r="O846" s="418">
        <v>120</v>
      </c>
      <c r="P846" s="418">
        <v>120</v>
      </c>
      <c r="Q846" s="418">
        <v>110</v>
      </c>
    </row>
    <row r="847" spans="1:17" ht="29.25" customHeight="1" x14ac:dyDescent="0.2">
      <c r="A847" s="20"/>
      <c r="B847" s="2079"/>
      <c r="C847" s="2079"/>
      <c r="D847" s="2079"/>
      <c r="E847" s="1814"/>
      <c r="F847" s="1875"/>
      <c r="G847" s="1869"/>
      <c r="H847" s="1869"/>
      <c r="I847" s="1869"/>
      <c r="J847" s="1869"/>
      <c r="K847" s="697" t="s">
        <v>1118</v>
      </c>
      <c r="L847" s="22" t="s">
        <v>1117</v>
      </c>
      <c r="M847" s="418">
        <v>0.5</v>
      </c>
      <c r="N847" s="418">
        <v>2</v>
      </c>
      <c r="O847" s="418">
        <v>2</v>
      </c>
      <c r="P847" s="418">
        <v>2</v>
      </c>
      <c r="Q847" s="418">
        <v>2</v>
      </c>
    </row>
    <row r="848" spans="1:17" ht="29.25" customHeight="1" x14ac:dyDescent="0.2">
      <c r="A848" s="20"/>
      <c r="B848" s="2079"/>
      <c r="C848" s="2079"/>
      <c r="D848" s="2079"/>
      <c r="E848" s="1814"/>
      <c r="F848" s="1875"/>
      <c r="G848" s="1869"/>
      <c r="H848" s="1869"/>
      <c r="I848" s="1869"/>
      <c r="J848" s="1869"/>
      <c r="K848" s="697" t="s">
        <v>1119</v>
      </c>
      <c r="L848" s="41" t="s">
        <v>1117</v>
      </c>
      <c r="M848" s="418">
        <v>156.4</v>
      </c>
      <c r="N848" s="418">
        <v>160</v>
      </c>
      <c r="O848" s="418">
        <v>160</v>
      </c>
      <c r="P848" s="418">
        <v>160</v>
      </c>
      <c r="Q848" s="418">
        <v>150</v>
      </c>
    </row>
    <row r="849" spans="1:17" ht="29.25" customHeight="1" x14ac:dyDescent="0.2">
      <c r="A849" s="20"/>
      <c r="B849" s="2079"/>
      <c r="C849" s="2079"/>
      <c r="D849" s="2079"/>
      <c r="E849" s="1814"/>
      <c r="F849" s="1875"/>
      <c r="G849" s="1869"/>
      <c r="H849" s="1869"/>
      <c r="I849" s="1869"/>
      <c r="J849" s="1869"/>
      <c r="K849" s="697" t="s">
        <v>1120</v>
      </c>
      <c r="L849" s="41" t="s">
        <v>1117</v>
      </c>
      <c r="M849" s="418">
        <v>0.9</v>
      </c>
      <c r="N849" s="418">
        <v>3</v>
      </c>
      <c r="O849" s="418">
        <v>3</v>
      </c>
      <c r="P849" s="418">
        <v>3</v>
      </c>
      <c r="Q849" s="418">
        <v>3</v>
      </c>
    </row>
    <row r="850" spans="1:17" ht="29.25" customHeight="1" x14ac:dyDescent="0.2">
      <c r="A850" s="20"/>
      <c r="B850" s="1793"/>
      <c r="C850" s="1793"/>
      <c r="D850" s="1793"/>
      <c r="E850" s="1815"/>
      <c r="F850" s="1876"/>
      <c r="G850" s="1870"/>
      <c r="H850" s="1870"/>
      <c r="I850" s="1870"/>
      <c r="J850" s="1870"/>
      <c r="K850" s="697" t="s">
        <v>1121</v>
      </c>
      <c r="L850" s="41" t="s">
        <v>1122</v>
      </c>
      <c r="M850" s="418">
        <v>612.5</v>
      </c>
      <c r="N850" s="418">
        <v>715</v>
      </c>
      <c r="O850" s="418">
        <v>715</v>
      </c>
      <c r="P850" s="418">
        <v>715</v>
      </c>
      <c r="Q850" s="418">
        <v>715</v>
      </c>
    </row>
    <row r="851" spans="1:17" ht="29.25" customHeight="1" x14ac:dyDescent="0.2">
      <c r="A851" s="20"/>
      <c r="B851" s="917"/>
      <c r="C851" s="917" t="s">
        <v>116</v>
      </c>
      <c r="D851" s="1184"/>
      <c r="E851" s="1371" t="s">
        <v>1123</v>
      </c>
      <c r="F851" s="1555" t="s">
        <v>1124</v>
      </c>
      <c r="G851" s="1555">
        <v>21827</v>
      </c>
      <c r="H851" s="1555">
        <v>17435.3</v>
      </c>
      <c r="I851" s="1555">
        <v>17841.8</v>
      </c>
      <c r="J851" s="1555">
        <v>17841.8</v>
      </c>
      <c r="K851" s="697" t="s">
        <v>1125</v>
      </c>
      <c r="L851" s="693" t="s">
        <v>1126</v>
      </c>
      <c r="M851" s="693" t="s">
        <v>1127</v>
      </c>
      <c r="N851" s="1372" t="s">
        <v>1092</v>
      </c>
      <c r="O851" s="1372" t="s">
        <v>1092</v>
      </c>
      <c r="P851" s="1372" t="s">
        <v>1092</v>
      </c>
      <c r="Q851" s="1372" t="s">
        <v>1092</v>
      </c>
    </row>
    <row r="852" spans="1:17" ht="29.25" customHeight="1" x14ac:dyDescent="0.2">
      <c r="A852" s="20"/>
      <c r="B852" s="2394"/>
      <c r="C852" s="2394" t="s">
        <v>119</v>
      </c>
      <c r="D852" s="2394"/>
      <c r="E852" s="2397" t="s">
        <v>1128</v>
      </c>
      <c r="F852" s="1868" t="s">
        <v>1129</v>
      </c>
      <c r="G852" s="1868" t="s">
        <v>1130</v>
      </c>
      <c r="H852" s="1868" t="s">
        <v>1131</v>
      </c>
      <c r="I852" s="1868" t="s">
        <v>1132</v>
      </c>
      <c r="J852" s="1868" t="s">
        <v>1132</v>
      </c>
      <c r="K852" s="697" t="s">
        <v>1133</v>
      </c>
      <c r="L852" s="41" t="s">
        <v>1117</v>
      </c>
      <c r="M852" s="419">
        <v>138.30000000000001</v>
      </c>
      <c r="N852" s="419">
        <v>140</v>
      </c>
      <c r="O852" s="419">
        <v>140</v>
      </c>
      <c r="P852" s="419">
        <v>142</v>
      </c>
      <c r="Q852" s="419">
        <v>145</v>
      </c>
    </row>
    <row r="853" spans="1:17" ht="29.25" customHeight="1" x14ac:dyDescent="0.2">
      <c r="A853" s="20"/>
      <c r="B853" s="2395"/>
      <c r="C853" s="2395"/>
      <c r="D853" s="2395"/>
      <c r="E853" s="2398"/>
      <c r="F853" s="1869"/>
      <c r="G853" s="1869"/>
      <c r="H853" s="1869"/>
      <c r="I853" s="1869"/>
      <c r="J853" s="1869"/>
      <c r="K853" s="697" t="s">
        <v>1134</v>
      </c>
      <c r="L853" s="420"/>
      <c r="M853" s="421"/>
      <c r="N853" s="421"/>
      <c r="O853" s="419"/>
      <c r="P853" s="419"/>
      <c r="Q853" s="419"/>
    </row>
    <row r="854" spans="1:17" ht="29.25" customHeight="1" x14ac:dyDescent="0.2">
      <c r="A854" s="20"/>
      <c r="B854" s="2395"/>
      <c r="C854" s="2395"/>
      <c r="D854" s="2395"/>
      <c r="E854" s="2398"/>
      <c r="F854" s="1869"/>
      <c r="G854" s="1869"/>
      <c r="H854" s="1869"/>
      <c r="I854" s="1869"/>
      <c r="J854" s="1869"/>
      <c r="K854" s="697" t="s">
        <v>1135</v>
      </c>
      <c r="L854" s="697" t="s">
        <v>1136</v>
      </c>
      <c r="M854" s="599">
        <v>42.5</v>
      </c>
      <c r="N854" s="22">
        <v>43</v>
      </c>
      <c r="O854" s="418">
        <v>44</v>
      </c>
      <c r="P854" s="22">
        <v>45</v>
      </c>
      <c r="Q854" s="418">
        <v>45</v>
      </c>
    </row>
    <row r="855" spans="1:17" ht="29.25" customHeight="1" x14ac:dyDescent="0.2">
      <c r="A855" s="20"/>
      <c r="B855" s="2395"/>
      <c r="C855" s="2395"/>
      <c r="D855" s="2395"/>
      <c r="E855" s="2398"/>
      <c r="F855" s="1869"/>
      <c r="G855" s="1869"/>
      <c r="H855" s="1869"/>
      <c r="I855" s="1869"/>
      <c r="J855" s="1869"/>
      <c r="K855" s="697" t="s">
        <v>1137</v>
      </c>
      <c r="L855" s="697" t="s">
        <v>1138</v>
      </c>
      <c r="M855" s="599">
        <v>10347</v>
      </c>
      <c r="N855" s="416">
        <v>9000</v>
      </c>
      <c r="O855" s="422">
        <v>9200</v>
      </c>
      <c r="P855" s="422">
        <v>9200</v>
      </c>
      <c r="Q855" s="422">
        <v>9200</v>
      </c>
    </row>
    <row r="856" spans="1:17" ht="29.25" customHeight="1" x14ac:dyDescent="0.2">
      <c r="A856" s="20"/>
      <c r="B856" s="2395"/>
      <c r="C856" s="2395"/>
      <c r="D856" s="2395"/>
      <c r="E856" s="2398"/>
      <c r="F856" s="1869"/>
      <c r="G856" s="1869"/>
      <c r="H856" s="1869"/>
      <c r="I856" s="1869"/>
      <c r="J856" s="1869"/>
      <c r="K856" s="697" t="s">
        <v>1139</v>
      </c>
      <c r="L856" s="697" t="s">
        <v>1140</v>
      </c>
      <c r="M856" s="599">
        <v>204.1</v>
      </c>
      <c r="N856" s="422">
        <v>200</v>
      </c>
      <c r="O856" s="422">
        <v>202</v>
      </c>
      <c r="P856" s="422">
        <v>202</v>
      </c>
      <c r="Q856" s="422">
        <v>202</v>
      </c>
    </row>
    <row r="857" spans="1:17" ht="29.25" customHeight="1" x14ac:dyDescent="0.2">
      <c r="A857" s="20"/>
      <c r="B857" s="2396"/>
      <c r="C857" s="2396"/>
      <c r="D857" s="2396"/>
      <c r="E857" s="2399"/>
      <c r="F857" s="1870"/>
      <c r="G857" s="1870"/>
      <c r="H857" s="1870"/>
      <c r="I857" s="1870"/>
      <c r="J857" s="1870"/>
      <c r="K857" s="697" t="s">
        <v>1141</v>
      </c>
      <c r="L857" s="697" t="s">
        <v>1142</v>
      </c>
      <c r="M857" s="599">
        <v>48.3</v>
      </c>
      <c r="N857" s="422">
        <v>49</v>
      </c>
      <c r="O857" s="422">
        <v>49</v>
      </c>
      <c r="P857" s="422">
        <v>49</v>
      </c>
      <c r="Q857" s="422">
        <v>49</v>
      </c>
    </row>
    <row r="858" spans="1:17" ht="29.25" customHeight="1" x14ac:dyDescent="0.2">
      <c r="A858" s="20"/>
      <c r="B858" s="1792"/>
      <c r="C858" s="1792" t="s">
        <v>124</v>
      </c>
      <c r="D858" s="1792"/>
      <c r="E858" s="1747" t="s">
        <v>1143</v>
      </c>
      <c r="F858" s="1874">
        <v>11023.1</v>
      </c>
      <c r="G858" s="1868">
        <v>10575.7</v>
      </c>
      <c r="H858" s="1868">
        <v>12830.6</v>
      </c>
      <c r="I858" s="1868">
        <v>13086.3</v>
      </c>
      <c r="J858" s="1868">
        <v>13086.3</v>
      </c>
      <c r="K858" s="697" t="s">
        <v>1144</v>
      </c>
      <c r="L858" s="41" t="s">
        <v>122</v>
      </c>
      <c r="M858" s="599">
        <v>341</v>
      </c>
      <c r="N858" s="22">
        <v>290</v>
      </c>
      <c r="O858" s="22">
        <v>300</v>
      </c>
      <c r="P858" s="22">
        <v>300</v>
      </c>
      <c r="Q858" s="22">
        <v>300</v>
      </c>
    </row>
    <row r="859" spans="1:17" ht="29.25" customHeight="1" x14ac:dyDescent="0.2">
      <c r="A859" s="20"/>
      <c r="B859" s="1793"/>
      <c r="C859" s="1793"/>
      <c r="D859" s="1793"/>
      <c r="E859" s="1748"/>
      <c r="F859" s="1876"/>
      <c r="G859" s="1870"/>
      <c r="H859" s="1870"/>
      <c r="I859" s="1870"/>
      <c r="J859" s="1870"/>
      <c r="K859" s="697" t="s">
        <v>1145</v>
      </c>
      <c r="L859" s="41" t="s">
        <v>1146</v>
      </c>
      <c r="M859" s="599">
        <v>90</v>
      </c>
      <c r="N859" s="22">
        <v>73</v>
      </c>
      <c r="O859" s="22">
        <v>75</v>
      </c>
      <c r="P859" s="22">
        <v>75</v>
      </c>
      <c r="Q859" s="22">
        <v>75</v>
      </c>
    </row>
    <row r="860" spans="1:17" ht="29.25" customHeight="1" x14ac:dyDescent="0.2">
      <c r="A860" s="20"/>
      <c r="B860" s="1792"/>
      <c r="C860" s="1792" t="s">
        <v>128</v>
      </c>
      <c r="D860" s="1746"/>
      <c r="E860" s="1813" t="s">
        <v>1147</v>
      </c>
      <c r="F860" s="1868">
        <v>18609.599999999999</v>
      </c>
      <c r="G860" s="1868">
        <v>86355.9</v>
      </c>
      <c r="H860" s="1868">
        <v>22272</v>
      </c>
      <c r="I860" s="1868">
        <v>23711</v>
      </c>
      <c r="J860" s="1868">
        <v>27947</v>
      </c>
      <c r="K860" s="561" t="s">
        <v>1148</v>
      </c>
      <c r="L860" s="561" t="s">
        <v>1117</v>
      </c>
      <c r="M860" s="1373">
        <v>1214.9000000000001</v>
      </c>
      <c r="N860" s="1373">
        <v>1214.9000000000001</v>
      </c>
      <c r="O860" s="1373">
        <v>1214.9000000000001</v>
      </c>
      <c r="P860" s="1373">
        <v>1214.9000000000001</v>
      </c>
      <c r="Q860" s="1373">
        <v>1214.9000000000001</v>
      </c>
    </row>
    <row r="861" spans="1:17" ht="29.25" customHeight="1" x14ac:dyDescent="0.2">
      <c r="A861" s="20"/>
      <c r="B861" s="2079"/>
      <c r="C861" s="2079"/>
      <c r="D861" s="1746"/>
      <c r="E861" s="1814"/>
      <c r="F861" s="1869"/>
      <c r="G861" s="1869"/>
      <c r="H861" s="1869"/>
      <c r="I861" s="1869"/>
      <c r="J861" s="1869"/>
      <c r="K861" s="697" t="s">
        <v>1149</v>
      </c>
      <c r="L861" s="22" t="s">
        <v>1117</v>
      </c>
      <c r="M861" s="22">
        <v>8.4</v>
      </c>
      <c r="N861" s="591">
        <v>10</v>
      </c>
      <c r="O861" s="591">
        <v>10.5</v>
      </c>
      <c r="P861" s="591">
        <v>10.5</v>
      </c>
      <c r="Q861" s="591">
        <v>10.5</v>
      </c>
    </row>
    <row r="862" spans="1:17" ht="29.25" customHeight="1" x14ac:dyDescent="0.2">
      <c r="A862" s="20"/>
      <c r="B862" s="2079"/>
      <c r="C862" s="2079"/>
      <c r="D862" s="1746"/>
      <c r="E862" s="1814"/>
      <c r="F862" s="1869"/>
      <c r="G862" s="1869"/>
      <c r="H862" s="1869"/>
      <c r="I862" s="1869"/>
      <c r="J862" s="1869"/>
      <c r="K862" s="562" t="s">
        <v>1150</v>
      </c>
      <c r="L862" s="680" t="s">
        <v>1117</v>
      </c>
      <c r="M862" s="657">
        <v>1.6</v>
      </c>
      <c r="N862" s="660">
        <v>1.7</v>
      </c>
      <c r="O862" s="660">
        <v>1.8</v>
      </c>
      <c r="P862" s="660">
        <v>1.9</v>
      </c>
      <c r="Q862" s="660">
        <v>2</v>
      </c>
    </row>
    <row r="863" spans="1:17" ht="29.25" customHeight="1" x14ac:dyDescent="0.2">
      <c r="A863" s="20"/>
      <c r="B863" s="2079"/>
      <c r="C863" s="2079"/>
      <c r="D863" s="1746"/>
      <c r="E863" s="1814"/>
      <c r="F863" s="1869"/>
      <c r="G863" s="1869"/>
      <c r="H863" s="1869"/>
      <c r="I863" s="1869"/>
      <c r="J863" s="1869"/>
      <c r="K863" s="562" t="s">
        <v>1151</v>
      </c>
      <c r="L863" s="680" t="s">
        <v>1122</v>
      </c>
      <c r="M863" s="657">
        <v>49</v>
      </c>
      <c r="N863" s="660">
        <v>50</v>
      </c>
      <c r="O863" s="660">
        <v>50.5</v>
      </c>
      <c r="P863" s="660">
        <v>50.7</v>
      </c>
      <c r="Q863" s="660">
        <v>50.9</v>
      </c>
    </row>
    <row r="864" spans="1:17" ht="29.25" customHeight="1" x14ac:dyDescent="0.2">
      <c r="A864" s="20"/>
      <c r="B864" s="1793"/>
      <c r="C864" s="1793"/>
      <c r="D864" s="1746"/>
      <c r="E864" s="1815"/>
      <c r="F864" s="1870"/>
      <c r="G864" s="1870"/>
      <c r="H864" s="1870"/>
      <c r="I864" s="1870"/>
      <c r="J864" s="1870"/>
      <c r="K864" s="561" t="s">
        <v>1152</v>
      </c>
      <c r="L864" s="680" t="s">
        <v>1122</v>
      </c>
      <c r="M864" s="657">
        <v>80</v>
      </c>
      <c r="N864" s="680">
        <v>80.5</v>
      </c>
      <c r="O864" s="680">
        <v>81</v>
      </c>
      <c r="P864" s="680">
        <v>81</v>
      </c>
      <c r="Q864" s="680">
        <v>81.5</v>
      </c>
    </row>
    <row r="865" spans="1:17" ht="29.25" customHeight="1" x14ac:dyDescent="0.2">
      <c r="A865" s="20"/>
      <c r="B865" s="1792"/>
      <c r="C865" s="1792" t="s">
        <v>202</v>
      </c>
      <c r="D865" s="1746"/>
      <c r="E865" s="1813" t="s">
        <v>1153</v>
      </c>
      <c r="F865" s="1868">
        <v>4409.3</v>
      </c>
      <c r="G865" s="1868">
        <v>3855.8</v>
      </c>
      <c r="H865" s="1868">
        <v>4128.8999999999996</v>
      </c>
      <c r="I865" s="1868">
        <v>4189</v>
      </c>
      <c r="J865" s="1868">
        <v>4189</v>
      </c>
      <c r="K865" s="697" t="s">
        <v>1154</v>
      </c>
      <c r="L865" s="22" t="s">
        <v>1117</v>
      </c>
      <c r="M865" s="418">
        <v>3.4</v>
      </c>
      <c r="N865" s="418">
        <v>3.3</v>
      </c>
      <c r="O865" s="418">
        <v>3.6</v>
      </c>
      <c r="P865" s="418">
        <v>3.8</v>
      </c>
      <c r="Q865" s="418">
        <v>4</v>
      </c>
    </row>
    <row r="866" spans="1:17" ht="29.25" customHeight="1" x14ac:dyDescent="0.2">
      <c r="A866" s="20"/>
      <c r="B866" s="1793"/>
      <c r="C866" s="1793"/>
      <c r="D866" s="1746"/>
      <c r="E866" s="1815"/>
      <c r="F866" s="1870"/>
      <c r="G866" s="1870"/>
      <c r="H866" s="1870"/>
      <c r="I866" s="1870"/>
      <c r="J866" s="1870"/>
      <c r="K866" s="634" t="s">
        <v>1155</v>
      </c>
      <c r="L866" s="628" t="s">
        <v>1138</v>
      </c>
      <c r="M866" s="423">
        <v>300</v>
      </c>
      <c r="N866" s="423">
        <v>330</v>
      </c>
      <c r="O866" s="423">
        <v>360</v>
      </c>
      <c r="P866" s="423">
        <v>390</v>
      </c>
      <c r="Q866" s="423">
        <v>390</v>
      </c>
    </row>
    <row r="867" spans="1:17" ht="29.25" customHeight="1" x14ac:dyDescent="0.2">
      <c r="A867" s="20"/>
      <c r="B867" s="1792"/>
      <c r="C867" s="1792" t="s">
        <v>149</v>
      </c>
      <c r="D867" s="1792"/>
      <c r="E867" s="1813" t="s">
        <v>1156</v>
      </c>
      <c r="F867" s="1868">
        <v>6744.4</v>
      </c>
      <c r="G867" s="1868">
        <v>5879</v>
      </c>
      <c r="H867" s="1868">
        <v>6394.3</v>
      </c>
      <c r="I867" s="1868">
        <v>6512.9</v>
      </c>
      <c r="J867" s="1868">
        <v>6512.9</v>
      </c>
      <c r="K867" s="697" t="s">
        <v>1157</v>
      </c>
      <c r="L867" s="697" t="s">
        <v>1158</v>
      </c>
      <c r="M867" s="697">
        <v>1559</v>
      </c>
      <c r="N867" s="424">
        <v>1300</v>
      </c>
      <c r="O867" s="424">
        <v>1370</v>
      </c>
      <c r="P867" s="424">
        <v>1390</v>
      </c>
      <c r="Q867" s="424">
        <v>1400</v>
      </c>
    </row>
    <row r="868" spans="1:17" ht="29.25" customHeight="1" x14ac:dyDescent="0.2">
      <c r="A868" s="20"/>
      <c r="B868" s="2079"/>
      <c r="C868" s="2079"/>
      <c r="D868" s="2079"/>
      <c r="E868" s="1814"/>
      <c r="F868" s="1869"/>
      <c r="G868" s="1869"/>
      <c r="H868" s="1869"/>
      <c r="I868" s="1869"/>
      <c r="J868" s="1869"/>
      <c r="K868" s="697" t="s">
        <v>1159</v>
      </c>
      <c r="L868" s="426" t="s">
        <v>1160</v>
      </c>
      <c r="M868" s="697">
        <v>6567</v>
      </c>
      <c r="N868" s="424">
        <v>5750</v>
      </c>
      <c r="O868" s="424">
        <v>5200</v>
      </c>
      <c r="P868" s="424">
        <v>5200</v>
      </c>
      <c r="Q868" s="424">
        <v>5200</v>
      </c>
    </row>
    <row r="869" spans="1:17" ht="29.25" customHeight="1" x14ac:dyDescent="0.2">
      <c r="A869" s="20"/>
      <c r="B869" s="1793"/>
      <c r="C869" s="1793"/>
      <c r="D869" s="1793"/>
      <c r="E869" s="1815"/>
      <c r="F869" s="1870"/>
      <c r="G869" s="1870"/>
      <c r="H869" s="1870"/>
      <c r="I869" s="1870"/>
      <c r="J869" s="1870"/>
      <c r="K869" s="697" t="s">
        <v>1161</v>
      </c>
      <c r="L869" s="697" t="s">
        <v>1162</v>
      </c>
      <c r="M869" s="634">
        <v>2180</v>
      </c>
      <c r="N869" s="666">
        <v>2222</v>
      </c>
      <c r="O869" s="666">
        <v>2300</v>
      </c>
      <c r="P869" s="666">
        <v>2300</v>
      </c>
      <c r="Q869" s="666">
        <v>2300</v>
      </c>
    </row>
    <row r="870" spans="1:17" ht="59.25" customHeight="1" x14ac:dyDescent="0.2">
      <c r="A870" s="20"/>
      <c r="B870" s="696"/>
      <c r="C870" s="696"/>
      <c r="D870" s="427"/>
      <c r="E870" s="41" t="s">
        <v>1163</v>
      </c>
      <c r="F870" s="1568">
        <v>31714.5</v>
      </c>
      <c r="G870" s="1568">
        <v>0</v>
      </c>
      <c r="H870" s="1568">
        <v>0</v>
      </c>
      <c r="I870" s="1568">
        <v>0</v>
      </c>
      <c r="J870" s="1661">
        <v>0</v>
      </c>
      <c r="K870" s="697" t="s">
        <v>1164</v>
      </c>
      <c r="L870" s="41" t="s">
        <v>1165</v>
      </c>
      <c r="M870" s="569"/>
      <c r="N870" s="569"/>
      <c r="O870" s="569"/>
      <c r="P870" s="569"/>
      <c r="Q870" s="569"/>
    </row>
    <row r="871" spans="1:17" ht="66.75" customHeight="1" x14ac:dyDescent="0.2">
      <c r="A871" s="20"/>
      <c r="B871" s="917"/>
      <c r="C871" s="917"/>
      <c r="D871" s="917"/>
      <c r="E871" s="562" t="s">
        <v>1166</v>
      </c>
      <c r="F871" s="1548">
        <v>6148.6</v>
      </c>
      <c r="G871" s="1548">
        <v>0</v>
      </c>
      <c r="H871" s="1548">
        <v>0</v>
      </c>
      <c r="I871" s="1548">
        <v>0</v>
      </c>
      <c r="J871" s="1662">
        <v>0</v>
      </c>
      <c r="K871" s="697" t="s">
        <v>1167</v>
      </c>
      <c r="L871" s="22" t="s">
        <v>1165</v>
      </c>
      <c r="M871" s="591"/>
      <c r="N871" s="591"/>
      <c r="O871" s="591"/>
      <c r="P871" s="591"/>
      <c r="Q871" s="591"/>
    </row>
    <row r="872" spans="1:17" ht="29.25" customHeight="1" x14ac:dyDescent="0.2">
      <c r="A872" s="20"/>
      <c r="B872" s="917"/>
      <c r="C872" s="917" t="s">
        <v>152</v>
      </c>
      <c r="D872" s="1184"/>
      <c r="E872" s="562" t="s">
        <v>1168</v>
      </c>
      <c r="F872" s="1555">
        <v>169000</v>
      </c>
      <c r="G872" s="1548">
        <v>133315.5</v>
      </c>
      <c r="H872" s="1548">
        <v>0</v>
      </c>
      <c r="I872" s="1548">
        <v>0</v>
      </c>
      <c r="J872" s="1662">
        <v>0</v>
      </c>
      <c r="K872" s="697" t="s">
        <v>1169</v>
      </c>
      <c r="L872" s="428" t="s">
        <v>1146</v>
      </c>
      <c r="M872" s="429">
        <v>890</v>
      </c>
      <c r="N872" s="430">
        <v>990</v>
      </c>
      <c r="O872" s="430">
        <v>0</v>
      </c>
      <c r="P872" s="430">
        <v>0</v>
      </c>
      <c r="Q872" s="599">
        <v>0</v>
      </c>
    </row>
    <row r="873" spans="1:17" ht="29.25" customHeight="1" x14ac:dyDescent="0.2">
      <c r="A873" s="20"/>
      <c r="B873" s="1792"/>
      <c r="C873" s="1792" t="s">
        <v>279</v>
      </c>
      <c r="D873" s="1792"/>
      <c r="E873" s="1813" t="s">
        <v>1170</v>
      </c>
      <c r="F873" s="1868">
        <v>3812.1</v>
      </c>
      <c r="G873" s="1868">
        <v>3734.8999999999996</v>
      </c>
      <c r="H873" s="1868">
        <v>4539.5</v>
      </c>
      <c r="I873" s="1868">
        <v>4644.2</v>
      </c>
      <c r="J873" s="1868">
        <v>4644.2</v>
      </c>
      <c r="K873" s="697" t="s">
        <v>1171</v>
      </c>
      <c r="L873" s="41" t="s">
        <v>16</v>
      </c>
      <c r="M873" s="22">
        <v>102.1</v>
      </c>
      <c r="N873" s="22">
        <v>102.4</v>
      </c>
      <c r="O873" s="22">
        <v>102.6</v>
      </c>
      <c r="P873" s="22">
        <v>102.6</v>
      </c>
      <c r="Q873" s="22">
        <v>102.6</v>
      </c>
    </row>
    <row r="874" spans="1:17" ht="29.25" customHeight="1" x14ac:dyDescent="0.2">
      <c r="A874" s="20"/>
      <c r="B874" s="2079"/>
      <c r="C874" s="2079"/>
      <c r="D874" s="2079"/>
      <c r="E874" s="1814"/>
      <c r="F874" s="1869"/>
      <c r="G874" s="1869"/>
      <c r="H874" s="1869"/>
      <c r="I874" s="1869"/>
      <c r="J874" s="1869"/>
      <c r="K874" s="697" t="s">
        <v>1172</v>
      </c>
      <c r="L874" s="40" t="s">
        <v>1173</v>
      </c>
      <c r="M874" s="22">
        <v>81505</v>
      </c>
      <c r="N874" s="599">
        <v>85000</v>
      </c>
      <c r="O874" s="599">
        <v>85000</v>
      </c>
      <c r="P874" s="599">
        <v>90000</v>
      </c>
      <c r="Q874" s="599">
        <v>95000</v>
      </c>
    </row>
    <row r="875" spans="1:17" ht="29.25" customHeight="1" x14ac:dyDescent="0.2">
      <c r="A875" s="20"/>
      <c r="B875" s="2079"/>
      <c r="C875" s="2079"/>
      <c r="D875" s="2079"/>
      <c r="E875" s="1814"/>
      <c r="F875" s="1869"/>
      <c r="G875" s="1869"/>
      <c r="H875" s="1869"/>
      <c r="I875" s="1869"/>
      <c r="J875" s="1869"/>
      <c r="K875" s="697" t="s">
        <v>1174</v>
      </c>
      <c r="L875" s="40" t="s">
        <v>1173</v>
      </c>
      <c r="M875" s="22">
        <v>21738</v>
      </c>
      <c r="N875" s="599">
        <v>22000</v>
      </c>
      <c r="O875" s="599">
        <v>25000</v>
      </c>
      <c r="P875" s="599">
        <v>30000</v>
      </c>
      <c r="Q875" s="599">
        <v>36000</v>
      </c>
    </row>
    <row r="876" spans="1:17" ht="29.25" customHeight="1" x14ac:dyDescent="0.2">
      <c r="A876" s="20"/>
      <c r="B876" s="1793"/>
      <c r="C876" s="1793"/>
      <c r="D876" s="1793"/>
      <c r="E876" s="1815"/>
      <c r="F876" s="1870"/>
      <c r="G876" s="1870"/>
      <c r="H876" s="1870"/>
      <c r="I876" s="1870"/>
      <c r="J876" s="1870"/>
      <c r="K876" s="697" t="s">
        <v>1175</v>
      </c>
      <c r="L876" s="40" t="s">
        <v>1173</v>
      </c>
      <c r="M876" s="22">
        <v>300</v>
      </c>
      <c r="N876" s="431">
        <v>300</v>
      </c>
      <c r="O876" s="431">
        <v>300</v>
      </c>
      <c r="P876" s="431">
        <v>300</v>
      </c>
      <c r="Q876" s="431">
        <v>300</v>
      </c>
    </row>
    <row r="877" spans="1:17" ht="29.25" customHeight="1" x14ac:dyDescent="0.2">
      <c r="A877" s="20"/>
      <c r="B877" s="1792"/>
      <c r="C877" s="1792" t="s">
        <v>284</v>
      </c>
      <c r="D877" s="1792"/>
      <c r="E877" s="1813" t="s">
        <v>1176</v>
      </c>
      <c r="F877" s="1868">
        <v>12296.6</v>
      </c>
      <c r="G877" s="1868">
        <v>12271.7</v>
      </c>
      <c r="H877" s="1868">
        <v>12276.3</v>
      </c>
      <c r="I877" s="1868">
        <v>12407.3</v>
      </c>
      <c r="J877" s="1903">
        <v>12407.3</v>
      </c>
      <c r="K877" s="432" t="s">
        <v>1177</v>
      </c>
      <c r="L877" s="433" t="s">
        <v>1178</v>
      </c>
      <c r="M877" s="22">
        <v>441</v>
      </c>
      <c r="N877" s="695">
        <v>350</v>
      </c>
      <c r="O877" s="695">
        <v>350</v>
      </c>
      <c r="P877" s="695">
        <v>350</v>
      </c>
      <c r="Q877" s="695">
        <v>350</v>
      </c>
    </row>
    <row r="878" spans="1:17" ht="29.25" customHeight="1" x14ac:dyDescent="0.2">
      <c r="A878" s="20"/>
      <c r="B878" s="1793"/>
      <c r="C878" s="1793"/>
      <c r="D878" s="1793"/>
      <c r="E878" s="1815"/>
      <c r="F878" s="1870"/>
      <c r="G878" s="1870"/>
      <c r="H878" s="1870"/>
      <c r="I878" s="1870"/>
      <c r="J878" s="1905"/>
      <c r="K878" s="432" t="s">
        <v>1179</v>
      </c>
      <c r="L878" s="433" t="s">
        <v>1178</v>
      </c>
      <c r="M878" s="22">
        <v>147</v>
      </c>
      <c r="N878" s="695">
        <v>125</v>
      </c>
      <c r="O878" s="695">
        <v>125</v>
      </c>
      <c r="P878" s="695">
        <v>125</v>
      </c>
      <c r="Q878" s="695">
        <v>125</v>
      </c>
    </row>
    <row r="879" spans="1:17" ht="29.25" customHeight="1" x14ac:dyDescent="0.2">
      <c r="A879" s="20"/>
      <c r="B879" s="1792"/>
      <c r="C879" s="1792" t="s">
        <v>286</v>
      </c>
      <c r="D879" s="1792"/>
      <c r="E879" s="1813" t="s">
        <v>1180</v>
      </c>
      <c r="F879" s="1868">
        <v>9229.4</v>
      </c>
      <c r="G879" s="1868">
        <v>8833.5999999999985</v>
      </c>
      <c r="H879" s="1868">
        <v>12335.8</v>
      </c>
      <c r="I879" s="1868">
        <v>12568.9</v>
      </c>
      <c r="J879" s="1903">
        <v>12568.9</v>
      </c>
      <c r="K879" s="432" t="s">
        <v>1181</v>
      </c>
      <c r="L879" s="433" t="s">
        <v>1178</v>
      </c>
      <c r="M879" s="22">
        <v>1278</v>
      </c>
      <c r="N879" s="695" t="s">
        <v>1107</v>
      </c>
      <c r="O879" s="695" t="s">
        <v>1107</v>
      </c>
      <c r="P879" s="695" t="s">
        <v>1107</v>
      </c>
      <c r="Q879" s="695" t="s">
        <v>1107</v>
      </c>
    </row>
    <row r="880" spans="1:17" ht="29.25" customHeight="1" x14ac:dyDescent="0.2">
      <c r="A880" s="20"/>
      <c r="B880" s="2079"/>
      <c r="C880" s="2079"/>
      <c r="D880" s="2079"/>
      <c r="E880" s="1814"/>
      <c r="F880" s="1869"/>
      <c r="G880" s="1869"/>
      <c r="H880" s="1869"/>
      <c r="I880" s="1869"/>
      <c r="J880" s="1904"/>
      <c r="K880" s="432" t="s">
        <v>1182</v>
      </c>
      <c r="L880" s="433" t="s">
        <v>265</v>
      </c>
      <c r="M880" s="22">
        <v>48</v>
      </c>
      <c r="N880" s="695" t="s">
        <v>1107</v>
      </c>
      <c r="O880" s="695" t="s">
        <v>1107</v>
      </c>
      <c r="P880" s="695" t="s">
        <v>1107</v>
      </c>
      <c r="Q880" s="695" t="s">
        <v>1107</v>
      </c>
    </row>
    <row r="881" spans="1:17" ht="29.25" customHeight="1" x14ac:dyDescent="0.2">
      <c r="A881" s="20"/>
      <c r="B881" s="2079"/>
      <c r="C881" s="2079"/>
      <c r="D881" s="2079"/>
      <c r="E881" s="1814"/>
      <c r="F881" s="1869"/>
      <c r="G881" s="1869"/>
      <c r="H881" s="1869"/>
      <c r="I881" s="1869"/>
      <c r="J881" s="1904"/>
      <c r="K881" s="697" t="s">
        <v>1183</v>
      </c>
      <c r="L881" s="41" t="s">
        <v>1140</v>
      </c>
      <c r="M881" s="22">
        <v>12.6</v>
      </c>
      <c r="N881" s="597">
        <v>8.9</v>
      </c>
      <c r="O881" s="597">
        <v>8.9499999999999993</v>
      </c>
      <c r="P881" s="597">
        <v>8.9499999999999993</v>
      </c>
      <c r="Q881" s="597">
        <v>9.5</v>
      </c>
    </row>
    <row r="882" spans="1:17" ht="29.25" customHeight="1" x14ac:dyDescent="0.2">
      <c r="A882" s="20"/>
      <c r="B882" s="1793"/>
      <c r="C882" s="1793"/>
      <c r="D882" s="1793"/>
      <c r="E882" s="1815"/>
      <c r="F882" s="1870"/>
      <c r="G882" s="1870"/>
      <c r="H882" s="1870"/>
      <c r="I882" s="1870"/>
      <c r="J882" s="1905"/>
      <c r="K882" s="697" t="s">
        <v>1184</v>
      </c>
      <c r="L882" s="22" t="s">
        <v>1185</v>
      </c>
      <c r="M882" s="22">
        <v>3</v>
      </c>
      <c r="N882" s="591">
        <v>2.4</v>
      </c>
      <c r="O882" s="591">
        <v>2.4</v>
      </c>
      <c r="P882" s="591">
        <v>2.5</v>
      </c>
      <c r="Q882" s="591">
        <v>2.5</v>
      </c>
    </row>
    <row r="883" spans="1:17" ht="29.25" customHeight="1" x14ac:dyDescent="0.2">
      <c r="A883" s="20"/>
      <c r="B883" s="1792"/>
      <c r="C883" s="1792" t="s">
        <v>288</v>
      </c>
      <c r="D883" s="1792"/>
      <c r="E883" s="1813" t="s">
        <v>1186</v>
      </c>
      <c r="F883" s="1868">
        <v>4069.3</v>
      </c>
      <c r="G883" s="1868">
        <v>4184.8</v>
      </c>
      <c r="H883" s="1868">
        <v>4025.6</v>
      </c>
      <c r="I883" s="1868">
        <v>4118.6000000000004</v>
      </c>
      <c r="J883" s="1868">
        <v>4118.6000000000004</v>
      </c>
      <c r="K883" s="697" t="s">
        <v>1187</v>
      </c>
      <c r="L883" s="22" t="s">
        <v>1117</v>
      </c>
      <c r="M883" s="22">
        <v>9005.2000000000007</v>
      </c>
      <c r="N883" s="22">
        <v>9005.2000000000007</v>
      </c>
      <c r="O883" s="22">
        <v>9005.2000000000007</v>
      </c>
      <c r="P883" s="22">
        <v>9005.2000000000007</v>
      </c>
      <c r="Q883" s="22">
        <v>9005.2000000000007</v>
      </c>
    </row>
    <row r="884" spans="1:17" ht="29.25" customHeight="1" x14ac:dyDescent="0.2">
      <c r="A884" s="20"/>
      <c r="B884" s="2079"/>
      <c r="C884" s="2079"/>
      <c r="D884" s="2079"/>
      <c r="E884" s="1814"/>
      <c r="F884" s="1869"/>
      <c r="G884" s="1869"/>
      <c r="H884" s="1869"/>
      <c r="I884" s="1869"/>
      <c r="J884" s="1869"/>
      <c r="K884" s="697" t="s">
        <v>1188</v>
      </c>
      <c r="L884" s="22" t="s">
        <v>1117</v>
      </c>
      <c r="M884" s="22">
        <v>3987.2</v>
      </c>
      <c r="N884" s="22">
        <v>3987.2</v>
      </c>
      <c r="O884" s="22">
        <v>3987.2</v>
      </c>
      <c r="P884" s="22">
        <v>3987.2</v>
      </c>
      <c r="Q884" s="22">
        <v>3987.2</v>
      </c>
    </row>
    <row r="885" spans="1:17" ht="29.25" customHeight="1" x14ac:dyDescent="0.2">
      <c r="A885" s="20"/>
      <c r="B885" s="2079"/>
      <c r="C885" s="2079"/>
      <c r="D885" s="2079"/>
      <c r="E885" s="1814"/>
      <c r="F885" s="1869"/>
      <c r="G885" s="1869"/>
      <c r="H885" s="1869"/>
      <c r="I885" s="1869"/>
      <c r="J885" s="1869"/>
      <c r="K885" s="697" t="s">
        <v>1189</v>
      </c>
      <c r="L885" s="22" t="s">
        <v>122</v>
      </c>
      <c r="M885" s="22">
        <v>454</v>
      </c>
      <c r="N885" s="22">
        <v>454</v>
      </c>
      <c r="O885" s="22">
        <v>454</v>
      </c>
      <c r="P885" s="22">
        <v>454</v>
      </c>
      <c r="Q885" s="22">
        <v>454</v>
      </c>
    </row>
    <row r="886" spans="1:17" ht="29.25" customHeight="1" x14ac:dyDescent="0.2">
      <c r="A886" s="20"/>
      <c r="B886" s="1793"/>
      <c r="C886" s="1793"/>
      <c r="D886" s="1793"/>
      <c r="E886" s="1815"/>
      <c r="F886" s="1870"/>
      <c r="G886" s="1870"/>
      <c r="H886" s="1870"/>
      <c r="I886" s="1870"/>
      <c r="J886" s="1870"/>
      <c r="K886" s="434" t="s">
        <v>1190</v>
      </c>
      <c r="L886" s="22" t="s">
        <v>265</v>
      </c>
      <c r="M886" s="22">
        <v>3</v>
      </c>
      <c r="N886" s="22">
        <v>3</v>
      </c>
      <c r="O886" s="22">
        <v>3</v>
      </c>
      <c r="P886" s="22">
        <v>3</v>
      </c>
      <c r="Q886" s="22">
        <v>3</v>
      </c>
    </row>
    <row r="887" spans="1:17" ht="29.25" customHeight="1" x14ac:dyDescent="0.2">
      <c r="A887" s="20"/>
      <c r="B887" s="1792"/>
      <c r="C887" s="1792" t="s">
        <v>295</v>
      </c>
      <c r="D887" s="1792"/>
      <c r="E887" s="1813" t="s">
        <v>1191</v>
      </c>
      <c r="F887" s="1868">
        <v>119052.7</v>
      </c>
      <c r="G887" s="1868">
        <v>7730</v>
      </c>
      <c r="H887" s="1868">
        <v>224338.8</v>
      </c>
      <c r="I887" s="1868">
        <v>0</v>
      </c>
      <c r="J887" s="1903">
        <v>0</v>
      </c>
      <c r="K887" s="434" t="s">
        <v>1192</v>
      </c>
      <c r="L887" s="22"/>
      <c r="M887" s="22"/>
      <c r="N887" s="22"/>
      <c r="O887" s="22"/>
      <c r="P887" s="22"/>
      <c r="Q887" s="22"/>
    </row>
    <row r="888" spans="1:17" ht="29.25" customHeight="1" x14ac:dyDescent="0.2">
      <c r="A888" s="20"/>
      <c r="B888" s="2079"/>
      <c r="C888" s="2079"/>
      <c r="D888" s="2079"/>
      <c r="E888" s="1814"/>
      <c r="F888" s="1869"/>
      <c r="G888" s="1869"/>
      <c r="H888" s="1869"/>
      <c r="I888" s="1869"/>
      <c r="J888" s="1904"/>
      <c r="K888" s="434" t="s">
        <v>1193</v>
      </c>
      <c r="L888" s="22"/>
      <c r="M888" s="22"/>
      <c r="N888" s="22"/>
      <c r="O888" s="22"/>
      <c r="P888" s="22"/>
      <c r="Q888" s="22"/>
    </row>
    <row r="889" spans="1:17" ht="84" customHeight="1" x14ac:dyDescent="0.2">
      <c r="A889" s="20"/>
      <c r="B889" s="2079"/>
      <c r="C889" s="2079"/>
      <c r="D889" s="2079"/>
      <c r="E889" s="1814"/>
      <c r="F889" s="1869"/>
      <c r="G889" s="1869"/>
      <c r="H889" s="1869"/>
      <c r="I889" s="1869"/>
      <c r="J889" s="1904"/>
      <c r="K889" s="434" t="s">
        <v>1194</v>
      </c>
      <c r="L889" s="22"/>
      <c r="M889" s="22"/>
      <c r="N889" s="22"/>
      <c r="O889" s="22"/>
      <c r="P889" s="22"/>
      <c r="Q889" s="22"/>
    </row>
    <row r="890" spans="1:17" ht="58.5" customHeight="1" x14ac:dyDescent="0.2">
      <c r="A890" s="20"/>
      <c r="B890" s="1793"/>
      <c r="C890" s="1793"/>
      <c r="D890" s="1793"/>
      <c r="E890" s="1815"/>
      <c r="F890" s="1870"/>
      <c r="G890" s="1870"/>
      <c r="H890" s="1870"/>
      <c r="I890" s="1870"/>
      <c r="J890" s="1905"/>
      <c r="K890" s="434" t="s">
        <v>1195</v>
      </c>
      <c r="L890" s="22"/>
      <c r="M890" s="22"/>
      <c r="N890" s="22"/>
      <c r="O890" s="22"/>
      <c r="P890" s="22"/>
      <c r="Q890" s="22"/>
    </row>
    <row r="891" spans="1:17" ht="81" customHeight="1" x14ac:dyDescent="0.2">
      <c r="A891" s="20"/>
      <c r="B891" s="1792"/>
      <c r="C891" s="1792" t="s">
        <v>297</v>
      </c>
      <c r="D891" s="1792"/>
      <c r="E891" s="1813" t="s">
        <v>1196</v>
      </c>
      <c r="F891" s="1868">
        <v>254235.5</v>
      </c>
      <c r="G891" s="1868">
        <v>320366.09999999998</v>
      </c>
      <c r="H891" s="1868">
        <v>436670.5</v>
      </c>
      <c r="I891" s="1868">
        <v>265320</v>
      </c>
      <c r="J891" s="1903">
        <v>285689.59999999998</v>
      </c>
      <c r="K891" s="697" t="s">
        <v>2793</v>
      </c>
      <c r="L891" s="41" t="s">
        <v>16</v>
      </c>
      <c r="M891" s="22">
        <v>0</v>
      </c>
      <c r="N891" s="597">
        <v>5</v>
      </c>
      <c r="O891" s="597">
        <v>10</v>
      </c>
      <c r="P891" s="597">
        <v>20</v>
      </c>
      <c r="Q891" s="597">
        <v>30</v>
      </c>
    </row>
    <row r="892" spans="1:17" ht="54.75" customHeight="1" x14ac:dyDescent="0.2">
      <c r="A892" s="20"/>
      <c r="B892" s="2079"/>
      <c r="C892" s="2079"/>
      <c r="D892" s="2079"/>
      <c r="E892" s="1814"/>
      <c r="F892" s="1869"/>
      <c r="G892" s="1869"/>
      <c r="H892" s="1869"/>
      <c r="I892" s="1869"/>
      <c r="J892" s="1904"/>
      <c r="K892" s="697" t="s">
        <v>1197</v>
      </c>
      <c r="L892" s="41" t="s">
        <v>265</v>
      </c>
      <c r="M892" s="22">
        <v>0</v>
      </c>
      <c r="N892" s="649">
        <v>2000</v>
      </c>
      <c r="O892" s="649">
        <v>2200</v>
      </c>
      <c r="P892" s="649">
        <v>2500</v>
      </c>
      <c r="Q892" s="649">
        <v>2800</v>
      </c>
    </row>
    <row r="893" spans="1:17" ht="46.5" customHeight="1" x14ac:dyDescent="0.2">
      <c r="A893" s="20"/>
      <c r="B893" s="1793"/>
      <c r="C893" s="1793"/>
      <c r="D893" s="1793"/>
      <c r="E893" s="1815"/>
      <c r="F893" s="1870"/>
      <c r="G893" s="1870"/>
      <c r="H893" s="1870"/>
      <c r="I893" s="1870"/>
      <c r="J893" s="1905"/>
      <c r="K893" s="697" t="s">
        <v>2794</v>
      </c>
      <c r="L893" s="41"/>
      <c r="M893" s="22">
        <v>0</v>
      </c>
      <c r="N893" s="695"/>
      <c r="O893" s="695"/>
      <c r="P893" s="695"/>
      <c r="Q893" s="695"/>
    </row>
    <row r="894" spans="1:17" ht="29.25" customHeight="1" x14ac:dyDescent="0.2">
      <c r="A894" s="20"/>
      <c r="B894" s="630"/>
      <c r="C894" s="630" t="s">
        <v>1198</v>
      </c>
      <c r="D894" s="630"/>
      <c r="E894" s="634" t="s">
        <v>1199</v>
      </c>
      <c r="F894" s="1568">
        <v>0</v>
      </c>
      <c r="G894" s="1568">
        <v>4715</v>
      </c>
      <c r="H894" s="1568">
        <v>5870.8</v>
      </c>
      <c r="I894" s="1568">
        <v>5870.8</v>
      </c>
      <c r="J894" s="1661">
        <v>5870.8</v>
      </c>
      <c r="K894" s="697" t="s">
        <v>1200</v>
      </c>
      <c r="L894" s="41" t="s">
        <v>265</v>
      </c>
      <c r="M894" s="22">
        <v>0</v>
      </c>
      <c r="N894" s="431">
        <v>19</v>
      </c>
      <c r="O894" s="431">
        <v>19</v>
      </c>
      <c r="P894" s="431">
        <v>19</v>
      </c>
      <c r="Q894" s="431">
        <v>19</v>
      </c>
    </row>
    <row r="895" spans="1:17" ht="29.25" customHeight="1" x14ac:dyDescent="0.2">
      <c r="A895" s="20"/>
      <c r="B895" s="630"/>
      <c r="C895" s="630" t="s">
        <v>1201</v>
      </c>
      <c r="D895" s="630"/>
      <c r="E895" s="634" t="s">
        <v>1202</v>
      </c>
      <c r="F895" s="1568">
        <v>0</v>
      </c>
      <c r="G895" s="1568">
        <v>4045.2</v>
      </c>
      <c r="H895" s="1568">
        <v>3643.5</v>
      </c>
      <c r="I895" s="1568">
        <v>3643.5</v>
      </c>
      <c r="J895" s="1661">
        <v>3643.5</v>
      </c>
      <c r="K895" s="697" t="s">
        <v>1203</v>
      </c>
      <c r="L895" s="41" t="s">
        <v>265</v>
      </c>
      <c r="M895" s="22">
        <v>0</v>
      </c>
      <c r="N895" s="431">
        <v>12</v>
      </c>
      <c r="O895" s="431">
        <v>12</v>
      </c>
      <c r="P895" s="431">
        <v>12</v>
      </c>
      <c r="Q895" s="431">
        <v>12</v>
      </c>
    </row>
    <row r="896" spans="1:17" ht="29.25" customHeight="1" x14ac:dyDescent="0.2">
      <c r="A896" s="20"/>
      <c r="B896" s="696"/>
      <c r="C896" s="696" t="s">
        <v>1204</v>
      </c>
      <c r="D896" s="427"/>
      <c r="E896" s="41" t="s">
        <v>1205</v>
      </c>
      <c r="F896" s="1568">
        <v>38037.199999999997</v>
      </c>
      <c r="G896" s="1568">
        <v>72615</v>
      </c>
      <c r="H896" s="1548">
        <v>47608.5</v>
      </c>
      <c r="I896" s="1548">
        <v>0</v>
      </c>
      <c r="J896" s="1662">
        <v>0</v>
      </c>
      <c r="K896" s="697" t="s">
        <v>1206</v>
      </c>
      <c r="L896" s="41" t="s">
        <v>122</v>
      </c>
      <c r="M896" s="22">
        <v>3001</v>
      </c>
      <c r="N896" s="22">
        <v>3001</v>
      </c>
      <c r="O896" s="22">
        <v>3001</v>
      </c>
      <c r="P896" s="22">
        <v>3001</v>
      </c>
      <c r="Q896" s="22">
        <v>3001</v>
      </c>
    </row>
    <row r="897" spans="1:17" ht="29.25" customHeight="1" x14ac:dyDescent="0.2">
      <c r="A897" s="20"/>
      <c r="B897" s="1792"/>
      <c r="C897" s="1792" t="s">
        <v>1207</v>
      </c>
      <c r="D897" s="1792"/>
      <c r="E897" s="1813" t="s">
        <v>1208</v>
      </c>
      <c r="F897" s="1868">
        <v>8960.6</v>
      </c>
      <c r="G897" s="1868">
        <v>0</v>
      </c>
      <c r="H897" s="1868">
        <v>0</v>
      </c>
      <c r="I897" s="1868">
        <v>0</v>
      </c>
      <c r="J897" s="1903">
        <v>0</v>
      </c>
      <c r="K897" s="697" t="s">
        <v>1209</v>
      </c>
      <c r="L897" s="41" t="s">
        <v>1210</v>
      </c>
      <c r="M897" s="22"/>
      <c r="N897" s="695">
        <v>0</v>
      </c>
      <c r="O897" s="695">
        <v>0</v>
      </c>
      <c r="P897" s="695">
        <v>0</v>
      </c>
      <c r="Q897" s="695">
        <v>0</v>
      </c>
    </row>
    <row r="898" spans="1:17" ht="29.25" customHeight="1" x14ac:dyDescent="0.2">
      <c r="A898" s="20"/>
      <c r="B898" s="2079"/>
      <c r="C898" s="2079"/>
      <c r="D898" s="2079"/>
      <c r="E898" s="1814"/>
      <c r="F898" s="1869"/>
      <c r="G898" s="1869"/>
      <c r="H898" s="1869"/>
      <c r="I898" s="1869"/>
      <c r="J898" s="1904"/>
      <c r="K898" s="697" t="s">
        <v>1211</v>
      </c>
      <c r="L898" s="41" t="s">
        <v>1212</v>
      </c>
      <c r="M898" s="22"/>
      <c r="N898" s="22">
        <v>0</v>
      </c>
      <c r="O898" s="22">
        <v>0</v>
      </c>
      <c r="P898" s="22">
        <v>0</v>
      </c>
      <c r="Q898" s="22">
        <v>0</v>
      </c>
    </row>
    <row r="899" spans="1:17" ht="29.25" customHeight="1" x14ac:dyDescent="0.2">
      <c r="A899" s="20"/>
      <c r="B899" s="1793"/>
      <c r="C899" s="1793"/>
      <c r="D899" s="1793"/>
      <c r="E899" s="1815"/>
      <c r="F899" s="1870"/>
      <c r="G899" s="1870"/>
      <c r="H899" s="1870"/>
      <c r="I899" s="1870"/>
      <c r="J899" s="1905"/>
      <c r="K899" s="697" t="s">
        <v>1213</v>
      </c>
      <c r="L899" s="41" t="s">
        <v>1178</v>
      </c>
      <c r="M899" s="22"/>
      <c r="N899" s="695">
        <v>0</v>
      </c>
      <c r="O899" s="695">
        <v>0</v>
      </c>
      <c r="P899" s="695">
        <v>0</v>
      </c>
      <c r="Q899" s="695">
        <v>0</v>
      </c>
    </row>
    <row r="900" spans="1:17" ht="29.25" customHeight="1" x14ac:dyDescent="0.2">
      <c r="A900" s="20"/>
      <c r="B900" s="837" t="s">
        <v>155</v>
      </c>
      <c r="C900" s="696"/>
      <c r="D900" s="427"/>
      <c r="E900" s="523" t="s">
        <v>2795</v>
      </c>
      <c r="F900" s="1561">
        <f>F901+F904+F913+F914+F915</f>
        <v>1475841.3</v>
      </c>
      <c r="G900" s="1561">
        <v>0</v>
      </c>
      <c r="H900" s="1561">
        <v>0</v>
      </c>
      <c r="I900" s="1561">
        <v>0</v>
      </c>
      <c r="J900" s="1561">
        <v>0</v>
      </c>
      <c r="K900" s="659"/>
      <c r="L900" s="523"/>
      <c r="M900" s="415"/>
      <c r="N900" s="415"/>
      <c r="O900" s="415"/>
      <c r="P900" s="415"/>
      <c r="Q900" s="415"/>
    </row>
    <row r="901" spans="1:17" ht="29.25" customHeight="1" x14ac:dyDescent="0.2">
      <c r="A901" s="20"/>
      <c r="B901" s="1792"/>
      <c r="C901" s="1792"/>
      <c r="D901" s="1792"/>
      <c r="E901" s="2146" t="s">
        <v>1214</v>
      </c>
      <c r="F901" s="1906" t="s">
        <v>1215</v>
      </c>
      <c r="G901" s="1906" t="s">
        <v>112</v>
      </c>
      <c r="H901" s="1906" t="s">
        <v>112</v>
      </c>
      <c r="I901" s="1906" t="s">
        <v>112</v>
      </c>
      <c r="J901" s="1906" t="s">
        <v>112</v>
      </c>
      <c r="K901" s="697" t="s">
        <v>1216</v>
      </c>
      <c r="L901" s="128" t="s">
        <v>1117</v>
      </c>
      <c r="M901" s="22"/>
      <c r="N901" s="22">
        <v>0</v>
      </c>
      <c r="O901" s="22">
        <v>0</v>
      </c>
      <c r="P901" s="22">
        <v>0</v>
      </c>
      <c r="Q901" s="22">
        <v>0</v>
      </c>
    </row>
    <row r="902" spans="1:17" ht="29.25" customHeight="1" x14ac:dyDescent="0.2">
      <c r="A902" s="20"/>
      <c r="B902" s="2079"/>
      <c r="C902" s="2079"/>
      <c r="D902" s="2079"/>
      <c r="E902" s="2147"/>
      <c r="F902" s="1907"/>
      <c r="G902" s="1907"/>
      <c r="H902" s="1907"/>
      <c r="I902" s="1907"/>
      <c r="J902" s="1907"/>
      <c r="K902" s="697" t="s">
        <v>1217</v>
      </c>
      <c r="L902" s="41" t="s">
        <v>16</v>
      </c>
      <c r="M902" s="22"/>
      <c r="N902" s="22">
        <v>0</v>
      </c>
      <c r="O902" s="22">
        <v>0</v>
      </c>
      <c r="P902" s="22">
        <v>0</v>
      </c>
      <c r="Q902" s="22">
        <v>0</v>
      </c>
    </row>
    <row r="903" spans="1:17" ht="57" customHeight="1" x14ac:dyDescent="0.2">
      <c r="A903" s="20"/>
      <c r="B903" s="1793"/>
      <c r="C903" s="1793"/>
      <c r="D903" s="1793"/>
      <c r="E903" s="2148"/>
      <c r="F903" s="1908"/>
      <c r="G903" s="1908"/>
      <c r="H903" s="1908"/>
      <c r="I903" s="1908"/>
      <c r="J903" s="1908"/>
      <c r="K903" s="697" t="s">
        <v>1218</v>
      </c>
      <c r="L903" s="41" t="s">
        <v>16</v>
      </c>
      <c r="M903" s="591"/>
      <c r="N903" s="22">
        <v>0</v>
      </c>
      <c r="O903" s="22">
        <v>0</v>
      </c>
      <c r="P903" s="22">
        <v>0</v>
      </c>
      <c r="Q903" s="22">
        <v>0</v>
      </c>
    </row>
    <row r="904" spans="1:17" ht="29.25" customHeight="1" x14ac:dyDescent="0.2">
      <c r="A904" s="20"/>
      <c r="B904" s="1792"/>
      <c r="C904" s="1833"/>
      <c r="D904" s="1833"/>
      <c r="E904" s="1813" t="s">
        <v>1219</v>
      </c>
      <c r="F904" s="1906">
        <v>962926.2</v>
      </c>
      <c r="G904" s="1868">
        <v>0</v>
      </c>
      <c r="H904" s="1868">
        <v>0</v>
      </c>
      <c r="I904" s="1868">
        <v>0</v>
      </c>
      <c r="J904" s="1868">
        <v>0</v>
      </c>
      <c r="K904" s="435" t="s">
        <v>1220</v>
      </c>
      <c r="L904" s="128" t="s">
        <v>1117</v>
      </c>
      <c r="M904" s="586"/>
      <c r="N904" s="22">
        <v>0</v>
      </c>
      <c r="O904" s="22">
        <v>0</v>
      </c>
      <c r="P904" s="22">
        <v>0</v>
      </c>
      <c r="Q904" s="22">
        <v>0</v>
      </c>
    </row>
    <row r="905" spans="1:17" ht="29.25" customHeight="1" x14ac:dyDescent="0.2">
      <c r="A905" s="20"/>
      <c r="B905" s="2079"/>
      <c r="C905" s="2149"/>
      <c r="D905" s="2149"/>
      <c r="E905" s="1814"/>
      <c r="F905" s="1907"/>
      <c r="G905" s="1869"/>
      <c r="H905" s="1869"/>
      <c r="I905" s="1869"/>
      <c r="J905" s="1869"/>
      <c r="K905" s="697" t="s">
        <v>1221</v>
      </c>
      <c r="L905" s="697" t="s">
        <v>1222</v>
      </c>
      <c r="M905" s="591"/>
      <c r="N905" s="22">
        <v>0</v>
      </c>
      <c r="O905" s="22">
        <v>0</v>
      </c>
      <c r="P905" s="22">
        <v>0</v>
      </c>
      <c r="Q905" s="22">
        <v>0</v>
      </c>
    </row>
    <row r="906" spans="1:17" ht="29.25" customHeight="1" x14ac:dyDescent="0.2">
      <c r="A906" s="20"/>
      <c r="B906" s="2079"/>
      <c r="C906" s="2149"/>
      <c r="D906" s="2149"/>
      <c r="E906" s="1814"/>
      <c r="F906" s="1907"/>
      <c r="G906" s="1869"/>
      <c r="H906" s="1869"/>
      <c r="I906" s="1869"/>
      <c r="J906" s="1869"/>
      <c r="K906" s="697" t="s">
        <v>1223</v>
      </c>
      <c r="L906" s="697" t="s">
        <v>1224</v>
      </c>
      <c r="M906" s="591"/>
      <c r="N906" s="22">
        <v>0</v>
      </c>
      <c r="O906" s="22">
        <v>0</v>
      </c>
      <c r="P906" s="22">
        <v>0</v>
      </c>
      <c r="Q906" s="22">
        <v>0</v>
      </c>
    </row>
    <row r="907" spans="1:17" ht="29.25" customHeight="1" x14ac:dyDescent="0.2">
      <c r="A907" s="20"/>
      <c r="B907" s="2079"/>
      <c r="C907" s="2149"/>
      <c r="D907" s="2149"/>
      <c r="E907" s="1814"/>
      <c r="F907" s="1907"/>
      <c r="G907" s="1869"/>
      <c r="H907" s="1869"/>
      <c r="I907" s="1869"/>
      <c r="J907" s="1869"/>
      <c r="K907" s="697" t="s">
        <v>1225</v>
      </c>
      <c r="L907" s="697" t="s">
        <v>1178</v>
      </c>
      <c r="M907" s="591"/>
      <c r="N907" s="22">
        <v>0</v>
      </c>
      <c r="O907" s="22">
        <v>0</v>
      </c>
      <c r="P907" s="22">
        <v>0</v>
      </c>
      <c r="Q907" s="22">
        <v>0</v>
      </c>
    </row>
    <row r="908" spans="1:17" ht="29.25" customHeight="1" x14ac:dyDescent="0.2">
      <c r="A908" s="20"/>
      <c r="B908" s="2079"/>
      <c r="C908" s="2149"/>
      <c r="D908" s="2149"/>
      <c r="E908" s="1814"/>
      <c r="F908" s="1907"/>
      <c r="G908" s="1869"/>
      <c r="H908" s="1869"/>
      <c r="I908" s="1869"/>
      <c r="J908" s="1869"/>
      <c r="K908" s="697" t="s">
        <v>1226</v>
      </c>
      <c r="L908" s="697" t="s">
        <v>593</v>
      </c>
      <c r="M908" s="591"/>
      <c r="N908" s="22">
        <v>0</v>
      </c>
      <c r="O908" s="22">
        <v>0</v>
      </c>
      <c r="P908" s="22">
        <v>0</v>
      </c>
      <c r="Q908" s="22">
        <v>0</v>
      </c>
    </row>
    <row r="909" spans="1:17" ht="29.25" customHeight="1" x14ac:dyDescent="0.2">
      <c r="A909" s="567"/>
      <c r="B909" s="2079"/>
      <c r="C909" s="2149"/>
      <c r="D909" s="2149"/>
      <c r="E909" s="1814"/>
      <c r="F909" s="1907"/>
      <c r="G909" s="1869"/>
      <c r="H909" s="1869"/>
      <c r="I909" s="1869"/>
      <c r="J909" s="1869"/>
      <c r="K909" s="697" t="s">
        <v>1227</v>
      </c>
      <c r="L909" s="697" t="s">
        <v>1224</v>
      </c>
      <c r="M909" s="591"/>
      <c r="N909" s="22">
        <v>0</v>
      </c>
      <c r="O909" s="22">
        <v>0</v>
      </c>
      <c r="P909" s="22">
        <v>0</v>
      </c>
      <c r="Q909" s="22">
        <v>0</v>
      </c>
    </row>
    <row r="910" spans="1:17" ht="29.25" customHeight="1" x14ac:dyDescent="0.2">
      <c r="A910" s="567"/>
      <c r="B910" s="2079"/>
      <c r="C910" s="2149"/>
      <c r="D910" s="2149"/>
      <c r="E910" s="1814"/>
      <c r="F910" s="1907"/>
      <c r="G910" s="1869"/>
      <c r="H910" s="1869"/>
      <c r="I910" s="1869"/>
      <c r="J910" s="1869"/>
      <c r="K910" s="697" t="s">
        <v>1228</v>
      </c>
      <c r="L910" s="697" t="s">
        <v>1224</v>
      </c>
      <c r="M910" s="591"/>
      <c r="N910" s="22">
        <v>0</v>
      </c>
      <c r="O910" s="22">
        <v>0</v>
      </c>
      <c r="P910" s="22">
        <v>0</v>
      </c>
      <c r="Q910" s="22">
        <v>0</v>
      </c>
    </row>
    <row r="911" spans="1:17" ht="29.25" customHeight="1" x14ac:dyDescent="0.2">
      <c r="A911" s="567"/>
      <c r="B911" s="2079"/>
      <c r="C911" s="2149"/>
      <c r="D911" s="2149"/>
      <c r="E911" s="1814"/>
      <c r="F911" s="1907"/>
      <c r="G911" s="1869"/>
      <c r="H911" s="1869"/>
      <c r="I911" s="1869"/>
      <c r="J911" s="1869"/>
      <c r="K911" s="697" t="s">
        <v>1229</v>
      </c>
      <c r="L911" s="697" t="s">
        <v>1230</v>
      </c>
      <c r="M911" s="591"/>
      <c r="N911" s="22">
        <v>0</v>
      </c>
      <c r="O911" s="22">
        <v>0</v>
      </c>
      <c r="P911" s="22">
        <v>0</v>
      </c>
      <c r="Q911" s="22">
        <v>0</v>
      </c>
    </row>
    <row r="912" spans="1:17" ht="29.25" customHeight="1" x14ac:dyDescent="0.2">
      <c r="A912" s="567"/>
      <c r="B912" s="1793"/>
      <c r="C912" s="1834"/>
      <c r="D912" s="1834"/>
      <c r="E912" s="1815"/>
      <c r="F912" s="1908"/>
      <c r="G912" s="1870"/>
      <c r="H912" s="1870"/>
      <c r="I912" s="1870"/>
      <c r="J912" s="1870"/>
      <c r="K912" s="697" t="s">
        <v>1231</v>
      </c>
      <c r="L912" s="128" t="s">
        <v>1117</v>
      </c>
      <c r="M912" s="591"/>
      <c r="N912" s="22">
        <v>0</v>
      </c>
      <c r="O912" s="22">
        <v>0</v>
      </c>
      <c r="P912" s="22">
        <v>0</v>
      </c>
      <c r="Q912" s="22">
        <v>0</v>
      </c>
    </row>
    <row r="913" spans="1:17" ht="53.25" customHeight="1" x14ac:dyDescent="0.2">
      <c r="A913" s="567"/>
      <c r="B913" s="693"/>
      <c r="C913" s="693"/>
      <c r="D913" s="22"/>
      <c r="E913" s="41" t="s">
        <v>1232</v>
      </c>
      <c r="F913" s="1568">
        <v>384785.4</v>
      </c>
      <c r="G913" s="1568">
        <v>0</v>
      </c>
      <c r="H913" s="1568">
        <v>0</v>
      </c>
      <c r="I913" s="1568">
        <v>0</v>
      </c>
      <c r="J913" s="1568">
        <v>0</v>
      </c>
      <c r="K913" s="697" t="s">
        <v>1233</v>
      </c>
      <c r="L913" s="697" t="s">
        <v>1234</v>
      </c>
      <c r="M913" s="599"/>
      <c r="N913" s="22">
        <v>0</v>
      </c>
      <c r="O913" s="22">
        <v>0</v>
      </c>
      <c r="P913" s="22">
        <v>0</v>
      </c>
      <c r="Q913" s="22">
        <v>0</v>
      </c>
    </row>
    <row r="914" spans="1:17" ht="39.75" customHeight="1" x14ac:dyDescent="0.2">
      <c r="A914" s="567"/>
      <c r="B914" s="693"/>
      <c r="C914" s="693"/>
      <c r="D914" s="22"/>
      <c r="E914" s="41" t="s">
        <v>1235</v>
      </c>
      <c r="F914" s="1568">
        <v>0</v>
      </c>
      <c r="G914" s="1568">
        <v>0</v>
      </c>
      <c r="H914" s="1568">
        <v>0</v>
      </c>
      <c r="I914" s="1568">
        <v>0</v>
      </c>
      <c r="J914" s="1568">
        <v>0</v>
      </c>
      <c r="K914" s="697" t="s">
        <v>1236</v>
      </c>
      <c r="L914" s="697">
        <v>0</v>
      </c>
      <c r="M914" s="1909"/>
      <c r="N914" s="1910"/>
      <c r="O914" s="1910"/>
      <c r="P914" s="1910"/>
      <c r="Q914" s="1911"/>
    </row>
    <row r="915" spans="1:17" ht="29.25" customHeight="1" x14ac:dyDescent="0.2">
      <c r="A915" s="567"/>
      <c r="B915" s="1792"/>
      <c r="C915" s="1792"/>
      <c r="D915" s="1833"/>
      <c r="E915" s="1813" t="s">
        <v>1237</v>
      </c>
      <c r="F915" s="1906">
        <v>116147.2</v>
      </c>
      <c r="G915" s="1868">
        <v>0</v>
      </c>
      <c r="H915" s="1868">
        <v>0</v>
      </c>
      <c r="I915" s="1868">
        <v>0</v>
      </c>
      <c r="J915" s="1868">
        <v>0</v>
      </c>
      <c r="K915" s="586" t="s">
        <v>1238</v>
      </c>
      <c r="L915" s="128" t="s">
        <v>1117</v>
      </c>
      <c r="M915" s="410"/>
      <c r="N915" s="22">
        <v>0</v>
      </c>
      <c r="O915" s="22">
        <v>0</v>
      </c>
      <c r="P915" s="22">
        <v>0</v>
      </c>
      <c r="Q915" s="22">
        <v>0</v>
      </c>
    </row>
    <row r="916" spans="1:17" ht="29.25" customHeight="1" x14ac:dyDescent="0.2">
      <c r="A916" s="567"/>
      <c r="B916" s="1793"/>
      <c r="C916" s="1793"/>
      <c r="D916" s="1834"/>
      <c r="E916" s="1815"/>
      <c r="F916" s="1908"/>
      <c r="G916" s="1870"/>
      <c r="H916" s="1870"/>
      <c r="I916" s="1870"/>
      <c r="J916" s="1870"/>
      <c r="K916" s="435" t="s">
        <v>1239</v>
      </c>
      <c r="L916" s="128" t="s">
        <v>1117</v>
      </c>
      <c r="M916" s="437"/>
      <c r="N916" s="22">
        <v>0</v>
      </c>
      <c r="O916" s="22">
        <v>0</v>
      </c>
      <c r="P916" s="22">
        <v>0</v>
      </c>
      <c r="Q916" s="22">
        <v>0</v>
      </c>
    </row>
    <row r="917" spans="1:17" ht="29.25" customHeight="1" x14ac:dyDescent="0.2">
      <c r="A917" s="567"/>
      <c r="B917" s="438"/>
      <c r="C917" s="438"/>
      <c r="D917" s="438"/>
      <c r="E917" s="128"/>
      <c r="F917" s="1557"/>
      <c r="G917" s="1549"/>
      <c r="H917" s="1549"/>
      <c r="I917" s="1549"/>
      <c r="J917" s="1549"/>
      <c r="K917" s="435"/>
      <c r="L917" s="593"/>
      <c r="M917" s="439"/>
      <c r="N917" s="591"/>
      <c r="O917" s="591"/>
      <c r="P917" s="591"/>
      <c r="Q917" s="440"/>
    </row>
    <row r="918" spans="1:17" ht="29.25" customHeight="1" x14ac:dyDescent="0.2">
      <c r="A918" s="441"/>
      <c r="B918" s="2126" t="s">
        <v>68</v>
      </c>
      <c r="C918" s="2126"/>
      <c r="D918" s="2126"/>
      <c r="E918" s="2126"/>
      <c r="F918" s="1580">
        <f>F810+F845+F900</f>
        <v>2451266.2000000002</v>
      </c>
      <c r="G918" s="1580">
        <f>G810+G845+G900</f>
        <v>978251.99999999988</v>
      </c>
      <c r="H918" s="1580">
        <f>H810+H845</f>
        <v>1105507.2</v>
      </c>
      <c r="I918" s="1580">
        <f t="shared" ref="I918:J918" si="36">I810+I845</f>
        <v>670370.69999999995</v>
      </c>
      <c r="J918" s="1580">
        <f t="shared" si="36"/>
        <v>694759.6</v>
      </c>
      <c r="K918" s="68"/>
      <c r="L918" s="67"/>
      <c r="M918" s="67"/>
      <c r="N918" s="67"/>
      <c r="O918" s="67"/>
      <c r="P918" s="67"/>
      <c r="Q918" s="1374"/>
    </row>
    <row r="919" spans="1:17" ht="29.25" customHeight="1" x14ac:dyDescent="0.2">
      <c r="A919" s="1912" t="s">
        <v>2986</v>
      </c>
      <c r="B919" s="1913"/>
      <c r="C919" s="1913"/>
      <c r="D919" s="1913"/>
      <c r="E919" s="1913"/>
      <c r="F919" s="1913"/>
      <c r="G919" s="1913"/>
      <c r="H919" s="1913"/>
      <c r="I919" s="1913"/>
      <c r="J919" s="1913"/>
      <c r="K919" s="1913"/>
      <c r="L919" s="683"/>
      <c r="M919" s="683"/>
      <c r="N919" s="683"/>
      <c r="O919" s="683"/>
      <c r="P919" s="683"/>
      <c r="Q919" s="1375"/>
    </row>
    <row r="920" spans="1:17" ht="29.25" customHeight="1" x14ac:dyDescent="0.2">
      <c r="A920" s="125"/>
      <c r="B920" s="1986" t="s">
        <v>111</v>
      </c>
      <c r="C920" s="2140"/>
      <c r="D920" s="2140"/>
      <c r="E920" s="2143" t="s">
        <v>3051</v>
      </c>
      <c r="F920" s="1914">
        <v>1381884.4</v>
      </c>
      <c r="G920" s="1914">
        <v>1194539.2000000002</v>
      </c>
      <c r="H920" s="1914">
        <f>H924+H925</f>
        <v>1199244.1000000001</v>
      </c>
      <c r="I920" s="1914">
        <v>1220306.1000000001</v>
      </c>
      <c r="J920" s="1914">
        <v>1231004.6000000001</v>
      </c>
      <c r="K920" s="624" t="s">
        <v>1240</v>
      </c>
      <c r="L920" s="668" t="s">
        <v>2796</v>
      </c>
      <c r="M920" s="668">
        <v>1024</v>
      </c>
      <c r="N920" s="668">
        <v>1024</v>
      </c>
      <c r="O920" s="668">
        <v>1024</v>
      </c>
      <c r="P920" s="668">
        <v>1024</v>
      </c>
      <c r="Q920" s="597">
        <v>1502.4</v>
      </c>
    </row>
    <row r="921" spans="1:17" ht="215.25" customHeight="1" x14ac:dyDescent="0.2">
      <c r="A921" s="125"/>
      <c r="B921" s="2139"/>
      <c r="C921" s="2141"/>
      <c r="D921" s="2141"/>
      <c r="E921" s="2144"/>
      <c r="F921" s="1915"/>
      <c r="G921" s="1915"/>
      <c r="H921" s="1915"/>
      <c r="I921" s="1915"/>
      <c r="J921" s="1915"/>
      <c r="K921" s="697" t="s">
        <v>1242</v>
      </c>
      <c r="L921" s="625" t="s">
        <v>2796</v>
      </c>
      <c r="M921" s="591" t="s">
        <v>2797</v>
      </c>
      <c r="N921" s="591" t="s">
        <v>2797</v>
      </c>
      <c r="O921" s="591" t="s">
        <v>2797</v>
      </c>
      <c r="P921" s="591" t="s">
        <v>2797</v>
      </c>
      <c r="Q921" s="649">
        <v>300</v>
      </c>
    </row>
    <row r="922" spans="1:17" ht="29.25" customHeight="1" x14ac:dyDescent="0.2">
      <c r="A922" s="125"/>
      <c r="B922" s="2139"/>
      <c r="C922" s="2141"/>
      <c r="D922" s="2141"/>
      <c r="E922" s="2144"/>
      <c r="F922" s="1915"/>
      <c r="G922" s="1915"/>
      <c r="H922" s="1915"/>
      <c r="I922" s="1915"/>
      <c r="J922" s="1915"/>
      <c r="K922" s="697" t="s">
        <v>1243</v>
      </c>
      <c r="L922" s="591" t="s">
        <v>16</v>
      </c>
      <c r="M922" s="591">
        <v>27</v>
      </c>
      <c r="N922" s="591">
        <v>27</v>
      </c>
      <c r="O922" s="591">
        <v>27</v>
      </c>
      <c r="P922" s="591">
        <v>27</v>
      </c>
      <c r="Q922" s="649">
        <v>660</v>
      </c>
    </row>
    <row r="923" spans="1:17" ht="138.75" customHeight="1" x14ac:dyDescent="0.2">
      <c r="A923" s="125"/>
      <c r="B923" s="1987"/>
      <c r="C923" s="2142"/>
      <c r="D923" s="2142"/>
      <c r="E923" s="2145"/>
      <c r="F923" s="1916"/>
      <c r="G923" s="1916"/>
      <c r="H923" s="1916"/>
      <c r="I923" s="1916"/>
      <c r="J923" s="1916"/>
      <c r="K923" s="697" t="s">
        <v>2798</v>
      </c>
      <c r="L923" s="591" t="s">
        <v>16</v>
      </c>
      <c r="M923" s="591" t="s">
        <v>2799</v>
      </c>
      <c r="N923" s="591" t="s">
        <v>2799</v>
      </c>
      <c r="O923" s="591" t="s">
        <v>2799</v>
      </c>
      <c r="P923" s="591" t="s">
        <v>2799</v>
      </c>
      <c r="Q923" s="649">
        <v>55</v>
      </c>
    </row>
    <row r="924" spans="1:17" ht="29.25" customHeight="1" x14ac:dyDescent="0.2">
      <c r="A924" s="125"/>
      <c r="B924" s="669"/>
      <c r="C924" s="581" t="s">
        <v>2800</v>
      </c>
      <c r="D924" s="581"/>
      <c r="E924" s="606" t="s">
        <v>1214</v>
      </c>
      <c r="F924" s="1629">
        <v>20091.099999999999</v>
      </c>
      <c r="G924" s="1631">
        <v>22052.1</v>
      </c>
      <c r="H924" s="1631">
        <v>23720.5</v>
      </c>
      <c r="I924" s="1631">
        <v>25067.1</v>
      </c>
      <c r="J924" s="1631">
        <v>25857.1</v>
      </c>
      <c r="K924" s="697"/>
      <c r="L924" s="591"/>
      <c r="M924" s="591"/>
      <c r="N924" s="591"/>
      <c r="O924" s="591"/>
      <c r="P924" s="591"/>
      <c r="Q924" s="649">
        <v>20</v>
      </c>
    </row>
    <row r="925" spans="1:17" ht="29.25" customHeight="1" x14ac:dyDescent="0.2">
      <c r="A925" s="2400"/>
      <c r="B925" s="2401"/>
      <c r="C925" s="1980" t="s">
        <v>2801</v>
      </c>
      <c r="D925" s="1980"/>
      <c r="E925" s="1738" t="s">
        <v>2802</v>
      </c>
      <c r="F925" s="1917">
        <v>914966.8</v>
      </c>
      <c r="G925" s="1917">
        <v>1172487.1000000001</v>
      </c>
      <c r="H925" s="1917">
        <v>1175523.6000000001</v>
      </c>
      <c r="I925" s="1917">
        <v>1195239</v>
      </c>
      <c r="J925" s="1917">
        <v>1205147.5</v>
      </c>
      <c r="K925" s="606" t="s">
        <v>1244</v>
      </c>
      <c r="L925" s="668" t="s">
        <v>1245</v>
      </c>
      <c r="M925" s="668">
        <v>1550</v>
      </c>
      <c r="N925" s="668">
        <v>1550</v>
      </c>
      <c r="O925" s="668">
        <v>1080</v>
      </c>
      <c r="P925" s="668">
        <v>1218</v>
      </c>
      <c r="Q925" s="649">
        <v>3</v>
      </c>
    </row>
    <row r="926" spans="1:17" ht="29.25" customHeight="1" x14ac:dyDescent="0.2">
      <c r="A926" s="2402"/>
      <c r="B926" s="2403"/>
      <c r="C926" s="1981"/>
      <c r="D926" s="1981"/>
      <c r="E926" s="2209"/>
      <c r="F926" s="1918"/>
      <c r="G926" s="1918"/>
      <c r="H926" s="1918"/>
      <c r="I926" s="1918"/>
      <c r="J926" s="1918"/>
      <c r="K926" s="606" t="s">
        <v>1246</v>
      </c>
      <c r="L926" s="668" t="s">
        <v>1224</v>
      </c>
      <c r="M926" s="668">
        <v>458</v>
      </c>
      <c r="N926" s="668">
        <v>458</v>
      </c>
      <c r="O926" s="668">
        <v>280.5</v>
      </c>
      <c r="P926" s="668">
        <v>316.2</v>
      </c>
      <c r="Q926" s="1891">
        <v>20</v>
      </c>
    </row>
    <row r="927" spans="1:17" ht="29.25" customHeight="1" x14ac:dyDescent="0.2">
      <c r="A927" s="2402"/>
      <c r="B927" s="2403"/>
      <c r="C927" s="1981"/>
      <c r="D927" s="1981"/>
      <c r="E927" s="2209"/>
      <c r="F927" s="1918"/>
      <c r="G927" s="1918"/>
      <c r="H927" s="1918"/>
      <c r="I927" s="1918"/>
      <c r="J927" s="1918"/>
      <c r="K927" s="606" t="s">
        <v>1247</v>
      </c>
      <c r="L927" s="668" t="s">
        <v>1178</v>
      </c>
      <c r="M927" s="668">
        <v>960</v>
      </c>
      <c r="N927" s="668">
        <v>960</v>
      </c>
      <c r="O927" s="668">
        <v>626</v>
      </c>
      <c r="P927" s="668">
        <v>705</v>
      </c>
      <c r="Q927" s="1891"/>
    </row>
    <row r="928" spans="1:17" ht="29.25" customHeight="1" x14ac:dyDescent="0.2">
      <c r="A928" s="2402"/>
      <c r="B928" s="2403"/>
      <c r="C928" s="1981"/>
      <c r="D928" s="1981"/>
      <c r="E928" s="2209"/>
      <c r="F928" s="1919"/>
      <c r="G928" s="1918"/>
      <c r="H928" s="1918"/>
      <c r="I928" s="1918"/>
      <c r="J928" s="1918"/>
      <c r="K928" s="606" t="s">
        <v>1248</v>
      </c>
      <c r="L928" s="668" t="s">
        <v>1178</v>
      </c>
      <c r="M928" s="668">
        <v>820</v>
      </c>
      <c r="N928" s="668">
        <v>820</v>
      </c>
      <c r="O928" s="668">
        <v>548</v>
      </c>
      <c r="P928" s="668">
        <v>618</v>
      </c>
      <c r="Q928" s="443">
        <v>20</v>
      </c>
    </row>
    <row r="929" spans="1:17" ht="29.25" customHeight="1" x14ac:dyDescent="0.2">
      <c r="A929" s="2402"/>
      <c r="B929" s="2403"/>
      <c r="C929" s="1981"/>
      <c r="D929" s="1981"/>
      <c r="E929" s="2209"/>
      <c r="F929" s="1917">
        <v>446826.5</v>
      </c>
      <c r="G929" s="1918"/>
      <c r="H929" s="1918"/>
      <c r="I929" s="1918"/>
      <c r="J929" s="1918"/>
      <c r="K929" s="606" t="s">
        <v>1249</v>
      </c>
      <c r="L929" s="668" t="s">
        <v>1178</v>
      </c>
      <c r="M929" s="668" t="s">
        <v>1250</v>
      </c>
      <c r="N929" s="668" t="s">
        <v>1250</v>
      </c>
      <c r="O929" s="668" t="s">
        <v>1251</v>
      </c>
      <c r="P929" s="668" t="s">
        <v>1252</v>
      </c>
      <c r="Q929" s="443">
        <v>50</v>
      </c>
    </row>
    <row r="930" spans="1:17" ht="29.25" customHeight="1" x14ac:dyDescent="0.2">
      <c r="A930" s="2404"/>
      <c r="B930" s="2405"/>
      <c r="C930" s="1982"/>
      <c r="D930" s="1982"/>
      <c r="E930" s="1739"/>
      <c r="F930" s="1919"/>
      <c r="G930" s="1919"/>
      <c r="H930" s="1919"/>
      <c r="I930" s="1919"/>
      <c r="J930" s="1919"/>
      <c r="K930" s="606" t="s">
        <v>1253</v>
      </c>
      <c r="L930" s="668" t="s">
        <v>1254</v>
      </c>
      <c r="M930" s="668">
        <v>3000</v>
      </c>
      <c r="N930" s="668">
        <v>3000</v>
      </c>
      <c r="O930" s="668">
        <v>3000</v>
      </c>
      <c r="P930" s="668">
        <v>3000</v>
      </c>
      <c r="Q930" s="444">
        <v>1200000</v>
      </c>
    </row>
    <row r="931" spans="1:17" ht="29.25" customHeight="1" x14ac:dyDescent="0.2">
      <c r="A931" s="125"/>
      <c r="B931" s="872" t="s">
        <v>116</v>
      </c>
      <c r="C931" s="1376"/>
      <c r="D931" s="1377"/>
      <c r="E931" s="907" t="s">
        <v>1255</v>
      </c>
      <c r="F931" s="1343"/>
      <c r="G931" s="1343">
        <v>11406.7</v>
      </c>
      <c r="H931" s="1343">
        <f>H932</f>
        <v>11154.2</v>
      </c>
      <c r="I931" s="1343">
        <v>11154.2</v>
      </c>
      <c r="J931" s="1343">
        <v>11154.2</v>
      </c>
      <c r="K931" s="1166"/>
      <c r="L931" s="668"/>
      <c r="M931" s="445"/>
      <c r="N931" s="445"/>
      <c r="O931" s="445"/>
      <c r="P931" s="445"/>
      <c r="Q931" s="446">
        <v>1300</v>
      </c>
    </row>
    <row r="932" spans="1:17" ht="29.25" customHeight="1" x14ac:dyDescent="0.2">
      <c r="A932" s="125"/>
      <c r="B932" s="669"/>
      <c r="C932" s="581" t="s">
        <v>114</v>
      </c>
      <c r="D932" s="581"/>
      <c r="E932" s="118" t="s">
        <v>1256</v>
      </c>
      <c r="F932" s="1340"/>
      <c r="G932" s="1340">
        <v>11406.7</v>
      </c>
      <c r="H932" s="1340">
        <v>11154.2</v>
      </c>
      <c r="I932" s="1340">
        <v>11154.2</v>
      </c>
      <c r="J932" s="1340">
        <v>11154.2</v>
      </c>
      <c r="K932" s="1166"/>
      <c r="L932" s="668"/>
      <c r="M932" s="445"/>
      <c r="N932" s="445"/>
      <c r="O932" s="445"/>
      <c r="P932" s="445"/>
      <c r="Q932" s="446">
        <v>9021</v>
      </c>
    </row>
    <row r="933" spans="1:17" ht="29.25" customHeight="1" x14ac:dyDescent="0.2">
      <c r="A933" s="125"/>
      <c r="B933" s="872" t="s">
        <v>119</v>
      </c>
      <c r="C933" s="207"/>
      <c r="D933" s="207"/>
      <c r="E933" s="1050" t="s">
        <v>688</v>
      </c>
      <c r="F933" s="1663">
        <v>664545</v>
      </c>
      <c r="G933" s="1663">
        <v>3729701.2</v>
      </c>
      <c r="H933" s="1663">
        <f>H934+H935+H936+H938+H939+H940</f>
        <v>6587083.5</v>
      </c>
      <c r="I933" s="1663">
        <v>7822751.1400000006</v>
      </c>
      <c r="J933" s="1663">
        <v>4691182.28</v>
      </c>
      <c r="K933" s="1166"/>
      <c r="L933" s="668"/>
      <c r="M933" s="445"/>
      <c r="N933" s="445"/>
      <c r="O933" s="445"/>
      <c r="P933" s="445"/>
      <c r="Q933" s="446">
        <v>20</v>
      </c>
    </row>
    <row r="934" spans="1:17" ht="29.25" customHeight="1" x14ac:dyDescent="0.2">
      <c r="A934" s="125"/>
      <c r="B934" s="669"/>
      <c r="C934" s="581" t="s">
        <v>114</v>
      </c>
      <c r="D934" s="581"/>
      <c r="E934" s="118" t="s">
        <v>1257</v>
      </c>
      <c r="F934" s="1340"/>
      <c r="G934" s="1340">
        <v>2802796</v>
      </c>
      <c r="H934" s="1340">
        <v>5233968.5</v>
      </c>
      <c r="I934" s="1340">
        <v>6465647.3999999994</v>
      </c>
      <c r="J934" s="1340">
        <v>4203200.28</v>
      </c>
      <c r="K934" s="1166"/>
      <c r="L934" s="668"/>
      <c r="M934" s="445"/>
      <c r="N934" s="445"/>
      <c r="O934" s="445"/>
      <c r="P934" s="445"/>
      <c r="Q934" s="447"/>
    </row>
    <row r="935" spans="1:17" ht="29.25" customHeight="1" x14ac:dyDescent="0.2">
      <c r="A935" s="125"/>
      <c r="B935" s="669"/>
      <c r="C935" s="581" t="s">
        <v>116</v>
      </c>
      <c r="D935" s="581"/>
      <c r="E935" s="108" t="s">
        <v>1258</v>
      </c>
      <c r="F935" s="1340"/>
      <c r="G935" s="1340"/>
      <c r="H935" s="1340">
        <v>127500</v>
      </c>
      <c r="I935" s="1340">
        <v>161604</v>
      </c>
      <c r="J935" s="1340">
        <v>0</v>
      </c>
      <c r="K935" s="1738" t="s">
        <v>1259</v>
      </c>
      <c r="L935" s="841" t="s">
        <v>122</v>
      </c>
      <c r="M935" s="854"/>
      <c r="N935" s="854"/>
      <c r="O935" s="854">
        <v>2</v>
      </c>
      <c r="P935" s="854">
        <v>3</v>
      </c>
      <c r="Q935" s="448">
        <v>1</v>
      </c>
    </row>
    <row r="936" spans="1:17" ht="29.25" customHeight="1" x14ac:dyDescent="0.2">
      <c r="A936" s="225"/>
      <c r="B936" s="669"/>
      <c r="C936" s="581" t="s">
        <v>119</v>
      </c>
      <c r="D936" s="581"/>
      <c r="E936" s="108" t="s">
        <v>1260</v>
      </c>
      <c r="F936" s="1917">
        <v>453700</v>
      </c>
      <c r="G936" s="1917">
        <v>564200</v>
      </c>
      <c r="H936" s="1917">
        <v>510000</v>
      </c>
      <c r="I936" s="1917">
        <v>595048.43999999994</v>
      </c>
      <c r="J936" s="1862">
        <v>0</v>
      </c>
      <c r="K936" s="1739"/>
      <c r="L936" s="841" t="s">
        <v>1178</v>
      </c>
      <c r="M936" s="854">
        <v>2</v>
      </c>
      <c r="N936" s="854">
        <v>4</v>
      </c>
      <c r="O936" s="854">
        <v>10</v>
      </c>
      <c r="P936" s="854">
        <v>13</v>
      </c>
      <c r="Q936" s="448">
        <v>3</v>
      </c>
    </row>
    <row r="937" spans="1:17" ht="61.5" customHeight="1" x14ac:dyDescent="0.2">
      <c r="A937" s="225"/>
      <c r="B937" s="669"/>
      <c r="C937" s="581" t="s">
        <v>124</v>
      </c>
      <c r="D937" s="581"/>
      <c r="E937" s="624" t="s">
        <v>1261</v>
      </c>
      <c r="F937" s="1919"/>
      <c r="G937" s="1919"/>
      <c r="H937" s="1919"/>
      <c r="I937" s="1919"/>
      <c r="J937" s="1862"/>
      <c r="K937" s="606" t="s">
        <v>1262</v>
      </c>
      <c r="L937" s="841" t="s">
        <v>1245</v>
      </c>
      <c r="M937" s="854">
        <v>0</v>
      </c>
      <c r="N937" s="854">
        <v>0</v>
      </c>
      <c r="O937" s="1378">
        <v>22731</v>
      </c>
      <c r="P937" s="1378">
        <v>37269</v>
      </c>
      <c r="Q937" s="448">
        <v>10</v>
      </c>
    </row>
    <row r="938" spans="1:17" ht="82.5" customHeight="1" x14ac:dyDescent="0.2">
      <c r="A938" s="225"/>
      <c r="B938" s="669"/>
      <c r="C938" s="581" t="s">
        <v>124</v>
      </c>
      <c r="D938" s="581"/>
      <c r="E938" s="624" t="s">
        <v>1263</v>
      </c>
      <c r="F938" s="1567">
        <v>210845</v>
      </c>
      <c r="G938" s="1568">
        <v>241500</v>
      </c>
      <c r="H938" s="1568">
        <v>408000</v>
      </c>
      <c r="I938" s="1568">
        <v>123598.9</v>
      </c>
      <c r="J938" s="1568">
        <v>0</v>
      </c>
      <c r="K938" s="606" t="s">
        <v>1262</v>
      </c>
      <c r="L938" s="668"/>
      <c r="M938" s="623"/>
      <c r="N938" s="623"/>
      <c r="O938" s="623"/>
      <c r="P938" s="623"/>
      <c r="Q938" s="448">
        <v>7</v>
      </c>
    </row>
    <row r="939" spans="1:17" ht="58.5" customHeight="1" x14ac:dyDescent="0.2">
      <c r="A939" s="225"/>
      <c r="B939" s="669"/>
      <c r="C939" s="581" t="s">
        <v>128</v>
      </c>
      <c r="D939" s="581"/>
      <c r="E939" s="624" t="s">
        <v>2803</v>
      </c>
      <c r="F939" s="1567"/>
      <c r="G939" s="1568">
        <v>121205.2</v>
      </c>
      <c r="H939" s="1568">
        <v>249815</v>
      </c>
      <c r="I939" s="1568">
        <v>476852.4</v>
      </c>
      <c r="J939" s="1568">
        <v>487982</v>
      </c>
      <c r="K939" s="604"/>
      <c r="L939" s="668"/>
      <c r="M939" s="623"/>
      <c r="N939" s="623"/>
      <c r="O939" s="623"/>
      <c r="P939" s="623"/>
      <c r="Q939" s="448">
        <v>30</v>
      </c>
    </row>
    <row r="940" spans="1:17" ht="29.25" customHeight="1" x14ac:dyDescent="0.2">
      <c r="A940" s="225"/>
      <c r="B940" s="669"/>
      <c r="C940" s="581" t="s">
        <v>202</v>
      </c>
      <c r="D940" s="581"/>
      <c r="E940" s="624" t="s">
        <v>2804</v>
      </c>
      <c r="F940" s="1567"/>
      <c r="G940" s="1568"/>
      <c r="H940" s="1568">
        <v>57800</v>
      </c>
      <c r="I940" s="1568"/>
      <c r="J940" s="1568"/>
      <c r="K940" s="604"/>
      <c r="L940" s="668"/>
      <c r="M940" s="623"/>
      <c r="N940" s="623"/>
      <c r="O940" s="623"/>
      <c r="P940" s="623"/>
      <c r="Q940" s="448">
        <v>2300</v>
      </c>
    </row>
    <row r="941" spans="1:17" ht="29.25" customHeight="1" x14ac:dyDescent="0.2">
      <c r="A941" s="225"/>
      <c r="B941" s="2126" t="s">
        <v>3104</v>
      </c>
      <c r="C941" s="2126"/>
      <c r="D941" s="2126"/>
      <c r="E941" s="2126"/>
      <c r="F941" s="1580">
        <v>2046429.4</v>
      </c>
      <c r="G941" s="1580">
        <v>4935647.1000000006</v>
      </c>
      <c r="H941" s="1580">
        <f>H920+H931+H933</f>
        <v>7797481.7999999998</v>
      </c>
      <c r="I941" s="1580">
        <v>9054211.4400000013</v>
      </c>
      <c r="J941" s="1580">
        <v>5933341.0800000001</v>
      </c>
      <c r="K941" s="1379"/>
      <c r="L941" s="1900"/>
      <c r="M941" s="1900"/>
      <c r="N941" s="1900"/>
      <c r="O941" s="1900"/>
      <c r="P941" s="1900"/>
      <c r="Q941" s="1380"/>
    </row>
    <row r="942" spans="1:17" ht="29.25" customHeight="1" x14ac:dyDescent="0.2">
      <c r="A942" s="450">
        <v>44</v>
      </c>
      <c r="B942" s="1912" t="s">
        <v>2805</v>
      </c>
      <c r="C942" s="1913"/>
      <c r="D942" s="1913"/>
      <c r="E942" s="1913"/>
      <c r="F942" s="1664"/>
      <c r="G942" s="1664"/>
      <c r="H942" s="1664"/>
      <c r="I942" s="1664"/>
      <c r="J942" s="1664"/>
      <c r="K942" s="683"/>
      <c r="L942" s="683"/>
      <c r="M942" s="683"/>
      <c r="N942" s="683"/>
      <c r="O942" s="683"/>
      <c r="P942" s="683"/>
      <c r="Q942" s="683"/>
    </row>
    <row r="943" spans="1:17" ht="81" customHeight="1" x14ac:dyDescent="0.2">
      <c r="A943" s="2127"/>
      <c r="B943" s="1381">
        <v>1</v>
      </c>
      <c r="C943" s="451"/>
      <c r="D943" s="452"/>
      <c r="E943" s="135" t="s">
        <v>3052</v>
      </c>
      <c r="F943" s="1561">
        <v>30295.800000000003</v>
      </c>
      <c r="G943" s="1561">
        <v>28186.9</v>
      </c>
      <c r="H943" s="1561">
        <f>H944+H947</f>
        <v>30272.6</v>
      </c>
      <c r="I943" s="1561">
        <v>26912</v>
      </c>
      <c r="J943" s="1561">
        <v>27168.799999999999</v>
      </c>
      <c r="K943" s="135" t="s">
        <v>2806</v>
      </c>
      <c r="L943" s="593" t="s">
        <v>16</v>
      </c>
      <c r="M943" s="593">
        <v>65.099999999999994</v>
      </c>
      <c r="N943" s="593">
        <v>68.2</v>
      </c>
      <c r="O943" s="593">
        <v>63.4</v>
      </c>
      <c r="P943" s="593">
        <v>63.1</v>
      </c>
      <c r="Q943" s="538">
        <v>61.2</v>
      </c>
    </row>
    <row r="944" spans="1:17" ht="29.25" customHeight="1" x14ac:dyDescent="0.2">
      <c r="A944" s="2128"/>
      <c r="B944" s="2130"/>
      <c r="C944" s="2133">
        <v>174</v>
      </c>
      <c r="D944" s="2136"/>
      <c r="E944" s="1770" t="s">
        <v>2807</v>
      </c>
      <c r="F944" s="1787">
        <v>21766.7</v>
      </c>
      <c r="G944" s="1787">
        <v>19722.7</v>
      </c>
      <c r="H944" s="1787">
        <f>14872.6+366</f>
        <v>15238.6</v>
      </c>
      <c r="I944" s="1787">
        <v>14147.2</v>
      </c>
      <c r="J944" s="1787">
        <v>14276.3</v>
      </c>
      <c r="K944" s="586" t="s">
        <v>2808</v>
      </c>
      <c r="L944" s="591" t="s">
        <v>16</v>
      </c>
      <c r="M944" s="591">
        <v>21.7</v>
      </c>
      <c r="N944" s="591">
        <v>25</v>
      </c>
      <c r="O944" s="591">
        <v>25</v>
      </c>
      <c r="P944" s="591">
        <v>100</v>
      </c>
      <c r="Q944" s="453">
        <v>100</v>
      </c>
    </row>
    <row r="945" spans="1:17" ht="29.25" customHeight="1" x14ac:dyDescent="0.2">
      <c r="A945" s="2129"/>
      <c r="B945" s="2131"/>
      <c r="C945" s="2134"/>
      <c r="D945" s="2137"/>
      <c r="E945" s="1775"/>
      <c r="F945" s="1788"/>
      <c r="G945" s="1788"/>
      <c r="H945" s="1788"/>
      <c r="I945" s="1788"/>
      <c r="J945" s="1788"/>
      <c r="K945" s="586" t="s">
        <v>2809</v>
      </c>
      <c r="L945" s="591" t="s">
        <v>16</v>
      </c>
      <c r="M945" s="591">
        <v>99.9</v>
      </c>
      <c r="N945" s="591">
        <v>100</v>
      </c>
      <c r="O945" s="591">
        <v>100</v>
      </c>
      <c r="P945" s="591">
        <v>100</v>
      </c>
      <c r="Q945" s="453">
        <v>100</v>
      </c>
    </row>
    <row r="946" spans="1:17" ht="29.25" customHeight="1" x14ac:dyDescent="0.2">
      <c r="A946" s="2127"/>
      <c r="B946" s="2132"/>
      <c r="C946" s="2135"/>
      <c r="D946" s="2138"/>
      <c r="E946" s="1776"/>
      <c r="F946" s="1789"/>
      <c r="G946" s="1789"/>
      <c r="H946" s="1789"/>
      <c r="I946" s="1789"/>
      <c r="J946" s="1789"/>
      <c r="K946" s="586" t="s">
        <v>2810</v>
      </c>
      <c r="L946" s="591" t="s">
        <v>122</v>
      </c>
      <c r="M946" s="591">
        <v>5</v>
      </c>
      <c r="N946" s="591">
        <v>5</v>
      </c>
      <c r="O946" s="591">
        <v>5</v>
      </c>
      <c r="P946" s="591">
        <v>5</v>
      </c>
      <c r="Q946" s="453">
        <v>5</v>
      </c>
    </row>
    <row r="947" spans="1:17" ht="29.25" customHeight="1" x14ac:dyDescent="0.2">
      <c r="A947" s="2128"/>
      <c r="B947" s="2130"/>
      <c r="C947" s="2133">
        <v>2</v>
      </c>
      <c r="D947" s="2133"/>
      <c r="E947" s="1813" t="s">
        <v>2811</v>
      </c>
      <c r="F947" s="1787">
        <v>8529.1</v>
      </c>
      <c r="G947" s="1787">
        <v>8464.2000000000007</v>
      </c>
      <c r="H947" s="1892">
        <v>15034</v>
      </c>
      <c r="I947" s="1892">
        <v>12764.8</v>
      </c>
      <c r="J947" s="1787">
        <v>12892.5</v>
      </c>
      <c r="K947" s="425" t="s">
        <v>2812</v>
      </c>
      <c r="L947" s="591" t="s">
        <v>16</v>
      </c>
      <c r="M947" s="591">
        <v>75</v>
      </c>
      <c r="N947" s="591">
        <v>100</v>
      </c>
      <c r="O947" s="591">
        <v>100</v>
      </c>
      <c r="P947" s="591">
        <v>100</v>
      </c>
      <c r="Q947" s="453">
        <v>100</v>
      </c>
    </row>
    <row r="948" spans="1:17" ht="29.25" customHeight="1" x14ac:dyDescent="0.2">
      <c r="A948" s="2128"/>
      <c r="B948" s="2131"/>
      <c r="C948" s="2134"/>
      <c r="D948" s="2134"/>
      <c r="E948" s="1814"/>
      <c r="F948" s="1788"/>
      <c r="G948" s="1788"/>
      <c r="H948" s="1893"/>
      <c r="I948" s="1893"/>
      <c r="J948" s="1788"/>
      <c r="K948" s="697" t="s">
        <v>2813</v>
      </c>
      <c r="L948" s="591" t="s">
        <v>16</v>
      </c>
      <c r="M948" s="591">
        <v>87.8</v>
      </c>
      <c r="N948" s="591">
        <v>100</v>
      </c>
      <c r="O948" s="591">
        <v>100</v>
      </c>
      <c r="P948" s="591">
        <v>100</v>
      </c>
      <c r="Q948" s="453">
        <v>100</v>
      </c>
    </row>
    <row r="949" spans="1:17" ht="29.25" customHeight="1" x14ac:dyDescent="0.2">
      <c r="A949" s="2128"/>
      <c r="B949" s="2131"/>
      <c r="C949" s="2134"/>
      <c r="D949" s="2134"/>
      <c r="E949" s="1814"/>
      <c r="F949" s="1788"/>
      <c r="G949" s="1788"/>
      <c r="H949" s="1893"/>
      <c r="I949" s="1893"/>
      <c r="J949" s="1788"/>
      <c r="K949" s="586" t="s">
        <v>2814</v>
      </c>
      <c r="L949" s="591" t="s">
        <v>1178</v>
      </c>
      <c r="M949" s="591">
        <v>2</v>
      </c>
      <c r="N949" s="591">
        <v>3</v>
      </c>
      <c r="O949" s="591">
        <v>3</v>
      </c>
      <c r="P949" s="591">
        <v>3</v>
      </c>
      <c r="Q949" s="453">
        <v>3</v>
      </c>
    </row>
    <row r="950" spans="1:17" ht="29.25" customHeight="1" x14ac:dyDescent="0.2">
      <c r="A950" s="2129"/>
      <c r="B950" s="2131"/>
      <c r="C950" s="2134"/>
      <c r="D950" s="2134"/>
      <c r="E950" s="1814"/>
      <c r="F950" s="1788"/>
      <c r="G950" s="1788"/>
      <c r="H950" s="1893"/>
      <c r="I950" s="1893"/>
      <c r="J950" s="1788"/>
      <c r="K950" s="586" t="s">
        <v>2815</v>
      </c>
      <c r="L950" s="591" t="s">
        <v>16</v>
      </c>
      <c r="M950" s="591">
        <v>80.900000000000006</v>
      </c>
      <c r="N950" s="591">
        <v>100</v>
      </c>
      <c r="O950" s="591">
        <v>100</v>
      </c>
      <c r="P950" s="591">
        <v>100</v>
      </c>
      <c r="Q950" s="453">
        <v>100</v>
      </c>
    </row>
    <row r="951" spans="1:17" ht="29.25" customHeight="1" x14ac:dyDescent="0.2">
      <c r="A951" s="2115" t="s">
        <v>1266</v>
      </c>
      <c r="B951" s="2132"/>
      <c r="C951" s="2135"/>
      <c r="D951" s="2135"/>
      <c r="E951" s="1815"/>
      <c r="F951" s="1789"/>
      <c r="G951" s="1789"/>
      <c r="H951" s="1894"/>
      <c r="I951" s="1894"/>
      <c r="J951" s="1789"/>
      <c r="K951" s="697" t="s">
        <v>2816</v>
      </c>
      <c r="L951" s="591" t="s">
        <v>1178</v>
      </c>
      <c r="M951" s="591">
        <v>4</v>
      </c>
      <c r="N951" s="649">
        <v>2</v>
      </c>
      <c r="O951" s="649">
        <v>2</v>
      </c>
      <c r="P951" s="649">
        <v>2</v>
      </c>
      <c r="Q951" s="446">
        <v>3</v>
      </c>
    </row>
    <row r="952" spans="1:17" ht="29.25" customHeight="1" x14ac:dyDescent="0.2">
      <c r="A952" s="2117"/>
      <c r="B952" s="2121" t="s">
        <v>131</v>
      </c>
      <c r="C952" s="2103"/>
      <c r="D952" s="2103"/>
      <c r="E952" s="1884" t="s">
        <v>3053</v>
      </c>
      <c r="F952" s="2065">
        <v>1702745.4</v>
      </c>
      <c r="G952" s="2065">
        <v>1723636.2000000002</v>
      </c>
      <c r="H952" s="2065">
        <f>H954+H956+H958+H962+H965</f>
        <v>1608109.9</v>
      </c>
      <c r="I952" s="2065">
        <v>1643375</v>
      </c>
      <c r="J952" s="2065">
        <v>1661056.8</v>
      </c>
      <c r="K952" s="1813" t="s">
        <v>9</v>
      </c>
      <c r="L952" s="1929"/>
      <c r="M952" s="1929"/>
      <c r="N952" s="2124"/>
      <c r="O952" s="2124"/>
      <c r="P952" s="2124"/>
      <c r="Q952" s="1920"/>
    </row>
    <row r="953" spans="1:17" ht="29.25" customHeight="1" x14ac:dyDescent="0.2">
      <c r="A953" s="2118"/>
      <c r="B953" s="2122"/>
      <c r="C953" s="2105"/>
      <c r="D953" s="2105"/>
      <c r="E953" s="1884"/>
      <c r="F953" s="2123"/>
      <c r="G953" s="2123"/>
      <c r="H953" s="2123"/>
      <c r="I953" s="2123"/>
      <c r="J953" s="2123"/>
      <c r="K953" s="1815"/>
      <c r="L953" s="1931"/>
      <c r="M953" s="1931"/>
      <c r="N953" s="2125"/>
      <c r="O953" s="2125"/>
      <c r="P953" s="2125"/>
      <c r="Q953" s="1921"/>
    </row>
    <row r="954" spans="1:17" ht="29.25" customHeight="1" x14ac:dyDescent="0.2">
      <c r="A954" s="2118"/>
      <c r="B954" s="2038"/>
      <c r="C954" s="2118" t="s">
        <v>114</v>
      </c>
      <c r="D954" s="2100"/>
      <c r="E954" s="1847" t="s">
        <v>2817</v>
      </c>
      <c r="F954" s="1892">
        <v>159631.79999999999</v>
      </c>
      <c r="G954" s="1892">
        <v>174413.4</v>
      </c>
      <c r="H954" s="1892">
        <v>154943</v>
      </c>
      <c r="I954" s="1892">
        <v>155443</v>
      </c>
      <c r="J954" s="1892">
        <v>155643</v>
      </c>
      <c r="K954" s="697" t="s">
        <v>2818</v>
      </c>
      <c r="L954" s="591" t="s">
        <v>2819</v>
      </c>
      <c r="M954" s="591">
        <v>1196.8</v>
      </c>
      <c r="N954" s="597">
        <v>1502.4</v>
      </c>
      <c r="O954" s="597">
        <v>1502.4</v>
      </c>
      <c r="P954" s="597">
        <v>1502.4</v>
      </c>
      <c r="Q954" s="597">
        <v>1502.4</v>
      </c>
    </row>
    <row r="955" spans="1:17" ht="29.25" customHeight="1" x14ac:dyDescent="0.2">
      <c r="A955" s="2118"/>
      <c r="B955" s="2040"/>
      <c r="C955" s="2118"/>
      <c r="D955" s="2102"/>
      <c r="E955" s="1847"/>
      <c r="F955" s="1894"/>
      <c r="G955" s="1894"/>
      <c r="H955" s="1894"/>
      <c r="I955" s="1894"/>
      <c r="J955" s="1894"/>
      <c r="K955" s="586" t="s">
        <v>2820</v>
      </c>
      <c r="L955" s="591" t="s">
        <v>1178</v>
      </c>
      <c r="M955" s="591">
        <v>300</v>
      </c>
      <c r="N955" s="649">
        <v>300</v>
      </c>
      <c r="O955" s="649">
        <v>300</v>
      </c>
      <c r="P955" s="649">
        <v>300</v>
      </c>
      <c r="Q955" s="649">
        <v>300</v>
      </c>
    </row>
    <row r="956" spans="1:17" ht="29.25" customHeight="1" x14ac:dyDescent="0.2">
      <c r="A956" s="2118"/>
      <c r="B956" s="2038"/>
      <c r="C956" s="2100" t="s">
        <v>116</v>
      </c>
      <c r="D956" s="2100"/>
      <c r="E956" s="1813" t="s">
        <v>2821</v>
      </c>
      <c r="F956" s="1892">
        <v>102804.2</v>
      </c>
      <c r="G956" s="1892">
        <v>123017.8</v>
      </c>
      <c r="H956" s="1892">
        <v>122663</v>
      </c>
      <c r="I956" s="1892">
        <v>123163</v>
      </c>
      <c r="J956" s="1892">
        <v>123963</v>
      </c>
      <c r="K956" s="697" t="s">
        <v>2822</v>
      </c>
      <c r="L956" s="591" t="s">
        <v>2819</v>
      </c>
      <c r="M956" s="591">
        <v>655</v>
      </c>
      <c r="N956" s="649">
        <v>660</v>
      </c>
      <c r="O956" s="649">
        <v>660</v>
      </c>
      <c r="P956" s="649">
        <v>660</v>
      </c>
      <c r="Q956" s="649">
        <v>660</v>
      </c>
    </row>
    <row r="957" spans="1:17" ht="29.25" customHeight="1" x14ac:dyDescent="0.2">
      <c r="A957" s="2118"/>
      <c r="B957" s="2040"/>
      <c r="C957" s="2102"/>
      <c r="D957" s="2102"/>
      <c r="E957" s="1815"/>
      <c r="F957" s="1894"/>
      <c r="G957" s="1894"/>
      <c r="H957" s="1894"/>
      <c r="I957" s="1894"/>
      <c r="J957" s="1894"/>
      <c r="K957" s="586" t="s">
        <v>2823</v>
      </c>
      <c r="L957" s="591" t="s">
        <v>1178</v>
      </c>
      <c r="M957" s="591">
        <v>50</v>
      </c>
      <c r="N957" s="649">
        <v>54</v>
      </c>
      <c r="O957" s="649">
        <v>55</v>
      </c>
      <c r="P957" s="649">
        <v>55</v>
      </c>
      <c r="Q957" s="649">
        <v>55</v>
      </c>
    </row>
    <row r="958" spans="1:17" ht="29.25" customHeight="1" x14ac:dyDescent="0.2">
      <c r="A958" s="2118"/>
      <c r="B958" s="2118"/>
      <c r="C958" s="2118" t="s">
        <v>119</v>
      </c>
      <c r="D958" s="2100"/>
      <c r="E958" s="1847" t="s">
        <v>2824</v>
      </c>
      <c r="F958" s="1892">
        <v>195496.1</v>
      </c>
      <c r="G958" s="1892">
        <v>167102.79999999999</v>
      </c>
      <c r="H958" s="1892">
        <f>146229.3+157.5</f>
        <v>146386.79999999999</v>
      </c>
      <c r="I958" s="1892">
        <v>162584.20000000001</v>
      </c>
      <c r="J958" s="1892">
        <v>174484.1</v>
      </c>
      <c r="K958" s="586" t="s">
        <v>2825</v>
      </c>
      <c r="L958" s="591" t="s">
        <v>2826</v>
      </c>
      <c r="M958" s="591">
        <v>17</v>
      </c>
      <c r="N958" s="649">
        <v>17</v>
      </c>
      <c r="O958" s="649">
        <v>18</v>
      </c>
      <c r="P958" s="649">
        <v>18</v>
      </c>
      <c r="Q958" s="649">
        <v>20</v>
      </c>
    </row>
    <row r="959" spans="1:17" ht="29.25" customHeight="1" x14ac:dyDescent="0.2">
      <c r="A959" s="2118"/>
      <c r="B959" s="2118"/>
      <c r="C959" s="2118"/>
      <c r="D959" s="2101"/>
      <c r="E959" s="1847"/>
      <c r="F959" s="1893"/>
      <c r="G959" s="1893"/>
      <c r="H959" s="1893"/>
      <c r="I959" s="1893"/>
      <c r="J959" s="1893"/>
      <c r="K959" s="586" t="s">
        <v>2827</v>
      </c>
      <c r="L959" s="591" t="s">
        <v>1178</v>
      </c>
      <c r="M959" s="591">
        <v>1</v>
      </c>
      <c r="N959" s="649">
        <v>1</v>
      </c>
      <c r="O959" s="649">
        <v>2</v>
      </c>
      <c r="P959" s="649">
        <v>2</v>
      </c>
      <c r="Q959" s="649">
        <v>3</v>
      </c>
    </row>
    <row r="960" spans="1:17" ht="29.25" customHeight="1" x14ac:dyDescent="0.2">
      <c r="A960" s="2118"/>
      <c r="B960" s="2118"/>
      <c r="C960" s="2118"/>
      <c r="D960" s="2101"/>
      <c r="E960" s="1847"/>
      <c r="F960" s="1893"/>
      <c r="G960" s="1893"/>
      <c r="H960" s="1893"/>
      <c r="I960" s="1893"/>
      <c r="J960" s="1893"/>
      <c r="K960" s="1813" t="s">
        <v>2828</v>
      </c>
      <c r="L960" s="1929" t="s">
        <v>1178</v>
      </c>
      <c r="M960" s="1929">
        <v>20</v>
      </c>
      <c r="N960" s="2119">
        <v>20</v>
      </c>
      <c r="O960" s="2119">
        <v>18</v>
      </c>
      <c r="P960" s="1891">
        <v>15</v>
      </c>
      <c r="Q960" s="1891">
        <v>20</v>
      </c>
    </row>
    <row r="961" spans="1:17" ht="29.25" customHeight="1" x14ac:dyDescent="0.2">
      <c r="A961" s="2118"/>
      <c r="B961" s="2118"/>
      <c r="C961" s="2118"/>
      <c r="D961" s="2102"/>
      <c r="E961" s="1847"/>
      <c r="F961" s="1894"/>
      <c r="G961" s="1894"/>
      <c r="H961" s="1894"/>
      <c r="I961" s="1894"/>
      <c r="J961" s="1894"/>
      <c r="K961" s="1815"/>
      <c r="L961" s="1931"/>
      <c r="M961" s="1931"/>
      <c r="N961" s="2120"/>
      <c r="O961" s="2120"/>
      <c r="P961" s="1891"/>
      <c r="Q961" s="1891"/>
    </row>
    <row r="962" spans="1:17" ht="29.25" customHeight="1" x14ac:dyDescent="0.2">
      <c r="A962" s="2118"/>
      <c r="B962" s="2100"/>
      <c r="C962" s="2100" t="s">
        <v>124</v>
      </c>
      <c r="D962" s="2100"/>
      <c r="E962" s="1847" t="s">
        <v>2829</v>
      </c>
      <c r="F962" s="1892">
        <v>583448.80000000005</v>
      </c>
      <c r="G962" s="1892">
        <v>496354.4</v>
      </c>
      <c r="H962" s="1892">
        <v>461792.9</v>
      </c>
      <c r="I962" s="1892">
        <v>465516</v>
      </c>
      <c r="J962" s="1892">
        <v>462305.9</v>
      </c>
      <c r="K962" s="586" t="s">
        <v>2830</v>
      </c>
      <c r="L962" s="591" t="s">
        <v>1178</v>
      </c>
      <c r="M962" s="591">
        <v>30</v>
      </c>
      <c r="N962" s="443">
        <v>37</v>
      </c>
      <c r="O962" s="443">
        <v>43</v>
      </c>
      <c r="P962" s="443">
        <v>20</v>
      </c>
      <c r="Q962" s="443">
        <v>20</v>
      </c>
    </row>
    <row r="963" spans="1:17" ht="29.25" customHeight="1" x14ac:dyDescent="0.2">
      <c r="A963" s="2118"/>
      <c r="B963" s="2101"/>
      <c r="C963" s="2101"/>
      <c r="D963" s="2101"/>
      <c r="E963" s="1847"/>
      <c r="F963" s="1893"/>
      <c r="G963" s="1893"/>
      <c r="H963" s="1893"/>
      <c r="I963" s="1893"/>
      <c r="J963" s="1893"/>
      <c r="K963" s="586" t="s">
        <v>2831</v>
      </c>
      <c r="L963" s="591" t="s">
        <v>1178</v>
      </c>
      <c r="M963" s="591">
        <v>65</v>
      </c>
      <c r="N963" s="443">
        <v>75</v>
      </c>
      <c r="O963" s="443">
        <v>79</v>
      </c>
      <c r="P963" s="443">
        <v>50</v>
      </c>
      <c r="Q963" s="443">
        <v>50</v>
      </c>
    </row>
    <row r="964" spans="1:17" ht="29.25" customHeight="1" x14ac:dyDescent="0.2">
      <c r="A964" s="2112" t="s">
        <v>0</v>
      </c>
      <c r="B964" s="2102"/>
      <c r="C964" s="2102"/>
      <c r="D964" s="2102"/>
      <c r="E964" s="1847"/>
      <c r="F964" s="1894"/>
      <c r="G964" s="1894"/>
      <c r="H964" s="1894"/>
      <c r="I964" s="1894"/>
      <c r="J964" s="1894"/>
      <c r="K964" s="697" t="s">
        <v>2832</v>
      </c>
      <c r="L964" s="591" t="s">
        <v>2819</v>
      </c>
      <c r="M964" s="591">
        <v>1034384</v>
      </c>
      <c r="N964" s="455">
        <v>1059584</v>
      </c>
      <c r="O964" s="455">
        <v>1086038</v>
      </c>
      <c r="P964" s="444">
        <v>1200000</v>
      </c>
      <c r="Q964" s="444">
        <v>1200000</v>
      </c>
    </row>
    <row r="965" spans="1:17" ht="29.25" customHeight="1" x14ac:dyDescent="0.2">
      <c r="A965" s="2113"/>
      <c r="B965" s="2100"/>
      <c r="C965" s="2100" t="s">
        <v>128</v>
      </c>
      <c r="D965" s="2100"/>
      <c r="E965" s="1813" t="s">
        <v>2833</v>
      </c>
      <c r="F965" s="1892">
        <v>661364.5</v>
      </c>
      <c r="G965" s="1787">
        <v>762747.8</v>
      </c>
      <c r="H965" s="1787">
        <v>722324.2</v>
      </c>
      <c r="I965" s="1787">
        <v>736668.8</v>
      </c>
      <c r="J965" s="1787">
        <v>744660.8</v>
      </c>
      <c r="K965" s="586" t="s">
        <v>2834</v>
      </c>
      <c r="L965" s="591" t="s">
        <v>2835</v>
      </c>
      <c r="M965" s="591">
        <v>1020</v>
      </c>
      <c r="N965" s="649">
        <v>1086</v>
      </c>
      <c r="O965" s="649">
        <v>1150</v>
      </c>
      <c r="P965" s="649">
        <v>1200</v>
      </c>
      <c r="Q965" s="446">
        <v>1300</v>
      </c>
    </row>
    <row r="966" spans="1:17" ht="29.25" customHeight="1" x14ac:dyDescent="0.2">
      <c r="A966" s="2114"/>
      <c r="B966" s="2101"/>
      <c r="C966" s="2101"/>
      <c r="D966" s="2101"/>
      <c r="E966" s="1814"/>
      <c r="F966" s="1893"/>
      <c r="G966" s="1788"/>
      <c r="H966" s="1788"/>
      <c r="I966" s="1788"/>
      <c r="J966" s="1788"/>
      <c r="K966" s="586" t="s">
        <v>2836</v>
      </c>
      <c r="L966" s="591" t="s">
        <v>2835</v>
      </c>
      <c r="M966" s="591">
        <v>9021</v>
      </c>
      <c r="N966" s="649">
        <v>9021</v>
      </c>
      <c r="O966" s="649">
        <v>9021</v>
      </c>
      <c r="P966" s="649">
        <v>9021</v>
      </c>
      <c r="Q966" s="446">
        <v>9021</v>
      </c>
    </row>
    <row r="967" spans="1:17" ht="29.25" customHeight="1" x14ac:dyDescent="0.2">
      <c r="A967" s="650" t="s">
        <v>1266</v>
      </c>
      <c r="B967" s="2102"/>
      <c r="C967" s="2102"/>
      <c r="D967" s="2102"/>
      <c r="E967" s="1815"/>
      <c r="F967" s="1894"/>
      <c r="G967" s="1789"/>
      <c r="H967" s="1789"/>
      <c r="I967" s="1789"/>
      <c r="J967" s="1789"/>
      <c r="K967" s="586" t="s">
        <v>2837</v>
      </c>
      <c r="L967" s="591" t="s">
        <v>2835</v>
      </c>
      <c r="M967" s="591">
        <v>20</v>
      </c>
      <c r="N967" s="649">
        <v>20</v>
      </c>
      <c r="O967" s="649">
        <v>20</v>
      </c>
      <c r="P967" s="649">
        <v>20</v>
      </c>
      <c r="Q967" s="446">
        <v>20</v>
      </c>
    </row>
    <row r="968" spans="1:17" ht="134.25" customHeight="1" x14ac:dyDescent="0.2">
      <c r="A968" s="2115"/>
      <c r="B968" s="1333" t="s">
        <v>155</v>
      </c>
      <c r="C968" s="665"/>
      <c r="D968" s="665"/>
      <c r="E968" s="642" t="s">
        <v>3054</v>
      </c>
      <c r="F968" s="1561">
        <v>71626.100000000006</v>
      </c>
      <c r="G968" s="1561">
        <v>102113.7</v>
      </c>
      <c r="H968" s="1561">
        <f>H969+H972+H973</f>
        <v>75861.8</v>
      </c>
      <c r="I968" s="1561">
        <v>77395.3</v>
      </c>
      <c r="J968" s="1561">
        <v>78284.899999999994</v>
      </c>
      <c r="K968" s="633"/>
      <c r="L968" s="591"/>
      <c r="M968" s="591"/>
      <c r="N968" s="597"/>
      <c r="O968" s="597"/>
      <c r="P968" s="597"/>
      <c r="Q968" s="447"/>
    </row>
    <row r="969" spans="1:17" ht="29.25" customHeight="1" x14ac:dyDescent="0.2">
      <c r="A969" s="2116"/>
      <c r="B969" s="2103"/>
      <c r="C969" s="2100" t="s">
        <v>114</v>
      </c>
      <c r="D969" s="2103"/>
      <c r="E969" s="1813" t="s">
        <v>2838</v>
      </c>
      <c r="F969" s="1892">
        <v>20514</v>
      </c>
      <c r="G969" s="1787">
        <v>20514</v>
      </c>
      <c r="H969" s="1787">
        <v>10982.9</v>
      </c>
      <c r="I969" s="1787">
        <v>11193.1</v>
      </c>
      <c r="J969" s="1787">
        <v>11299.9</v>
      </c>
      <c r="K969" s="586" t="s">
        <v>2839</v>
      </c>
      <c r="L969" s="591" t="s">
        <v>1178</v>
      </c>
      <c r="M969" s="591">
        <v>1</v>
      </c>
      <c r="N969" s="649">
        <v>1</v>
      </c>
      <c r="O969" s="649">
        <v>1</v>
      </c>
      <c r="P969" s="649">
        <v>1</v>
      </c>
      <c r="Q969" s="448">
        <v>1</v>
      </c>
    </row>
    <row r="970" spans="1:17" ht="29.25" customHeight="1" x14ac:dyDescent="0.2">
      <c r="A970" s="2117"/>
      <c r="B970" s="2104"/>
      <c r="C970" s="2101"/>
      <c r="D970" s="2104"/>
      <c r="E970" s="1814"/>
      <c r="F970" s="1893"/>
      <c r="G970" s="1788"/>
      <c r="H970" s="1788"/>
      <c r="I970" s="1788"/>
      <c r="J970" s="1788"/>
      <c r="K970" s="1441" t="s">
        <v>2840</v>
      </c>
      <c r="L970" s="591" t="s">
        <v>1178</v>
      </c>
      <c r="M970" s="591">
        <v>3</v>
      </c>
      <c r="N970" s="649">
        <v>3</v>
      </c>
      <c r="O970" s="649">
        <v>3</v>
      </c>
      <c r="P970" s="649">
        <v>3</v>
      </c>
      <c r="Q970" s="448">
        <v>3</v>
      </c>
    </row>
    <row r="971" spans="1:17" ht="29.25" customHeight="1" x14ac:dyDescent="0.2">
      <c r="A971" s="458"/>
      <c r="B971" s="2105"/>
      <c r="C971" s="2102"/>
      <c r="D971" s="2105"/>
      <c r="E971" s="1815"/>
      <c r="F971" s="1894"/>
      <c r="G971" s="1789"/>
      <c r="H971" s="1789"/>
      <c r="I971" s="1789"/>
      <c r="J971" s="1789"/>
      <c r="K971" s="1441" t="s">
        <v>2841</v>
      </c>
      <c r="L971" s="591" t="s">
        <v>1178</v>
      </c>
      <c r="M971" s="591">
        <v>10</v>
      </c>
      <c r="N971" s="649">
        <v>10</v>
      </c>
      <c r="O971" s="649">
        <v>10</v>
      </c>
      <c r="P971" s="649">
        <v>10</v>
      </c>
      <c r="Q971" s="448">
        <v>10</v>
      </c>
    </row>
    <row r="972" spans="1:17" ht="29.25" customHeight="1" x14ac:dyDescent="0.2">
      <c r="A972" s="2115"/>
      <c r="B972" s="457"/>
      <c r="C972" s="651" t="s">
        <v>116</v>
      </c>
      <c r="D972" s="457"/>
      <c r="E972" s="697" t="s">
        <v>2842</v>
      </c>
      <c r="F972" s="1547">
        <v>28240.1</v>
      </c>
      <c r="G972" s="1547">
        <v>58727.7</v>
      </c>
      <c r="H972" s="1547">
        <v>42841.7</v>
      </c>
      <c r="I972" s="1547">
        <v>44165</v>
      </c>
      <c r="J972" s="1547">
        <v>44947.799999999996</v>
      </c>
      <c r="K972" s="586" t="s">
        <v>2843</v>
      </c>
      <c r="L972" s="591" t="s">
        <v>1178</v>
      </c>
      <c r="M972" s="591">
        <v>5</v>
      </c>
      <c r="N972" s="649">
        <v>7</v>
      </c>
      <c r="O972" s="649">
        <v>7</v>
      </c>
      <c r="P972" s="649">
        <v>7</v>
      </c>
      <c r="Q972" s="448">
        <v>7</v>
      </c>
    </row>
    <row r="973" spans="1:17" ht="29.25" customHeight="1" x14ac:dyDescent="0.2">
      <c r="A973" s="2116"/>
      <c r="B973" s="2103"/>
      <c r="C973" s="2100" t="s">
        <v>119</v>
      </c>
      <c r="D973" s="2103"/>
      <c r="E973" s="1847" t="s">
        <v>2844</v>
      </c>
      <c r="F973" s="1787">
        <v>22872</v>
      </c>
      <c r="G973" s="1787">
        <v>22872</v>
      </c>
      <c r="H973" s="1787">
        <v>22037.200000000001</v>
      </c>
      <c r="I973" s="1787">
        <v>22037.200000000001</v>
      </c>
      <c r="J973" s="1787">
        <v>22037.200000000001</v>
      </c>
      <c r="K973" s="586" t="s">
        <v>2845</v>
      </c>
      <c r="L973" s="591" t="s">
        <v>16</v>
      </c>
      <c r="M973" s="591">
        <v>24</v>
      </c>
      <c r="N973" s="649">
        <v>27</v>
      </c>
      <c r="O973" s="649">
        <v>30</v>
      </c>
      <c r="P973" s="649">
        <v>30</v>
      </c>
      <c r="Q973" s="448">
        <v>30</v>
      </c>
    </row>
    <row r="974" spans="1:17" ht="29.25" customHeight="1" x14ac:dyDescent="0.2">
      <c r="A974" s="2117"/>
      <c r="B974" s="2104"/>
      <c r="C974" s="2101"/>
      <c r="D974" s="2104"/>
      <c r="E974" s="1847"/>
      <c r="F974" s="1788"/>
      <c r="G974" s="1788"/>
      <c r="H974" s="1788"/>
      <c r="I974" s="1788"/>
      <c r="J974" s="1788"/>
      <c r="K974" s="586" t="s">
        <v>2846</v>
      </c>
      <c r="L974" s="591" t="s">
        <v>1178</v>
      </c>
      <c r="M974" s="591">
        <v>2500</v>
      </c>
      <c r="N974" s="597">
        <v>2700</v>
      </c>
      <c r="O974" s="597">
        <v>2700</v>
      </c>
      <c r="P974" s="597">
        <v>2300</v>
      </c>
      <c r="Q974" s="448">
        <v>2300</v>
      </c>
    </row>
    <row r="975" spans="1:17" ht="29.25" customHeight="1" x14ac:dyDescent="0.2">
      <c r="A975" s="650" t="s">
        <v>1266</v>
      </c>
      <c r="B975" s="2105"/>
      <c r="C975" s="2102"/>
      <c r="D975" s="2105"/>
      <c r="E975" s="1847"/>
      <c r="F975" s="1789"/>
      <c r="G975" s="1789"/>
      <c r="H975" s="1789"/>
      <c r="I975" s="1789"/>
      <c r="J975" s="1789"/>
      <c r="K975" s="586" t="s">
        <v>2847</v>
      </c>
      <c r="L975" s="591" t="s">
        <v>2848</v>
      </c>
      <c r="M975" s="591">
        <v>4700</v>
      </c>
      <c r="N975" s="597">
        <v>4900</v>
      </c>
      <c r="O975" s="597">
        <v>5000</v>
      </c>
      <c r="P975" s="597">
        <v>5000</v>
      </c>
      <c r="Q975" s="448">
        <v>5000</v>
      </c>
    </row>
    <row r="976" spans="1:17" ht="29.25" customHeight="1" x14ac:dyDescent="0.2">
      <c r="A976" s="458"/>
      <c r="B976" s="1382" t="s">
        <v>164</v>
      </c>
      <c r="C976" s="457"/>
      <c r="D976" s="457"/>
      <c r="E976" s="659" t="s">
        <v>2849</v>
      </c>
      <c r="F976" s="1561">
        <v>9508.9</v>
      </c>
      <c r="G976" s="1561">
        <v>8429.2999999999993</v>
      </c>
      <c r="H976" s="1561">
        <f>H977+H978</f>
        <v>4909</v>
      </c>
      <c r="I976" s="1561">
        <v>5003</v>
      </c>
      <c r="J976" s="1561">
        <v>5050.7</v>
      </c>
      <c r="K976" s="697"/>
      <c r="L976" s="591"/>
      <c r="M976" s="591"/>
      <c r="N976" s="597"/>
      <c r="O976" s="597"/>
      <c r="P976" s="597"/>
      <c r="Q976" s="447"/>
    </row>
    <row r="977" spans="1:17" ht="29.25" customHeight="1" x14ac:dyDescent="0.2">
      <c r="A977" s="650"/>
      <c r="B977" s="457"/>
      <c r="C977" s="651" t="s">
        <v>114</v>
      </c>
      <c r="D977" s="457"/>
      <c r="E977" s="697" t="s">
        <v>2850</v>
      </c>
      <c r="F977" s="1547">
        <v>5819.7</v>
      </c>
      <c r="G977" s="1547">
        <v>5181.5</v>
      </c>
      <c r="H977" s="1547">
        <v>4830.8</v>
      </c>
      <c r="I977" s="1547">
        <v>4830.8</v>
      </c>
      <c r="J977" s="1547">
        <v>4830.8</v>
      </c>
      <c r="K977" s="697" t="s">
        <v>2851</v>
      </c>
      <c r="L977" s="591" t="s">
        <v>2819</v>
      </c>
      <c r="M977" s="597">
        <v>8507.9</v>
      </c>
      <c r="N977" s="597">
        <v>2000</v>
      </c>
      <c r="O977" s="597" t="s">
        <v>1268</v>
      </c>
      <c r="P977" s="597" t="s">
        <v>1269</v>
      </c>
      <c r="Q977" s="447" t="s">
        <v>1264</v>
      </c>
    </row>
    <row r="978" spans="1:17" ht="29.25" customHeight="1" x14ac:dyDescent="0.2">
      <c r="A978" s="650"/>
      <c r="B978" s="459"/>
      <c r="C978" s="2100" t="s">
        <v>116</v>
      </c>
      <c r="D978" s="2103"/>
      <c r="E978" s="1813" t="s">
        <v>2852</v>
      </c>
      <c r="F978" s="1787">
        <v>3689.2</v>
      </c>
      <c r="G978" s="1787">
        <v>3247.8</v>
      </c>
      <c r="H978" s="1787">
        <v>78.2</v>
      </c>
      <c r="I978" s="1787">
        <v>172.2</v>
      </c>
      <c r="J978" s="1787">
        <v>219.9</v>
      </c>
      <c r="K978" s="633" t="s">
        <v>2853</v>
      </c>
      <c r="L978" s="591" t="s">
        <v>16</v>
      </c>
      <c r="M978" s="597">
        <v>5.2</v>
      </c>
      <c r="N978" s="597">
        <v>3.2</v>
      </c>
      <c r="O978" s="597">
        <v>4.9000000000000004</v>
      </c>
      <c r="P978" s="597">
        <v>5.2</v>
      </c>
      <c r="Q978" s="447">
        <v>5.5</v>
      </c>
    </row>
    <row r="979" spans="1:17" ht="29.25" customHeight="1" x14ac:dyDescent="0.2">
      <c r="A979" s="650"/>
      <c r="B979" s="459"/>
      <c r="C979" s="2101"/>
      <c r="D979" s="2104"/>
      <c r="E979" s="1814"/>
      <c r="F979" s="1788"/>
      <c r="G979" s="1788"/>
      <c r="H979" s="1788"/>
      <c r="I979" s="1788"/>
      <c r="J979" s="1788"/>
      <c r="K979" s="697" t="s">
        <v>2854</v>
      </c>
      <c r="L979" s="591" t="s">
        <v>1270</v>
      </c>
      <c r="M979" s="597">
        <v>613.1</v>
      </c>
      <c r="N979" s="597">
        <v>61</v>
      </c>
      <c r="O979" s="597">
        <v>470</v>
      </c>
      <c r="P979" s="597">
        <v>650</v>
      </c>
      <c r="Q979" s="447">
        <v>800</v>
      </c>
    </row>
    <row r="980" spans="1:17" ht="29.25" customHeight="1" x14ac:dyDescent="0.2">
      <c r="A980" s="458" t="s">
        <v>1266</v>
      </c>
      <c r="B980" s="459"/>
      <c r="C980" s="2102"/>
      <c r="D980" s="2105"/>
      <c r="E980" s="1815"/>
      <c r="F980" s="1789"/>
      <c r="G980" s="1789"/>
      <c r="H980" s="1789"/>
      <c r="I980" s="1789"/>
      <c r="J980" s="1789"/>
      <c r="K980" s="697" t="s">
        <v>2855</v>
      </c>
      <c r="L980" s="591" t="s">
        <v>590</v>
      </c>
      <c r="M980" s="597">
        <v>27223</v>
      </c>
      <c r="N980" s="597">
        <v>500</v>
      </c>
      <c r="O980" s="597" t="s">
        <v>1271</v>
      </c>
      <c r="P980" s="597" t="s">
        <v>1272</v>
      </c>
      <c r="Q980" s="447" t="s">
        <v>1265</v>
      </c>
    </row>
    <row r="981" spans="1:17" ht="78.75" customHeight="1" x14ac:dyDescent="0.2">
      <c r="A981" s="458"/>
      <c r="B981" s="1333" t="s">
        <v>253</v>
      </c>
      <c r="C981" s="457"/>
      <c r="D981" s="457"/>
      <c r="E981" s="160" t="s">
        <v>3055</v>
      </c>
      <c r="F981" s="1561">
        <v>399325.7</v>
      </c>
      <c r="G981" s="1561">
        <v>383875</v>
      </c>
      <c r="H981" s="1561">
        <f>H982+H983+H984</f>
        <v>341829.6</v>
      </c>
      <c r="I981" s="1561">
        <v>348372.39999999997</v>
      </c>
      <c r="J981" s="1561">
        <v>351695.7</v>
      </c>
      <c r="K981" s="697"/>
      <c r="L981" s="591"/>
      <c r="M981" s="591"/>
      <c r="N981" s="597"/>
      <c r="O981" s="597"/>
      <c r="P981" s="597"/>
      <c r="Q981" s="447"/>
    </row>
    <row r="982" spans="1:17" ht="29.25" customHeight="1" x14ac:dyDescent="0.2">
      <c r="A982" s="458"/>
      <c r="B982" s="457"/>
      <c r="C982" s="651" t="s">
        <v>114</v>
      </c>
      <c r="D982" s="457"/>
      <c r="E982" s="1442" t="s">
        <v>2856</v>
      </c>
      <c r="F982" s="1547">
        <v>10029.4</v>
      </c>
      <c r="G982" s="1547">
        <v>9607.7999999999993</v>
      </c>
      <c r="H982" s="1547">
        <v>4470.3</v>
      </c>
      <c r="I982" s="1547">
        <v>4555.8999999999996</v>
      </c>
      <c r="J982" s="1547">
        <v>4599.3</v>
      </c>
      <c r="K982" s="586" t="s">
        <v>2857</v>
      </c>
      <c r="L982" s="591" t="s">
        <v>122</v>
      </c>
      <c r="M982" s="591">
        <v>1</v>
      </c>
      <c r="N982" s="591">
        <v>1</v>
      </c>
      <c r="O982" s="591">
        <v>1</v>
      </c>
      <c r="P982" s="591">
        <v>1</v>
      </c>
      <c r="Q982" s="453">
        <v>1</v>
      </c>
    </row>
    <row r="983" spans="1:17" ht="29.25" customHeight="1" x14ac:dyDescent="0.2">
      <c r="A983" s="458"/>
      <c r="B983" s="457"/>
      <c r="C983" s="651" t="s">
        <v>116</v>
      </c>
      <c r="D983" s="457"/>
      <c r="E983" s="586" t="s">
        <v>2858</v>
      </c>
      <c r="F983" s="1547">
        <v>119276.1</v>
      </c>
      <c r="G983" s="1547">
        <v>144697.1</v>
      </c>
      <c r="H983" s="1547">
        <v>107854.8</v>
      </c>
      <c r="I983" s="1547">
        <v>109919.2</v>
      </c>
      <c r="J983" s="1547">
        <v>110967.8</v>
      </c>
      <c r="K983" s="586" t="s">
        <v>2859</v>
      </c>
      <c r="L983" s="591" t="s">
        <v>2835</v>
      </c>
      <c r="M983" s="250">
        <v>40</v>
      </c>
      <c r="N983" s="250">
        <v>60</v>
      </c>
      <c r="O983" s="250">
        <v>80</v>
      </c>
      <c r="P983" s="250">
        <v>80</v>
      </c>
      <c r="Q983" s="454">
        <v>80</v>
      </c>
    </row>
    <row r="984" spans="1:17" ht="29.25" customHeight="1" x14ac:dyDescent="0.2">
      <c r="A984" s="537"/>
      <c r="B984" s="457"/>
      <c r="C984" s="651" t="s">
        <v>119</v>
      </c>
      <c r="D984" s="457"/>
      <c r="E984" s="586" t="s">
        <v>2860</v>
      </c>
      <c r="F984" s="1547">
        <v>270020.2</v>
      </c>
      <c r="G984" s="1547">
        <v>229570.1</v>
      </c>
      <c r="H984" s="1547">
        <v>229504.5</v>
      </c>
      <c r="I984" s="1547">
        <v>233897.3</v>
      </c>
      <c r="J984" s="1547">
        <v>236128.6</v>
      </c>
      <c r="K984" s="586" t="s">
        <v>2861</v>
      </c>
      <c r="L984" s="591" t="s">
        <v>1178</v>
      </c>
      <c r="M984" s="591">
        <v>15</v>
      </c>
      <c r="N984" s="649">
        <v>15</v>
      </c>
      <c r="O984" s="649">
        <v>15</v>
      </c>
      <c r="P984" s="649">
        <v>15</v>
      </c>
      <c r="Q984" s="446">
        <v>15</v>
      </c>
    </row>
    <row r="985" spans="1:17" ht="29.25" customHeight="1" thickBot="1" x14ac:dyDescent="0.25">
      <c r="A985" s="537"/>
      <c r="B985" s="2067" t="s">
        <v>3104</v>
      </c>
      <c r="C985" s="2068"/>
      <c r="D985" s="2068"/>
      <c r="E985" s="2068"/>
      <c r="F985" s="1665">
        <v>2213501.9</v>
      </c>
      <c r="G985" s="1665">
        <v>2246241.1</v>
      </c>
      <c r="H985" s="1665">
        <f>H943+H952+H968+H976+H981</f>
        <v>2060982.9</v>
      </c>
      <c r="I985" s="1665">
        <v>2101057.7000000002</v>
      </c>
      <c r="J985" s="1665">
        <v>2123256.9</v>
      </c>
      <c r="K985" s="557"/>
      <c r="L985" s="1895"/>
      <c r="M985" s="1895"/>
      <c r="N985" s="1895"/>
      <c r="O985" s="1895"/>
      <c r="P985" s="1895"/>
      <c r="Q985" s="1896"/>
    </row>
    <row r="986" spans="1:17" ht="29.25" customHeight="1" thickBot="1" x14ac:dyDescent="0.25">
      <c r="A986" s="537"/>
      <c r="B986" s="1912" t="s">
        <v>2862</v>
      </c>
      <c r="C986" s="1913"/>
      <c r="D986" s="1913"/>
      <c r="E986" s="1913"/>
      <c r="F986" s="1664"/>
      <c r="G986" s="1664"/>
      <c r="H986" s="1664"/>
      <c r="I986" s="1664"/>
      <c r="J986" s="1664"/>
      <c r="K986" s="683"/>
      <c r="L986" s="683"/>
      <c r="M986" s="683"/>
      <c r="N986" s="683"/>
      <c r="O986" s="683"/>
      <c r="P986" s="683"/>
      <c r="Q986" s="683"/>
    </row>
    <row r="987" spans="1:17" ht="66.75" customHeight="1" x14ac:dyDescent="0.2">
      <c r="A987" s="537"/>
      <c r="B987" s="540">
        <v>1</v>
      </c>
      <c r="C987" s="470"/>
      <c r="D987" s="541"/>
      <c r="E987" s="908" t="s">
        <v>2462</v>
      </c>
      <c r="F987" s="1561">
        <v>17250.5</v>
      </c>
      <c r="G987" s="1561">
        <v>14620.4</v>
      </c>
      <c r="H987" s="1561">
        <f>H988</f>
        <v>14620.4</v>
      </c>
      <c r="I987" s="1561">
        <v>14932.3</v>
      </c>
      <c r="J987" s="1561">
        <v>15134.2</v>
      </c>
      <c r="K987" s="160" t="s">
        <v>2464</v>
      </c>
      <c r="L987" s="628" t="s">
        <v>2819</v>
      </c>
      <c r="M987" s="628">
        <v>150</v>
      </c>
      <c r="N987" s="628">
        <v>170</v>
      </c>
      <c r="O987" s="628">
        <v>200</v>
      </c>
      <c r="P987" s="628">
        <v>210</v>
      </c>
      <c r="Q987" s="628">
        <v>210</v>
      </c>
    </row>
    <row r="988" spans="1:17" ht="29.25" customHeight="1" x14ac:dyDescent="0.2">
      <c r="A988" s="537"/>
      <c r="B988" s="2106"/>
      <c r="C988" s="1804">
        <v>1</v>
      </c>
      <c r="D988" s="1807"/>
      <c r="E988" s="2111" t="s">
        <v>2463</v>
      </c>
      <c r="F988" s="1787">
        <v>17250.5</v>
      </c>
      <c r="G988" s="1787">
        <v>14620.4</v>
      </c>
      <c r="H988" s="1787">
        <v>14620.4</v>
      </c>
      <c r="I988" s="1787">
        <v>14932.3</v>
      </c>
      <c r="J988" s="1787">
        <v>15134.2</v>
      </c>
      <c r="K988" s="586" t="s">
        <v>2465</v>
      </c>
      <c r="L988" s="22" t="s">
        <v>1178</v>
      </c>
      <c r="M988" s="22">
        <v>7</v>
      </c>
      <c r="N988" s="22">
        <v>7.5</v>
      </c>
      <c r="O988" s="22">
        <v>8.1999999999999993</v>
      </c>
      <c r="P988" s="22">
        <v>8.1999999999999993</v>
      </c>
      <c r="Q988" s="22">
        <v>8.1999999999999993</v>
      </c>
    </row>
    <row r="989" spans="1:17" ht="29.25" customHeight="1" x14ac:dyDescent="0.2">
      <c r="A989" s="537"/>
      <c r="B989" s="2107"/>
      <c r="C989" s="1805"/>
      <c r="D989" s="1808"/>
      <c r="E989" s="2111"/>
      <c r="F989" s="1788"/>
      <c r="G989" s="1788"/>
      <c r="H989" s="1788"/>
      <c r="I989" s="1788"/>
      <c r="J989" s="1788"/>
      <c r="K989" s="586" t="s">
        <v>2466</v>
      </c>
      <c r="L989" s="22"/>
      <c r="M989" s="22">
        <v>11700</v>
      </c>
      <c r="N989" s="22">
        <v>12000</v>
      </c>
      <c r="O989" s="22">
        <v>12100</v>
      </c>
      <c r="P989" s="22">
        <v>12200</v>
      </c>
      <c r="Q989" s="22">
        <v>12200</v>
      </c>
    </row>
    <row r="990" spans="1:17" ht="29.25" customHeight="1" x14ac:dyDescent="0.2">
      <c r="A990" s="537"/>
      <c r="B990" s="2107"/>
      <c r="C990" s="1805"/>
      <c r="D990" s="1808"/>
      <c r="E990" s="2111"/>
      <c r="F990" s="1788"/>
      <c r="G990" s="1788"/>
      <c r="H990" s="1788"/>
      <c r="I990" s="1788"/>
      <c r="J990" s="1788"/>
      <c r="K990" s="586" t="s">
        <v>2467</v>
      </c>
      <c r="L990" s="22" t="s">
        <v>2863</v>
      </c>
      <c r="M990" s="22">
        <v>15</v>
      </c>
      <c r="N990" s="22">
        <v>16</v>
      </c>
      <c r="O990" s="22">
        <v>17</v>
      </c>
      <c r="P990" s="22">
        <v>18</v>
      </c>
      <c r="Q990" s="22">
        <v>18</v>
      </c>
    </row>
    <row r="991" spans="1:17" ht="29.25" customHeight="1" thickBot="1" x14ac:dyDescent="0.25">
      <c r="A991" s="537"/>
      <c r="B991" s="2108"/>
      <c r="C991" s="2109"/>
      <c r="D991" s="2110"/>
      <c r="E991" s="2111"/>
      <c r="F991" s="1789"/>
      <c r="G991" s="1789"/>
      <c r="H991" s="1789"/>
      <c r="I991" s="1789"/>
      <c r="J991" s="1789"/>
      <c r="K991" s="586" t="s">
        <v>2468</v>
      </c>
      <c r="L991" s="22" t="s">
        <v>2363</v>
      </c>
      <c r="M991" s="22">
        <v>3500</v>
      </c>
      <c r="N991" s="22">
        <v>3800</v>
      </c>
      <c r="O991" s="22">
        <v>4000</v>
      </c>
      <c r="P991" s="22">
        <v>4200</v>
      </c>
      <c r="Q991" s="22">
        <v>4300</v>
      </c>
    </row>
    <row r="992" spans="1:17" ht="29.25" customHeight="1" thickBot="1" x14ac:dyDescent="0.25">
      <c r="A992" s="537"/>
      <c r="B992" s="2067" t="s">
        <v>3104</v>
      </c>
      <c r="C992" s="2068"/>
      <c r="D992" s="2068"/>
      <c r="E992" s="2068"/>
      <c r="F992" s="1665">
        <f>F987</f>
        <v>17250.5</v>
      </c>
      <c r="G992" s="1665">
        <f t="shared" ref="G992:J992" si="37">G987</f>
        <v>14620.4</v>
      </c>
      <c r="H992" s="1665">
        <f t="shared" si="37"/>
        <v>14620.4</v>
      </c>
      <c r="I992" s="1665">
        <f t="shared" si="37"/>
        <v>14932.3</v>
      </c>
      <c r="J992" s="1665">
        <f t="shared" si="37"/>
        <v>15134.2</v>
      </c>
      <c r="K992" s="557"/>
      <c r="L992" s="1895"/>
      <c r="M992" s="1895"/>
      <c r="N992" s="1895"/>
      <c r="O992" s="1895"/>
      <c r="P992" s="1895"/>
      <c r="Q992" s="1896"/>
    </row>
    <row r="993" spans="1:17" ht="29.25" customHeight="1" x14ac:dyDescent="0.2">
      <c r="A993" s="537"/>
      <c r="B993" s="1897" t="s">
        <v>2864</v>
      </c>
      <c r="C993" s="1898"/>
      <c r="D993" s="1898"/>
      <c r="E993" s="1898"/>
      <c r="F993" s="1898"/>
      <c r="G993" s="1898"/>
      <c r="H993" s="1898"/>
      <c r="I993" s="1898"/>
      <c r="J993" s="1898"/>
      <c r="K993" s="1898"/>
      <c r="L993" s="1898"/>
      <c r="M993" s="1898"/>
      <c r="N993" s="1898"/>
      <c r="O993" s="1898"/>
      <c r="P993" s="1898"/>
      <c r="Q993" s="1898"/>
    </row>
    <row r="994" spans="1:17" ht="54" customHeight="1" x14ac:dyDescent="0.2">
      <c r="A994" s="537"/>
      <c r="B994" s="543">
        <v>8</v>
      </c>
      <c r="C994" s="651"/>
      <c r="D994" s="544"/>
      <c r="E994" s="127" t="s">
        <v>2482</v>
      </c>
      <c r="F994" s="1554">
        <f>F995+F996</f>
        <v>802.3</v>
      </c>
      <c r="G994" s="1554">
        <f t="shared" ref="G994:J994" si="38">G995+G996</f>
        <v>1194.7</v>
      </c>
      <c r="H994" s="1554">
        <f t="shared" si="38"/>
        <v>1025.0999999999999</v>
      </c>
      <c r="I994" s="1554">
        <f t="shared" si="38"/>
        <v>1044.7</v>
      </c>
      <c r="J994" s="1554">
        <f t="shared" si="38"/>
        <v>1054.7</v>
      </c>
      <c r="K994" s="160" t="s">
        <v>2485</v>
      </c>
      <c r="L994" s="140" t="s">
        <v>16</v>
      </c>
      <c r="M994" s="639">
        <v>100</v>
      </c>
      <c r="N994" s="639">
        <v>100</v>
      </c>
      <c r="O994" s="639">
        <v>100</v>
      </c>
      <c r="P994" s="639">
        <v>100</v>
      </c>
      <c r="Q994" s="639">
        <v>100</v>
      </c>
    </row>
    <row r="995" spans="1:17" ht="29.25" customHeight="1" x14ac:dyDescent="0.2">
      <c r="A995" s="537"/>
      <c r="B995" s="545"/>
      <c r="C995" s="651" t="s">
        <v>114</v>
      </c>
      <c r="D995" s="63"/>
      <c r="E995" s="211" t="s">
        <v>2483</v>
      </c>
      <c r="F995" s="1568">
        <v>802.3</v>
      </c>
      <c r="G995" s="1568">
        <v>1194.7</v>
      </c>
      <c r="H995" s="1568">
        <v>1025.0999999999999</v>
      </c>
      <c r="I995" s="1568">
        <v>1044.7</v>
      </c>
      <c r="J995" s="1568">
        <v>1054.7</v>
      </c>
      <c r="K995" s="586" t="s">
        <v>2486</v>
      </c>
      <c r="L995" s="591" t="s">
        <v>16</v>
      </c>
      <c r="M995" s="140">
        <v>100</v>
      </c>
      <c r="N995" s="140">
        <v>100</v>
      </c>
      <c r="O995" s="140">
        <v>100</v>
      </c>
      <c r="P995" s="140">
        <v>100</v>
      </c>
      <c r="Q995" s="140">
        <v>100</v>
      </c>
    </row>
    <row r="996" spans="1:17" ht="29.25" customHeight="1" x14ac:dyDescent="0.2">
      <c r="A996" s="537"/>
      <c r="B996" s="545"/>
      <c r="C996" s="651" t="s">
        <v>116</v>
      </c>
      <c r="D996" s="63"/>
      <c r="E996" s="600" t="s">
        <v>2484</v>
      </c>
      <c r="F996" s="1340"/>
      <c r="G996" s="1340"/>
      <c r="H996" s="1340"/>
      <c r="I996" s="1340"/>
      <c r="J996" s="1340"/>
      <c r="K996" s="586" t="s">
        <v>2487</v>
      </c>
      <c r="L996" s="591" t="s">
        <v>122</v>
      </c>
      <c r="M996" s="140"/>
      <c r="N996" s="140"/>
      <c r="O996" s="140"/>
      <c r="P996" s="140"/>
      <c r="Q996" s="140">
        <v>3</v>
      </c>
    </row>
    <row r="997" spans="1:17" ht="29.25" customHeight="1" x14ac:dyDescent="0.2">
      <c r="A997" s="537"/>
      <c r="B997" s="2026" t="s">
        <v>3104</v>
      </c>
      <c r="C997" s="2026"/>
      <c r="D997" s="2026"/>
      <c r="E997" s="2026"/>
      <c r="F997" s="1666">
        <f>F994</f>
        <v>802.3</v>
      </c>
      <c r="G997" s="1666">
        <f t="shared" ref="G997:J997" si="39">G994</f>
        <v>1194.7</v>
      </c>
      <c r="H997" s="1666">
        <f t="shared" si="39"/>
        <v>1025.0999999999999</v>
      </c>
      <c r="I997" s="1666">
        <f t="shared" si="39"/>
        <v>1044.7</v>
      </c>
      <c r="J997" s="1666">
        <f t="shared" si="39"/>
        <v>1054.7</v>
      </c>
      <c r="K997" s="546"/>
      <c r="L997" s="1899"/>
      <c r="M997" s="1899"/>
      <c r="N997" s="1899"/>
      <c r="O997" s="1899"/>
      <c r="P997" s="1899"/>
      <c r="Q997" s="1899"/>
    </row>
    <row r="998" spans="1:17" ht="29.25" customHeight="1" thickBot="1" x14ac:dyDescent="0.25">
      <c r="A998" s="537"/>
      <c r="B998" s="1897" t="s">
        <v>2364</v>
      </c>
      <c r="C998" s="1898"/>
      <c r="D998" s="1898"/>
      <c r="E998" s="1898"/>
      <c r="F998" s="1898"/>
      <c r="G998" s="1898"/>
      <c r="H998" s="1898"/>
      <c r="I998" s="1898"/>
      <c r="J998" s="1898"/>
      <c r="K998" s="1898"/>
      <c r="L998" s="1898"/>
      <c r="M998" s="1898"/>
      <c r="N998" s="1898"/>
      <c r="O998" s="1898"/>
      <c r="P998" s="1898"/>
      <c r="Q998" s="1898"/>
    </row>
    <row r="999" spans="1:17" ht="64.5" customHeight="1" x14ac:dyDescent="0.2">
      <c r="A999" s="537"/>
      <c r="B999" s="165">
        <v>1</v>
      </c>
      <c r="C999" s="166"/>
      <c r="D999" s="167"/>
      <c r="E999" s="909" t="s">
        <v>3056</v>
      </c>
      <c r="F999" s="1558">
        <f>F1000+F1001+F1005+F1002+F1003+F1004</f>
        <v>10280.6</v>
      </c>
      <c r="G999" s="1558">
        <f>G1000+G1001+G1005+G1002+G1003+G1004</f>
        <v>9463.7000000000007</v>
      </c>
      <c r="H999" s="1558">
        <f>H1000+H1001+H1005+H1002+H1003+H1004</f>
        <v>9463.7000000000007</v>
      </c>
      <c r="I999" s="1558">
        <f>I1000+I1001+I1005+I1002+I1003+I1004</f>
        <v>9603.2999999999993</v>
      </c>
      <c r="J999" s="1558">
        <f>J1000+J1001+J1005+J1002+J1003+J1004</f>
        <v>9710.6</v>
      </c>
      <c r="K999" s="168" t="s">
        <v>2473</v>
      </c>
      <c r="L999" s="169" t="s">
        <v>16</v>
      </c>
      <c r="M999" s="169">
        <v>100</v>
      </c>
      <c r="N999" s="169">
        <v>100</v>
      </c>
      <c r="O999" s="169">
        <v>100</v>
      </c>
      <c r="P999" s="169">
        <v>100</v>
      </c>
      <c r="Q999" s="169">
        <v>100</v>
      </c>
    </row>
    <row r="1000" spans="1:17" ht="29.25" customHeight="1" x14ac:dyDescent="0.2">
      <c r="A1000" s="537"/>
      <c r="B1000" s="548"/>
      <c r="C1000" s="549">
        <v>1</v>
      </c>
      <c r="D1000" s="166"/>
      <c r="E1000" s="550" t="s">
        <v>257</v>
      </c>
      <c r="F1000" s="1566">
        <v>4811.3</v>
      </c>
      <c r="G1000" s="1566">
        <v>4275.7</v>
      </c>
      <c r="H1000" s="1566">
        <v>4275.7</v>
      </c>
      <c r="I1000" s="1566">
        <v>4277.6000000000004</v>
      </c>
      <c r="J1000" s="1566">
        <v>4343.1000000000004</v>
      </c>
      <c r="K1000" s="290" t="s">
        <v>18</v>
      </c>
      <c r="L1000" s="175" t="s">
        <v>19</v>
      </c>
      <c r="M1000" s="174"/>
      <c r="N1000" s="174"/>
      <c r="O1000" s="174"/>
      <c r="P1000" s="174"/>
      <c r="Q1000" s="174"/>
    </row>
    <row r="1001" spans="1:17" ht="29.25" customHeight="1" x14ac:dyDescent="0.2">
      <c r="A1001" s="537"/>
      <c r="B1001" s="548"/>
      <c r="C1001" s="178">
        <v>2</v>
      </c>
      <c r="D1001" s="166"/>
      <c r="E1001" s="179" t="s">
        <v>2469</v>
      </c>
      <c r="F1001" s="1566">
        <v>2323.5</v>
      </c>
      <c r="G1001" s="1566">
        <v>2165.9</v>
      </c>
      <c r="H1001" s="1566">
        <v>2165.9</v>
      </c>
      <c r="I1001" s="1566">
        <v>2199.5</v>
      </c>
      <c r="J1001" s="1566">
        <v>2218.5</v>
      </c>
      <c r="K1001" s="290" t="s">
        <v>2474</v>
      </c>
      <c r="L1001" s="175" t="s">
        <v>16</v>
      </c>
      <c r="M1001" s="174">
        <v>100</v>
      </c>
      <c r="N1001" s="174">
        <v>100</v>
      </c>
      <c r="O1001" s="174">
        <v>100</v>
      </c>
      <c r="P1001" s="174">
        <v>100</v>
      </c>
      <c r="Q1001" s="174">
        <v>100</v>
      </c>
    </row>
    <row r="1002" spans="1:17" ht="29.25" customHeight="1" x14ac:dyDescent="0.2">
      <c r="A1002" s="537"/>
      <c r="B1002" s="548"/>
      <c r="C1002" s="178">
        <v>3</v>
      </c>
      <c r="D1002" s="166"/>
      <c r="E1002" s="179" t="s">
        <v>117</v>
      </c>
      <c r="F1002" s="1566"/>
      <c r="G1002" s="1566"/>
      <c r="H1002" s="1566"/>
      <c r="I1002" s="1566"/>
      <c r="J1002" s="1566"/>
      <c r="K1002" s="293" t="s">
        <v>2475</v>
      </c>
      <c r="L1002" s="175" t="s">
        <v>16</v>
      </c>
      <c r="M1002" s="174"/>
      <c r="N1002" s="174"/>
      <c r="O1002" s="174"/>
      <c r="P1002" s="174"/>
      <c r="Q1002" s="174"/>
    </row>
    <row r="1003" spans="1:17" ht="29.25" customHeight="1" x14ac:dyDescent="0.2">
      <c r="A1003" s="537"/>
      <c r="B1003" s="548"/>
      <c r="C1003" s="178">
        <v>4</v>
      </c>
      <c r="D1003" s="166"/>
      <c r="E1003" s="179" t="s">
        <v>461</v>
      </c>
      <c r="F1003" s="1566"/>
      <c r="G1003" s="1566"/>
      <c r="H1003" s="1566"/>
      <c r="I1003" s="1566"/>
      <c r="J1003" s="1566"/>
      <c r="K1003" s="290" t="s">
        <v>2476</v>
      </c>
      <c r="L1003" s="175" t="s">
        <v>262</v>
      </c>
      <c r="M1003" s="174"/>
      <c r="N1003" s="174"/>
      <c r="O1003" s="174"/>
      <c r="P1003" s="174"/>
      <c r="Q1003" s="174"/>
    </row>
    <row r="1004" spans="1:17" ht="29.25" customHeight="1" x14ac:dyDescent="0.2">
      <c r="A1004" s="537"/>
      <c r="B1004" s="548"/>
      <c r="C1004" s="178">
        <v>5</v>
      </c>
      <c r="D1004" s="166"/>
      <c r="E1004" s="179" t="s">
        <v>2470</v>
      </c>
      <c r="F1004" s="1566"/>
      <c r="G1004" s="1566"/>
      <c r="H1004" s="1566"/>
      <c r="I1004" s="1566"/>
      <c r="J1004" s="1566"/>
      <c r="K1004" s="290" t="s">
        <v>2477</v>
      </c>
      <c r="L1004" s="175" t="s">
        <v>122</v>
      </c>
      <c r="M1004" s="174"/>
      <c r="N1004" s="174"/>
      <c r="O1004" s="174"/>
      <c r="P1004" s="174"/>
      <c r="Q1004" s="174"/>
    </row>
    <row r="1005" spans="1:17" ht="29.25" customHeight="1" x14ac:dyDescent="0.2">
      <c r="A1005" s="537"/>
      <c r="B1005" s="548"/>
      <c r="C1005" s="180">
        <v>6</v>
      </c>
      <c r="D1005" s="166"/>
      <c r="E1005" s="910" t="s">
        <v>266</v>
      </c>
      <c r="F1005" s="1566">
        <v>3145.8</v>
      </c>
      <c r="G1005" s="1566">
        <v>3022.1</v>
      </c>
      <c r="H1005" s="1566">
        <v>3022.1</v>
      </c>
      <c r="I1005" s="1566">
        <v>3126.2</v>
      </c>
      <c r="J1005" s="1566">
        <v>3149</v>
      </c>
      <c r="K1005" s="290" t="s">
        <v>2478</v>
      </c>
      <c r="L1005" s="175" t="s">
        <v>16</v>
      </c>
      <c r="M1005" s="174"/>
      <c r="N1005" s="174"/>
      <c r="O1005" s="174"/>
      <c r="P1005" s="174"/>
      <c r="Q1005" s="174"/>
    </row>
    <row r="1006" spans="1:17" ht="29.25" customHeight="1" x14ac:dyDescent="0.2">
      <c r="A1006" s="537"/>
      <c r="B1006" s="548"/>
      <c r="C1006" s="180">
        <v>7</v>
      </c>
      <c r="D1006" s="166"/>
      <c r="E1006" s="910" t="s">
        <v>2146</v>
      </c>
      <c r="F1006" s="1566"/>
      <c r="G1006" s="1566"/>
      <c r="H1006" s="1566"/>
      <c r="I1006" s="1566"/>
      <c r="J1006" s="1566"/>
      <c r="K1006" s="290"/>
      <c r="L1006" s="175"/>
      <c r="M1006" s="174"/>
      <c r="N1006" s="174"/>
      <c r="O1006" s="174"/>
      <c r="P1006" s="174"/>
      <c r="Q1006" s="174"/>
    </row>
    <row r="1007" spans="1:17" ht="29.25" customHeight="1" x14ac:dyDescent="0.2">
      <c r="A1007" s="537"/>
      <c r="B1007" s="548"/>
      <c r="C1007" s="180">
        <v>8</v>
      </c>
      <c r="D1007" s="166"/>
      <c r="E1007" s="910" t="s">
        <v>469</v>
      </c>
      <c r="F1007" s="1566"/>
      <c r="G1007" s="1566"/>
      <c r="H1007" s="1566"/>
      <c r="I1007" s="1566"/>
      <c r="J1007" s="1566"/>
      <c r="K1007" s="290"/>
      <c r="L1007" s="175"/>
      <c r="M1007" s="174"/>
      <c r="N1007" s="174"/>
      <c r="O1007" s="174"/>
      <c r="P1007" s="174"/>
      <c r="Q1007" s="174"/>
    </row>
    <row r="1008" spans="1:17" ht="54.75" customHeight="1" x14ac:dyDescent="0.2">
      <c r="A1008" s="537"/>
      <c r="B1008" s="1383" t="s">
        <v>131</v>
      </c>
      <c r="C1008" s="553"/>
      <c r="D1008" s="553"/>
      <c r="E1008" s="911" t="s">
        <v>2537</v>
      </c>
      <c r="F1008" s="1566">
        <f t="shared" ref="F1008:G1008" si="40">SUM(F1009:F1011)</f>
        <v>11665.7</v>
      </c>
      <c r="G1008" s="1566">
        <f t="shared" si="40"/>
        <v>11687</v>
      </c>
      <c r="H1008" s="1566">
        <f>SUM(H1009:H1011)</f>
        <v>11687</v>
      </c>
      <c r="I1008" s="1566">
        <f>I1009+I1010+I1011</f>
        <v>10984</v>
      </c>
      <c r="J1008" s="1566">
        <f>J1009+J1010+J1011</f>
        <v>11073.1</v>
      </c>
      <c r="K1008" s="188" t="s">
        <v>2538</v>
      </c>
      <c r="L1008" s="175" t="s">
        <v>1178</v>
      </c>
      <c r="M1008" s="175">
        <v>49500</v>
      </c>
      <c r="N1008" s="1216">
        <v>50500</v>
      </c>
      <c r="O1008" s="1216">
        <v>51000</v>
      </c>
      <c r="P1008" s="1216">
        <v>51500</v>
      </c>
      <c r="Q1008" s="1216">
        <v>52000</v>
      </c>
    </row>
    <row r="1009" spans="1:17" ht="78.75" customHeight="1" x14ac:dyDescent="0.2">
      <c r="A1009" s="537"/>
      <c r="B1009" s="552"/>
      <c r="C1009" s="1384" t="s">
        <v>114</v>
      </c>
      <c r="D1009" s="553"/>
      <c r="E1009" s="1443" t="s">
        <v>2865</v>
      </c>
      <c r="F1009" s="1667">
        <v>4766.2</v>
      </c>
      <c r="G1009" s="1667">
        <v>4390.2</v>
      </c>
      <c r="H1009" s="1566">
        <v>4390.2</v>
      </c>
      <c r="I1009" s="1566">
        <v>4445.8999999999996</v>
      </c>
      <c r="J1009" s="1566">
        <v>4483.8999999999996</v>
      </c>
      <c r="K1009" s="188" t="s">
        <v>2479</v>
      </c>
      <c r="L1009" s="175" t="s">
        <v>2365</v>
      </c>
      <c r="M1009" s="188">
        <v>11</v>
      </c>
      <c r="N1009" s="555">
        <v>12</v>
      </c>
      <c r="O1009" s="555">
        <v>12</v>
      </c>
      <c r="P1009" s="555">
        <v>12</v>
      </c>
      <c r="Q1009" s="555">
        <v>12</v>
      </c>
    </row>
    <row r="1010" spans="1:17" ht="67.5" customHeight="1" x14ac:dyDescent="0.2">
      <c r="A1010" s="537"/>
      <c r="B1010" s="552"/>
      <c r="C1010" s="1384" t="s">
        <v>116</v>
      </c>
      <c r="D1010" s="553"/>
      <c r="E1010" s="910" t="s">
        <v>2471</v>
      </c>
      <c r="F1010" s="1667">
        <v>2702.3</v>
      </c>
      <c r="G1010" s="1667">
        <v>3401.5</v>
      </c>
      <c r="H1010" s="1566">
        <f>2451.5+950</f>
        <v>3401.5</v>
      </c>
      <c r="I1010" s="1566">
        <v>2551.4</v>
      </c>
      <c r="J1010" s="1566">
        <v>2572.1</v>
      </c>
      <c r="K1010" s="188" t="s">
        <v>2480</v>
      </c>
      <c r="L1010" s="175" t="s">
        <v>1178</v>
      </c>
      <c r="M1010" s="188">
        <v>5000</v>
      </c>
      <c r="N1010" s="527">
        <v>5100</v>
      </c>
      <c r="O1010" s="527">
        <v>5200</v>
      </c>
      <c r="P1010" s="527">
        <v>5300</v>
      </c>
      <c r="Q1010" s="527">
        <v>5400</v>
      </c>
    </row>
    <row r="1011" spans="1:17" ht="29.25" customHeight="1" x14ac:dyDescent="0.2">
      <c r="A1011" s="1385"/>
      <c r="B1011" s="1386"/>
      <c r="C1011" s="1387" t="s">
        <v>119</v>
      </c>
      <c r="D1011" s="1259"/>
      <c r="E1011" s="910" t="s">
        <v>2472</v>
      </c>
      <c r="F1011" s="1566">
        <v>4197.2</v>
      </c>
      <c r="G1011" s="1566">
        <v>3895.3</v>
      </c>
      <c r="H1011" s="1566">
        <v>3895.3</v>
      </c>
      <c r="I1011" s="1566">
        <v>3986.7</v>
      </c>
      <c r="J1011" s="1566">
        <v>4017.1</v>
      </c>
      <c r="K1011" s="188" t="s">
        <v>2481</v>
      </c>
      <c r="L1011" s="175" t="s">
        <v>2835</v>
      </c>
      <c r="M1011" s="188">
        <v>924000</v>
      </c>
      <c r="N1011" s="555">
        <v>1056000</v>
      </c>
      <c r="O1011" s="555">
        <v>1100000</v>
      </c>
      <c r="P1011" s="555">
        <v>1188000</v>
      </c>
      <c r="Q1011" s="555">
        <v>1320000</v>
      </c>
    </row>
    <row r="1012" spans="1:17" ht="29.25" customHeight="1" x14ac:dyDescent="0.2">
      <c r="A1012" s="1385"/>
      <c r="B1012" s="1386"/>
      <c r="C1012" s="1259"/>
      <c r="D1012" s="1259"/>
      <c r="E1012" s="301" t="s">
        <v>2366</v>
      </c>
      <c r="F1012" s="1566"/>
      <c r="G1012" s="1566"/>
      <c r="H1012" s="1566">
        <f>SUM(H1013:H1015)</f>
        <v>0</v>
      </c>
      <c r="I1012" s="1566">
        <f>H1012</f>
        <v>0</v>
      </c>
      <c r="J1012" s="1566">
        <f>I1012</f>
        <v>0</v>
      </c>
      <c r="K1012" s="188" t="s">
        <v>2367</v>
      </c>
      <c r="L1012" s="188"/>
      <c r="M1012" s="188"/>
      <c r="N1012" s="556"/>
      <c r="O1012" s="556"/>
      <c r="P1012" s="556"/>
      <c r="Q1012" s="556"/>
    </row>
    <row r="1013" spans="1:17" ht="29.25" customHeight="1" x14ac:dyDescent="0.2">
      <c r="A1013" s="1385"/>
      <c r="B1013" s="1386"/>
      <c r="C1013" s="1259"/>
      <c r="D1013" s="1259"/>
      <c r="E1013" s="188" t="s">
        <v>1390</v>
      </c>
      <c r="F1013" s="1566"/>
      <c r="G1013" s="1566"/>
      <c r="H1013" s="1559"/>
      <c r="I1013" s="1559"/>
      <c r="J1013" s="1559"/>
      <c r="K1013" s="188" t="s">
        <v>2368</v>
      </c>
      <c r="L1013" s="188"/>
      <c r="M1013" s="188"/>
      <c r="N1013" s="527"/>
      <c r="O1013" s="527"/>
      <c r="P1013" s="527"/>
      <c r="Q1013" s="527"/>
    </row>
    <row r="1014" spans="1:17" ht="29.25" customHeight="1" x14ac:dyDescent="0.2">
      <c r="A1014" s="1385"/>
      <c r="B1014" s="1386"/>
      <c r="C1014" s="1259"/>
      <c r="D1014" s="1259"/>
      <c r="E1014" s="188" t="s">
        <v>1361</v>
      </c>
      <c r="F1014" s="1566"/>
      <c r="G1014" s="1566"/>
      <c r="H1014" s="1559"/>
      <c r="I1014" s="1559"/>
      <c r="J1014" s="1559"/>
      <c r="K1014" s="188"/>
      <c r="L1014" s="188"/>
      <c r="M1014" s="188"/>
      <c r="N1014" s="527"/>
      <c r="O1014" s="527"/>
      <c r="P1014" s="527"/>
      <c r="Q1014" s="527"/>
    </row>
    <row r="1015" spans="1:17" ht="29.25" customHeight="1" x14ac:dyDescent="0.2">
      <c r="A1015" s="1385"/>
      <c r="B1015" s="1386"/>
      <c r="C1015" s="1259"/>
      <c r="D1015" s="1259"/>
      <c r="E1015" s="188" t="s">
        <v>1361</v>
      </c>
      <c r="F1015" s="1566"/>
      <c r="G1015" s="1566"/>
      <c r="H1015" s="1559"/>
      <c r="I1015" s="1559"/>
      <c r="J1015" s="1559"/>
      <c r="K1015" s="188"/>
      <c r="L1015" s="188"/>
      <c r="M1015" s="188"/>
      <c r="N1015" s="527"/>
      <c r="O1015" s="527"/>
      <c r="P1015" s="527"/>
      <c r="Q1015" s="527"/>
    </row>
    <row r="1016" spans="1:17" ht="29.25" customHeight="1" x14ac:dyDescent="0.2">
      <c r="A1016" s="1385"/>
      <c r="B1016" s="2081" t="s">
        <v>3104</v>
      </c>
      <c r="C1016" s="2082"/>
      <c r="D1016" s="2082"/>
      <c r="E1016" s="2082"/>
      <c r="F1016" s="1666">
        <v>21946.300000000003</v>
      </c>
      <c r="G1016" s="1666">
        <v>21150.7</v>
      </c>
      <c r="H1016" s="1666">
        <v>21150.7</v>
      </c>
      <c r="I1016" s="1666">
        <v>20587.3</v>
      </c>
      <c r="J1016" s="1666">
        <v>20783.7</v>
      </c>
      <c r="K1016" s="546"/>
      <c r="L1016" s="1899"/>
      <c r="M1016" s="1899"/>
      <c r="N1016" s="1899"/>
      <c r="O1016" s="1899"/>
      <c r="P1016" s="1899"/>
      <c r="Q1016" s="1899"/>
    </row>
    <row r="1017" spans="1:17" ht="29.25" customHeight="1" x14ac:dyDescent="0.2">
      <c r="A1017" s="1385"/>
      <c r="B1017" s="2081" t="s">
        <v>3104</v>
      </c>
      <c r="C1017" s="2082"/>
      <c r="D1017" s="2082"/>
      <c r="E1017" s="2082"/>
      <c r="F1017" s="1637">
        <f t="shared" ref="F1017:G1017" si="41">F981+F976+F968+F952+F943</f>
        <v>2213501.9</v>
      </c>
      <c r="G1017" s="1637">
        <f t="shared" si="41"/>
        <v>2246241.1</v>
      </c>
      <c r="H1017" s="1637">
        <f>H1016+H997+H992+H985</f>
        <v>2097779.1</v>
      </c>
      <c r="I1017" s="1637">
        <f>I981+I976+I968+I952+I943</f>
        <v>2101057.7000000002</v>
      </c>
      <c r="J1017" s="1637">
        <f>J981+J976+J968+J952+J943</f>
        <v>2123256.9</v>
      </c>
      <c r="K1017" s="1379"/>
      <c r="L1017" s="1900"/>
      <c r="M1017" s="1900"/>
      <c r="N1017" s="1900"/>
      <c r="O1017" s="1900"/>
      <c r="P1017" s="1900"/>
      <c r="Q1017" s="1900"/>
    </row>
    <row r="1018" spans="1:17" ht="29.25" customHeight="1" x14ac:dyDescent="0.2">
      <c r="A1018" s="1881" t="s">
        <v>2393</v>
      </c>
      <c r="B1018" s="1881"/>
      <c r="C1018" s="1881"/>
      <c r="D1018" s="1881"/>
      <c r="E1018" s="1881"/>
      <c r="F1018" s="1881"/>
      <c r="G1018" s="1881"/>
      <c r="H1018" s="1881"/>
      <c r="I1018" s="1881"/>
      <c r="J1018" s="1881"/>
      <c r="K1018" s="1881"/>
      <c r="L1018" s="1389"/>
      <c r="M1018" s="1389"/>
      <c r="N1018" s="1389"/>
      <c r="O1018" s="1389"/>
      <c r="P1018" s="1389"/>
      <c r="Q1018" s="1390"/>
    </row>
    <row r="1019" spans="1:17" ht="58.5" customHeight="1" x14ac:dyDescent="0.2">
      <c r="B1019" s="1391">
        <v>1</v>
      </c>
      <c r="C1019" s="201"/>
      <c r="D1019" s="201"/>
      <c r="E1019" s="912" t="s">
        <v>2369</v>
      </c>
      <c r="F1019" s="1571">
        <f>F1020+F1021</f>
        <v>1200879.3</v>
      </c>
      <c r="G1019" s="1571">
        <f t="shared" ref="G1019:J1019" si="42">G1020+G1021</f>
        <v>1232864.1000000001</v>
      </c>
      <c r="H1019" s="1571">
        <f t="shared" si="42"/>
        <v>1238273.8999999997</v>
      </c>
      <c r="I1019" s="1571">
        <f t="shared" si="42"/>
        <v>1256869.9593000002</v>
      </c>
      <c r="J1019" s="1571">
        <f t="shared" si="42"/>
        <v>1268810.2239133501</v>
      </c>
      <c r="K1019" s="826"/>
      <c r="L1019" s="195"/>
      <c r="M1019" s="195"/>
      <c r="N1019" s="466"/>
      <c r="O1019" s="466"/>
      <c r="P1019" s="466"/>
      <c r="Q1019" s="466"/>
    </row>
    <row r="1020" spans="1:17" ht="29.25" customHeight="1" x14ac:dyDescent="0.2">
      <c r="B1020" s="463"/>
      <c r="C1020" s="465">
        <v>178</v>
      </c>
      <c r="D1020" s="201"/>
      <c r="E1020" s="433" t="s">
        <v>2866</v>
      </c>
      <c r="F1020" s="1568">
        <v>48584.100000000006</v>
      </c>
      <c r="G1020" s="1568">
        <v>50850</v>
      </c>
      <c r="H1020" s="1568">
        <f>52150+240.8+35.6</f>
        <v>52426.400000000001</v>
      </c>
      <c r="I1020" s="1568">
        <v>53140.85</v>
      </c>
      <c r="J1020" s="1568">
        <v>53645.688074999998</v>
      </c>
      <c r="K1020" s="432" t="s">
        <v>2382</v>
      </c>
      <c r="L1020" s="195" t="s">
        <v>235</v>
      </c>
      <c r="M1020" s="195">
        <v>45.7</v>
      </c>
      <c r="N1020" s="201">
        <v>90</v>
      </c>
      <c r="O1020" s="201">
        <v>100</v>
      </c>
      <c r="P1020" s="201">
        <v>100</v>
      </c>
      <c r="Q1020" s="201">
        <v>100</v>
      </c>
    </row>
    <row r="1021" spans="1:17" ht="29.25" customHeight="1" x14ac:dyDescent="0.2">
      <c r="A1021" s="537"/>
      <c r="B1021" s="463"/>
      <c r="C1021" s="465">
        <v>179</v>
      </c>
      <c r="D1021" s="201"/>
      <c r="E1021" s="433" t="s">
        <v>2370</v>
      </c>
      <c r="F1021" s="1568">
        <v>1152295.2</v>
      </c>
      <c r="G1021" s="1568">
        <v>1182014.1000000001</v>
      </c>
      <c r="H1021" s="1568">
        <f>1181284.7+3973.4+589.4</f>
        <v>1185847.4999999998</v>
      </c>
      <c r="I1021" s="1568">
        <v>1203729.1093000001</v>
      </c>
      <c r="J1021" s="1568">
        <v>1215164.5358383502</v>
      </c>
      <c r="K1021" s="432" t="s">
        <v>2382</v>
      </c>
      <c r="L1021" s="195" t="s">
        <v>235</v>
      </c>
      <c r="M1021" s="195">
        <v>45.7</v>
      </c>
      <c r="N1021" s="201">
        <v>90</v>
      </c>
      <c r="O1021" s="201">
        <v>100</v>
      </c>
      <c r="P1021" s="201">
        <v>100</v>
      </c>
      <c r="Q1021" s="201">
        <v>100</v>
      </c>
    </row>
    <row r="1022" spans="1:17" ht="51" x14ac:dyDescent="0.2">
      <c r="A1022" s="537"/>
      <c r="B1022" s="1391">
        <v>2</v>
      </c>
      <c r="C1022" s="465"/>
      <c r="D1022" s="201"/>
      <c r="E1022" s="1392" t="s">
        <v>2867</v>
      </c>
      <c r="F1022" s="1569">
        <f>F1023+F1024+F1025+F1026+F1027+F1028+F1029+F1030+F1033+F1034+F1035+F1036</f>
        <v>850703.47</v>
      </c>
      <c r="G1022" s="1569">
        <f t="shared" ref="G1022:J1022" si="43">G1023+G1024+G1025+G1026+G1027+G1028+G1029+G1030+G1033+G1034+G1035+G1036</f>
        <v>1104830.9999999998</v>
      </c>
      <c r="H1022" s="1569">
        <f>H1023+H1024+H1025+H1026+H1027+H1028+H1029+H1030+H1033+H1034+H1035+H1036</f>
        <v>2035421.2000000002</v>
      </c>
      <c r="I1022" s="1569">
        <f t="shared" si="43"/>
        <v>1646765.0787000002</v>
      </c>
      <c r="J1022" s="1569">
        <f t="shared" si="43"/>
        <v>2261896.8183476492</v>
      </c>
      <c r="K1022" s="432"/>
      <c r="L1022" s="195"/>
      <c r="M1022" s="195"/>
      <c r="N1022" s="466"/>
      <c r="O1022" s="466"/>
      <c r="P1022" s="466"/>
      <c r="Q1022" s="466"/>
    </row>
    <row r="1023" spans="1:17" ht="29.25" customHeight="1" x14ac:dyDescent="0.2">
      <c r="A1023" s="537"/>
      <c r="B1023" s="463"/>
      <c r="C1023" s="465">
        <v>1</v>
      </c>
      <c r="D1023" s="201"/>
      <c r="E1023" s="558" t="s">
        <v>2371</v>
      </c>
      <c r="F1023" s="1568">
        <v>25691.4</v>
      </c>
      <c r="G1023" s="1568">
        <v>72267</v>
      </c>
      <c r="H1023" s="1568">
        <v>76745.2</v>
      </c>
      <c r="I1023" s="1568">
        <v>78203.358800000002</v>
      </c>
      <c r="J1023" s="1568">
        <v>78946.290708600005</v>
      </c>
      <c r="K1023" s="432" t="s">
        <v>2382</v>
      </c>
      <c r="L1023" s="195" t="s">
        <v>235</v>
      </c>
      <c r="M1023" s="1393">
        <v>45.689464773143378</v>
      </c>
      <c r="N1023" s="201">
        <v>90</v>
      </c>
      <c r="O1023" s="201">
        <v>100</v>
      </c>
      <c r="P1023" s="201">
        <v>100</v>
      </c>
      <c r="Q1023" s="201">
        <v>100</v>
      </c>
    </row>
    <row r="1024" spans="1:17" ht="38.25" x14ac:dyDescent="0.2">
      <c r="A1024" s="537"/>
      <c r="B1024" s="463"/>
      <c r="C1024" s="465">
        <v>2</v>
      </c>
      <c r="D1024" s="201"/>
      <c r="E1024" s="558" t="s">
        <v>2372</v>
      </c>
      <c r="F1024" s="1568">
        <v>3260.3700000000008</v>
      </c>
      <c r="G1024" s="1568">
        <v>3280.4</v>
      </c>
      <c r="H1024" s="1568">
        <v>3291.2</v>
      </c>
      <c r="I1024" s="1568">
        <v>3353.7328000000002</v>
      </c>
      <c r="J1024" s="1568">
        <v>3385.5932616000005</v>
      </c>
      <c r="K1024" s="432" t="s">
        <v>2383</v>
      </c>
      <c r="L1024" s="195" t="s">
        <v>265</v>
      </c>
      <c r="M1024" s="195" t="s">
        <v>1273</v>
      </c>
      <c r="N1024" s="195" t="s">
        <v>1267</v>
      </c>
      <c r="O1024" s="195" t="s">
        <v>1267</v>
      </c>
      <c r="P1024" s="195" t="s">
        <v>1267</v>
      </c>
      <c r="Q1024" s="195" t="s">
        <v>1267</v>
      </c>
    </row>
    <row r="1025" spans="1:17" ht="29.25" customHeight="1" x14ac:dyDescent="0.2">
      <c r="A1025" s="537"/>
      <c r="B1025" s="2090"/>
      <c r="C1025" s="2098">
        <v>3</v>
      </c>
      <c r="D1025" s="1877"/>
      <c r="E1025" s="2029" t="s">
        <v>2373</v>
      </c>
      <c r="F1025" s="1568">
        <v>18646.3</v>
      </c>
      <c r="G1025" s="1568">
        <v>19673.7</v>
      </c>
      <c r="H1025" s="1568">
        <v>19673.7</v>
      </c>
      <c r="I1025" s="1568">
        <v>20047.500300000003</v>
      </c>
      <c r="J1025" s="1568">
        <v>20237.951552850005</v>
      </c>
      <c r="K1025" s="1879" t="s">
        <v>2384</v>
      </c>
      <c r="L1025" s="1901" t="s">
        <v>2868</v>
      </c>
      <c r="M1025" s="1901">
        <v>5</v>
      </c>
      <c r="N1025" s="1901">
        <v>7</v>
      </c>
      <c r="O1025" s="1901">
        <v>10</v>
      </c>
      <c r="P1025" s="1901">
        <v>10</v>
      </c>
      <c r="Q1025" s="1901">
        <v>10</v>
      </c>
    </row>
    <row r="1026" spans="1:17" ht="29.25" customHeight="1" x14ac:dyDescent="0.2">
      <c r="A1026" s="537"/>
      <c r="B1026" s="2092"/>
      <c r="C1026" s="2099"/>
      <c r="D1026" s="1878"/>
      <c r="E1026" s="2030"/>
      <c r="F1026" s="1652">
        <v>1053.7</v>
      </c>
      <c r="G1026" s="1652">
        <v>1515</v>
      </c>
      <c r="H1026" s="1652">
        <v>1515</v>
      </c>
      <c r="I1026" s="1652">
        <v>1543.7850000000001</v>
      </c>
      <c r="J1026" s="1652">
        <v>1558.4509575000002</v>
      </c>
      <c r="K1026" s="1880"/>
      <c r="L1026" s="1902"/>
      <c r="M1026" s="1902"/>
      <c r="N1026" s="1902"/>
      <c r="O1026" s="1902"/>
      <c r="P1026" s="1902"/>
      <c r="Q1026" s="1902"/>
    </row>
    <row r="1027" spans="1:17" ht="29.25" customHeight="1" x14ac:dyDescent="0.2">
      <c r="A1027" s="537"/>
      <c r="B1027" s="463"/>
      <c r="C1027" s="465">
        <v>4</v>
      </c>
      <c r="D1027" s="201"/>
      <c r="E1027" s="558" t="s">
        <v>2374</v>
      </c>
      <c r="F1027" s="1653">
        <v>182143.9</v>
      </c>
      <c r="G1027" s="1653">
        <v>410310</v>
      </c>
      <c r="H1027" s="1653">
        <v>1343255</v>
      </c>
      <c r="I1027" s="1652">
        <v>941178.5</v>
      </c>
      <c r="J1027" s="1652">
        <v>1549529.4</v>
      </c>
      <c r="K1027" s="432" t="s">
        <v>2385</v>
      </c>
      <c r="L1027" s="195" t="s">
        <v>2848</v>
      </c>
      <c r="M1027" s="467">
        <v>182143.9</v>
      </c>
      <c r="N1027" s="1394">
        <v>90939.9</v>
      </c>
      <c r="O1027" s="1394">
        <v>555255.9</v>
      </c>
      <c r="P1027" s="1394">
        <v>323456</v>
      </c>
      <c r="Q1027" s="1394">
        <v>323457</v>
      </c>
    </row>
    <row r="1028" spans="1:17" ht="38.25" x14ac:dyDescent="0.2">
      <c r="A1028" s="537"/>
      <c r="B1028" s="463"/>
      <c r="C1028" s="236" t="s">
        <v>128</v>
      </c>
      <c r="D1028" s="236"/>
      <c r="E1028" s="558" t="s">
        <v>2375</v>
      </c>
      <c r="F1028" s="1652">
        <v>270606.09999999998</v>
      </c>
      <c r="G1028" s="1652">
        <v>326565.5</v>
      </c>
      <c r="H1028" s="1652">
        <v>344133.6</v>
      </c>
      <c r="I1028" s="1652">
        <v>350672.13839999994</v>
      </c>
      <c r="J1028" s="1652">
        <v>354003.52371479996</v>
      </c>
      <c r="K1028" s="432" t="s">
        <v>2386</v>
      </c>
      <c r="L1028" s="195" t="s">
        <v>265</v>
      </c>
      <c r="M1028" s="195" t="s">
        <v>1274</v>
      </c>
      <c r="N1028" s="195" t="s">
        <v>1275</v>
      </c>
      <c r="O1028" s="195" t="s">
        <v>1276</v>
      </c>
      <c r="P1028" s="195" t="s">
        <v>1277</v>
      </c>
      <c r="Q1028" s="195" t="s">
        <v>2869</v>
      </c>
    </row>
    <row r="1029" spans="1:17" ht="38.25" x14ac:dyDescent="0.2">
      <c r="A1029" s="537"/>
      <c r="B1029" s="463"/>
      <c r="C1029" s="236" t="s">
        <v>202</v>
      </c>
      <c r="D1029" s="236"/>
      <c r="E1029" s="558" t="s">
        <v>2376</v>
      </c>
      <c r="F1029" s="1652">
        <v>22980.6</v>
      </c>
      <c r="G1029" s="1652">
        <v>24081.9</v>
      </c>
      <c r="H1029" s="1652">
        <v>22243.4</v>
      </c>
      <c r="I1029" s="1652">
        <v>22666.024600000004</v>
      </c>
      <c r="J1029" s="1652">
        <v>22881.351833700006</v>
      </c>
      <c r="K1029" s="432" t="s">
        <v>2387</v>
      </c>
      <c r="L1029" s="456" t="s">
        <v>265</v>
      </c>
      <c r="M1029" s="456" t="s">
        <v>1278</v>
      </c>
      <c r="N1029" s="201" t="s">
        <v>1279</v>
      </c>
      <c r="O1029" s="201" t="s">
        <v>1280</v>
      </c>
      <c r="P1029" s="236" t="s">
        <v>1281</v>
      </c>
      <c r="Q1029" s="236" t="s">
        <v>2870</v>
      </c>
    </row>
    <row r="1030" spans="1:17" ht="38.25" x14ac:dyDescent="0.2">
      <c r="A1030" s="537"/>
      <c r="B1030" s="2090"/>
      <c r="C1030" s="2093" t="s">
        <v>149</v>
      </c>
      <c r="D1030" s="2093"/>
      <c r="E1030" s="558" t="s">
        <v>2377</v>
      </c>
      <c r="F1030" s="1868">
        <v>306248.40000000002</v>
      </c>
      <c r="G1030" s="1868">
        <v>226815.2</v>
      </c>
      <c r="H1030" s="1868">
        <v>203798.9</v>
      </c>
      <c r="I1030" s="1868">
        <v>207940.30000000002</v>
      </c>
      <c r="J1030" s="1868">
        <v>209993.5</v>
      </c>
      <c r="K1030" s="432" t="s">
        <v>2388</v>
      </c>
      <c r="L1030" s="456" t="s">
        <v>265</v>
      </c>
      <c r="M1030" s="456" t="s">
        <v>112</v>
      </c>
      <c r="N1030" s="456" t="s">
        <v>1282</v>
      </c>
      <c r="O1030" s="456" t="s">
        <v>1282</v>
      </c>
      <c r="P1030" s="456" t="s">
        <v>1282</v>
      </c>
      <c r="Q1030" s="456" t="s">
        <v>112</v>
      </c>
    </row>
    <row r="1031" spans="1:17" ht="29.25" customHeight="1" x14ac:dyDescent="0.2">
      <c r="A1031" s="537"/>
      <c r="B1031" s="2091"/>
      <c r="C1031" s="2094"/>
      <c r="D1031" s="2094"/>
      <c r="E1031" s="558" t="s">
        <v>2378</v>
      </c>
      <c r="F1031" s="1869"/>
      <c r="G1031" s="1869"/>
      <c r="H1031" s="1869"/>
      <c r="I1031" s="1869"/>
      <c r="J1031" s="1869"/>
      <c r="K1031" s="432" t="s">
        <v>2389</v>
      </c>
      <c r="L1031" s="456" t="s">
        <v>265</v>
      </c>
      <c r="M1031" s="456" t="s">
        <v>1283</v>
      </c>
      <c r="N1031" s="201">
        <v>60000</v>
      </c>
      <c r="O1031" s="201">
        <v>60000</v>
      </c>
      <c r="P1031" s="201">
        <v>60000</v>
      </c>
      <c r="Q1031" s="201">
        <v>60000</v>
      </c>
    </row>
    <row r="1032" spans="1:17" ht="29.25" customHeight="1" x14ac:dyDescent="0.2">
      <c r="A1032" s="537"/>
      <c r="B1032" s="2091"/>
      <c r="C1032" s="2094"/>
      <c r="D1032" s="2094"/>
      <c r="E1032" s="2029" t="s">
        <v>2379</v>
      </c>
      <c r="F1032" s="1870"/>
      <c r="G1032" s="1870"/>
      <c r="H1032" s="1870"/>
      <c r="I1032" s="1870"/>
      <c r="J1032" s="1870"/>
      <c r="K1032" s="432" t="s">
        <v>2390</v>
      </c>
      <c r="L1032" s="2096" t="s">
        <v>265</v>
      </c>
      <c r="M1032" s="2096" t="s">
        <v>1284</v>
      </c>
      <c r="N1032" s="1877">
        <v>1160</v>
      </c>
      <c r="O1032" s="1877">
        <v>1150</v>
      </c>
      <c r="P1032" s="1877">
        <v>1170</v>
      </c>
      <c r="Q1032" s="1877">
        <v>1200</v>
      </c>
    </row>
    <row r="1033" spans="1:17" ht="69" customHeight="1" x14ac:dyDescent="0.2">
      <c r="A1033" s="537"/>
      <c r="B1033" s="2092"/>
      <c r="C1033" s="2095"/>
      <c r="D1033" s="2095"/>
      <c r="E1033" s="2030"/>
      <c r="F1033" s="1568">
        <v>1207.2</v>
      </c>
      <c r="G1033" s="1568">
        <v>5334.2</v>
      </c>
      <c r="H1033" s="1568">
        <v>4050</v>
      </c>
      <c r="I1033" s="1568">
        <v>4126.95</v>
      </c>
      <c r="J1033" s="1568">
        <v>4166.1560250000002</v>
      </c>
      <c r="K1033" s="432" t="s">
        <v>2391</v>
      </c>
      <c r="L1033" s="2097"/>
      <c r="M1033" s="2097"/>
      <c r="N1033" s="1878"/>
      <c r="O1033" s="1878"/>
      <c r="P1033" s="1878"/>
      <c r="Q1033" s="1878"/>
    </row>
    <row r="1034" spans="1:17" ht="38.25" x14ac:dyDescent="0.2">
      <c r="A1034" s="537"/>
      <c r="B1034" s="463"/>
      <c r="C1034" s="236" t="s">
        <v>152</v>
      </c>
      <c r="D1034" s="468"/>
      <c r="E1034" s="558" t="s">
        <v>2380</v>
      </c>
      <c r="F1034" s="1568">
        <v>12200.000000000007</v>
      </c>
      <c r="G1034" s="1568">
        <v>8147.9000000000033</v>
      </c>
      <c r="H1034" s="1568">
        <v>9739.6</v>
      </c>
      <c r="I1034" s="1568">
        <v>9924.6524000000009</v>
      </c>
      <c r="J1034" s="1568">
        <v>10018.936597800001</v>
      </c>
      <c r="K1034" s="51"/>
      <c r="L1034" s="456" t="s">
        <v>265</v>
      </c>
      <c r="M1034" s="456" t="s">
        <v>1285</v>
      </c>
      <c r="N1034" s="201">
        <v>60</v>
      </c>
      <c r="O1034" s="201">
        <v>100</v>
      </c>
      <c r="P1034" s="201">
        <v>100</v>
      </c>
      <c r="Q1034" s="201">
        <v>100</v>
      </c>
    </row>
    <row r="1035" spans="1:17" ht="29.25" customHeight="1" x14ac:dyDescent="0.2">
      <c r="A1035" s="537"/>
      <c r="B1035" s="2090"/>
      <c r="C1035" s="2093" t="s">
        <v>279</v>
      </c>
      <c r="D1035" s="2093"/>
      <c r="E1035" s="2029" t="s">
        <v>2381</v>
      </c>
      <c r="F1035" s="1653">
        <v>5741.6</v>
      </c>
      <c r="G1035" s="1653">
        <v>4890.2</v>
      </c>
      <c r="H1035" s="1652">
        <v>5525.6</v>
      </c>
      <c r="I1035" s="1568">
        <v>5630.5864000000001</v>
      </c>
      <c r="J1035" s="1568">
        <v>5684.0769708000007</v>
      </c>
      <c r="K1035" s="1879" t="s">
        <v>2392</v>
      </c>
      <c r="L1035" s="2096" t="s">
        <v>265</v>
      </c>
      <c r="M1035" s="2096" t="s">
        <v>1286</v>
      </c>
      <c r="N1035" s="1877">
        <v>27000</v>
      </c>
      <c r="O1035" s="1877">
        <v>28000</v>
      </c>
      <c r="P1035" s="1877">
        <v>29000</v>
      </c>
      <c r="Q1035" s="1877">
        <v>30000</v>
      </c>
    </row>
    <row r="1036" spans="1:17" ht="29.25" customHeight="1" x14ac:dyDescent="0.2">
      <c r="A1036" s="537"/>
      <c r="B1036" s="2092"/>
      <c r="C1036" s="2095"/>
      <c r="D1036" s="2095"/>
      <c r="E1036" s="2030"/>
      <c r="F1036" s="1567">
        <v>923.90000000000009</v>
      </c>
      <c r="G1036" s="1567">
        <v>1950</v>
      </c>
      <c r="H1036" s="1652">
        <v>1450</v>
      </c>
      <c r="I1036" s="1568">
        <v>1477.55</v>
      </c>
      <c r="J1036" s="1568">
        <v>1491.5867249999999</v>
      </c>
      <c r="K1036" s="1880"/>
      <c r="L1036" s="2097"/>
      <c r="M1036" s="2097"/>
      <c r="N1036" s="1878"/>
      <c r="O1036" s="1878"/>
      <c r="P1036" s="1878"/>
      <c r="Q1036" s="1878"/>
    </row>
    <row r="1037" spans="1:17" ht="29.25" customHeight="1" thickBot="1" x14ac:dyDescent="0.25">
      <c r="A1037" s="2086" t="s">
        <v>3104</v>
      </c>
      <c r="B1037" s="2087"/>
      <c r="C1037" s="2087"/>
      <c r="D1037" s="2087"/>
      <c r="E1037" s="2088"/>
      <c r="F1037" s="1668">
        <f>F1019+F1022</f>
        <v>2051582.77</v>
      </c>
      <c r="G1037" s="1668">
        <f>G1019+G1022</f>
        <v>2337695.0999999996</v>
      </c>
      <c r="H1037" s="1668">
        <f>H1019+H1022</f>
        <v>3273695.0999999996</v>
      </c>
      <c r="I1037" s="1668">
        <f>I1019+I1022</f>
        <v>2903635.0380000006</v>
      </c>
      <c r="J1037" s="1668">
        <f>J1019+J1022</f>
        <v>3530707.0422609993</v>
      </c>
      <c r="K1037" s="1395"/>
      <c r="L1037" s="682"/>
      <c r="M1037" s="682"/>
      <c r="N1037" s="682"/>
      <c r="O1037" s="682"/>
      <c r="P1037" s="682"/>
      <c r="Q1037" s="1191"/>
    </row>
    <row r="1038" spans="1:17" ht="29.25" customHeight="1" x14ac:dyDescent="0.2">
      <c r="A1038" s="1881" t="s">
        <v>2409</v>
      </c>
      <c r="B1038" s="1881"/>
      <c r="C1038" s="1881"/>
      <c r="D1038" s="1881"/>
      <c r="E1038" s="1881"/>
      <c r="F1038" s="1881"/>
      <c r="G1038" s="1881"/>
      <c r="H1038" s="1881"/>
      <c r="I1038" s="1881"/>
      <c r="J1038" s="1881"/>
      <c r="K1038" s="1881"/>
      <c r="L1038" s="667"/>
      <c r="M1038" s="667"/>
      <c r="N1038" s="667"/>
      <c r="O1038" s="667"/>
      <c r="P1038" s="667"/>
      <c r="Q1038" s="1396"/>
    </row>
    <row r="1039" spans="1:17" ht="72" customHeight="1" x14ac:dyDescent="0.2">
      <c r="A1039" s="469"/>
      <c r="B1039" s="1397">
        <v>1</v>
      </c>
      <c r="C1039" s="541"/>
      <c r="D1039" s="541"/>
      <c r="E1039" s="1444" t="s">
        <v>2539</v>
      </c>
      <c r="F1039" s="1669">
        <v>3170.9</v>
      </c>
      <c r="G1039" s="1669">
        <v>3170.9</v>
      </c>
      <c r="H1039" s="1669">
        <v>3062.1</v>
      </c>
      <c r="I1039" s="1669">
        <v>3125.2</v>
      </c>
      <c r="J1039" s="1669">
        <v>3155</v>
      </c>
      <c r="K1039" s="1445" t="s">
        <v>1480</v>
      </c>
      <c r="L1039" s="628" t="s">
        <v>16</v>
      </c>
      <c r="M1039" s="671">
        <v>21.671667719519899</v>
      </c>
      <c r="N1039" s="671">
        <v>21.671667719519899</v>
      </c>
      <c r="O1039" s="671">
        <v>21.4</v>
      </c>
      <c r="P1039" s="671">
        <v>21.4</v>
      </c>
      <c r="Q1039" s="658">
        <v>21.4</v>
      </c>
    </row>
    <row r="1040" spans="1:17" ht="29.25" customHeight="1" x14ac:dyDescent="0.2">
      <c r="A1040" s="469"/>
      <c r="B1040" s="1398"/>
      <c r="C1040" s="687">
        <v>1</v>
      </c>
      <c r="D1040" s="470"/>
      <c r="E1040" s="559" t="s">
        <v>2394</v>
      </c>
      <c r="F1040" s="1547">
        <v>487.8</v>
      </c>
      <c r="G1040" s="1547">
        <v>487.8</v>
      </c>
      <c r="H1040" s="1547">
        <v>471.1</v>
      </c>
      <c r="I1040" s="1547">
        <v>480.8</v>
      </c>
      <c r="J1040" s="1547">
        <v>485.4</v>
      </c>
      <c r="K1040" s="432" t="s">
        <v>2138</v>
      </c>
      <c r="L1040" s="22" t="s">
        <v>19</v>
      </c>
      <c r="M1040" s="95">
        <v>1</v>
      </c>
      <c r="N1040" s="95">
        <v>1</v>
      </c>
      <c r="O1040" s="95">
        <v>1</v>
      </c>
      <c r="P1040" s="95">
        <v>1</v>
      </c>
      <c r="Q1040" s="22">
        <v>1</v>
      </c>
    </row>
    <row r="1041" spans="1:17" ht="29.25" customHeight="1" x14ac:dyDescent="0.2">
      <c r="A1041" s="469"/>
      <c r="B1041" s="1398"/>
      <c r="C1041" s="1399">
        <v>2</v>
      </c>
      <c r="D1041" s="470"/>
      <c r="E1041" s="558" t="s">
        <v>2000</v>
      </c>
      <c r="F1041" s="1547">
        <v>975.7</v>
      </c>
      <c r="G1041" s="1547">
        <v>975.7</v>
      </c>
      <c r="H1041" s="1547">
        <v>942.4</v>
      </c>
      <c r="I1041" s="1547">
        <v>961.8</v>
      </c>
      <c r="J1041" s="1547">
        <v>970.9</v>
      </c>
      <c r="K1041" s="432" t="s">
        <v>2401</v>
      </c>
      <c r="L1041" s="22" t="s">
        <v>16</v>
      </c>
      <c r="M1041" s="22">
        <v>100</v>
      </c>
      <c r="N1041" s="22">
        <v>100</v>
      </c>
      <c r="O1041" s="22">
        <v>100</v>
      </c>
      <c r="P1041" s="22">
        <v>100</v>
      </c>
      <c r="Q1041" s="22">
        <v>100</v>
      </c>
    </row>
    <row r="1042" spans="1:17" ht="29.25" customHeight="1" x14ac:dyDescent="0.2">
      <c r="A1042" s="469"/>
      <c r="B1042" s="1398"/>
      <c r="C1042" s="1399">
        <v>3</v>
      </c>
      <c r="D1042" s="470"/>
      <c r="E1042" s="558" t="s">
        <v>23</v>
      </c>
      <c r="F1042" s="1547">
        <v>243.9</v>
      </c>
      <c r="G1042" s="1547">
        <v>243.9</v>
      </c>
      <c r="H1042" s="1547">
        <v>235.5</v>
      </c>
      <c r="I1042" s="1547">
        <v>240.4</v>
      </c>
      <c r="J1042" s="1547">
        <v>242.8</v>
      </c>
      <c r="K1042" s="432" t="s">
        <v>1483</v>
      </c>
      <c r="L1042" s="22" t="s">
        <v>16</v>
      </c>
      <c r="M1042" s="22">
        <v>3</v>
      </c>
      <c r="N1042" s="22">
        <v>5</v>
      </c>
      <c r="O1042" s="22">
        <v>5</v>
      </c>
      <c r="P1042" s="22">
        <v>5</v>
      </c>
      <c r="Q1042" s="22">
        <v>5</v>
      </c>
    </row>
    <row r="1043" spans="1:17" ht="29.25" customHeight="1" x14ac:dyDescent="0.2">
      <c r="A1043" s="469"/>
      <c r="B1043" s="1398"/>
      <c r="C1043" s="1399">
        <v>4</v>
      </c>
      <c r="D1043" s="470"/>
      <c r="E1043" s="558" t="s">
        <v>25</v>
      </c>
      <c r="F1043" s="1547"/>
      <c r="G1043" s="1547"/>
      <c r="H1043" s="1547"/>
      <c r="I1043" s="1547"/>
      <c r="J1043" s="1547"/>
      <c r="K1043" s="432" t="s">
        <v>1484</v>
      </c>
      <c r="L1043" s="22" t="s">
        <v>122</v>
      </c>
      <c r="M1043" s="22"/>
      <c r="N1043" s="22"/>
      <c r="O1043" s="22"/>
      <c r="P1043" s="22"/>
      <c r="Q1043" s="22"/>
    </row>
    <row r="1044" spans="1:17" ht="29.25" customHeight="1" x14ac:dyDescent="0.2">
      <c r="A1044" s="469"/>
      <c r="B1044" s="1398"/>
      <c r="C1044" s="1399">
        <v>5</v>
      </c>
      <c r="D1044" s="470"/>
      <c r="E1044" s="558" t="s">
        <v>2395</v>
      </c>
      <c r="F1044" s="1547"/>
      <c r="G1044" s="1547"/>
      <c r="H1044" s="1547"/>
      <c r="I1044" s="1547"/>
      <c r="J1044" s="1547"/>
      <c r="K1044" s="432" t="s">
        <v>2402</v>
      </c>
      <c r="L1044" s="22" t="s">
        <v>122</v>
      </c>
      <c r="M1044" s="22"/>
      <c r="N1044" s="22"/>
      <c r="O1044" s="22"/>
      <c r="P1044" s="22"/>
      <c r="Q1044" s="22"/>
    </row>
    <row r="1045" spans="1:17" ht="29.25" customHeight="1" x14ac:dyDescent="0.2">
      <c r="A1045" s="469"/>
      <c r="B1045" s="1398"/>
      <c r="C1045" s="598">
        <v>6</v>
      </c>
      <c r="D1045" s="470"/>
      <c r="E1045" s="433" t="s">
        <v>2396</v>
      </c>
      <c r="F1045" s="1547">
        <v>1463.5</v>
      </c>
      <c r="G1045" s="1547">
        <v>1463.5</v>
      </c>
      <c r="H1045" s="1547">
        <v>1413.1</v>
      </c>
      <c r="I1045" s="1547">
        <v>1442.2</v>
      </c>
      <c r="J1045" s="1547">
        <v>1455.9</v>
      </c>
      <c r="K1045" s="432" t="s">
        <v>2403</v>
      </c>
      <c r="L1045" s="22" t="s">
        <v>16</v>
      </c>
      <c r="M1045" s="95">
        <v>11</v>
      </c>
      <c r="N1045" s="95">
        <v>11</v>
      </c>
      <c r="O1045" s="95">
        <v>20</v>
      </c>
      <c r="P1045" s="95">
        <v>20</v>
      </c>
      <c r="Q1045" s="22">
        <v>20</v>
      </c>
    </row>
    <row r="1046" spans="1:17" ht="29.25" customHeight="1" x14ac:dyDescent="0.2">
      <c r="A1046" s="469"/>
      <c r="B1046" s="1398"/>
      <c r="C1046" s="598">
        <v>7</v>
      </c>
      <c r="D1046" s="470"/>
      <c r="E1046" s="433" t="s">
        <v>2397</v>
      </c>
      <c r="F1046" s="1547"/>
      <c r="G1046" s="1547"/>
      <c r="H1046" s="1547"/>
      <c r="I1046" s="1547"/>
      <c r="J1046" s="1547"/>
      <c r="K1046" s="432"/>
      <c r="L1046" s="22"/>
      <c r="M1046" s="22"/>
      <c r="N1046" s="22"/>
      <c r="O1046" s="22"/>
      <c r="P1046" s="22"/>
      <c r="Q1046" s="22"/>
    </row>
    <row r="1047" spans="1:17" ht="29.25" customHeight="1" x14ac:dyDescent="0.2">
      <c r="A1047" s="469"/>
      <c r="B1047" s="1398"/>
      <c r="C1047" s="598">
        <v>8</v>
      </c>
      <c r="D1047" s="470"/>
      <c r="E1047" s="433" t="s">
        <v>469</v>
      </c>
      <c r="F1047" s="1547"/>
      <c r="G1047" s="1547"/>
      <c r="H1047" s="1547"/>
      <c r="I1047" s="1547"/>
      <c r="J1047" s="1547"/>
      <c r="K1047" s="432"/>
      <c r="L1047" s="22"/>
      <c r="M1047" s="22"/>
      <c r="N1047" s="22"/>
      <c r="O1047" s="22"/>
      <c r="P1047" s="22"/>
      <c r="Q1047" s="22"/>
    </row>
    <row r="1048" spans="1:17" ht="45.75" customHeight="1" x14ac:dyDescent="0.2">
      <c r="A1048" s="469"/>
      <c r="B1048" s="1184" t="s">
        <v>131</v>
      </c>
      <c r="C1048" s="1185"/>
      <c r="D1048" s="1185"/>
      <c r="E1048" s="912" t="s">
        <v>2398</v>
      </c>
      <c r="F1048" s="1551">
        <v>11753.1</v>
      </c>
      <c r="G1048" s="1551">
        <v>11753.1</v>
      </c>
      <c r="H1048" s="1551">
        <v>11273.4</v>
      </c>
      <c r="I1048" s="1551">
        <v>11505.11</v>
      </c>
      <c r="J1048" s="1551">
        <v>11614.8</v>
      </c>
      <c r="K1048" s="912" t="s">
        <v>1479</v>
      </c>
      <c r="L1048" s="41"/>
      <c r="M1048" s="42"/>
      <c r="N1048" s="42"/>
      <c r="O1048" s="42"/>
      <c r="P1048" s="42"/>
      <c r="Q1048" s="42"/>
    </row>
    <row r="1049" spans="1:17" ht="29.25" customHeight="1" x14ac:dyDescent="0.2">
      <c r="A1049" s="469"/>
      <c r="B1049" s="1835"/>
      <c r="C1049" s="1792" t="s">
        <v>114</v>
      </c>
      <c r="D1049" s="1835"/>
      <c r="E1049" s="2089" t="s">
        <v>2871</v>
      </c>
      <c r="F1049" s="1670">
        <v>3000.5</v>
      </c>
      <c r="G1049" s="1670">
        <v>3000.5</v>
      </c>
      <c r="H1049" s="1670">
        <v>2878.03</v>
      </c>
      <c r="I1049" s="1787">
        <v>2937.21</v>
      </c>
      <c r="J1049" s="1787">
        <v>2965.2</v>
      </c>
      <c r="K1049" s="433" t="s">
        <v>2404</v>
      </c>
      <c r="L1049" s="22" t="s">
        <v>2872</v>
      </c>
      <c r="M1049" s="41">
        <v>13</v>
      </c>
      <c r="N1049" s="41">
        <v>30</v>
      </c>
      <c r="O1049" s="41">
        <v>30</v>
      </c>
      <c r="P1049" s="41">
        <v>30</v>
      </c>
      <c r="Q1049" s="41">
        <v>30</v>
      </c>
    </row>
    <row r="1050" spans="1:17" ht="29.25" customHeight="1" x14ac:dyDescent="0.2">
      <c r="A1050" s="469"/>
      <c r="B1050" s="1836"/>
      <c r="C1050" s="1793"/>
      <c r="D1050" s="1836"/>
      <c r="E1050" s="2089"/>
      <c r="F1050" s="1671"/>
      <c r="G1050" s="1671"/>
      <c r="H1050" s="1671"/>
      <c r="I1050" s="1789"/>
      <c r="J1050" s="1789"/>
      <c r="K1050" s="433" t="s">
        <v>2405</v>
      </c>
      <c r="L1050" s="22" t="s">
        <v>2873</v>
      </c>
      <c r="M1050" s="460">
        <v>10</v>
      </c>
      <c r="N1050" s="460">
        <v>9</v>
      </c>
      <c r="O1050" s="460">
        <v>13</v>
      </c>
      <c r="P1050" s="460">
        <v>13</v>
      </c>
      <c r="Q1050" s="460">
        <v>13</v>
      </c>
    </row>
    <row r="1051" spans="1:17" ht="29.25" customHeight="1" x14ac:dyDescent="0.2">
      <c r="A1051" s="469"/>
      <c r="B1051" s="1835"/>
      <c r="C1051" s="1792" t="s">
        <v>116</v>
      </c>
      <c r="D1051" s="1835"/>
      <c r="E1051" s="2089" t="s">
        <v>2399</v>
      </c>
      <c r="F1051" s="1787">
        <v>3000.5</v>
      </c>
      <c r="G1051" s="1787">
        <v>3000.5</v>
      </c>
      <c r="H1051" s="1787">
        <v>2878.03</v>
      </c>
      <c r="I1051" s="1787">
        <v>2937.2</v>
      </c>
      <c r="J1051" s="1787">
        <v>2965.2</v>
      </c>
      <c r="K1051" s="433" t="s">
        <v>2406</v>
      </c>
      <c r="L1051" s="22" t="s">
        <v>1287</v>
      </c>
      <c r="M1051" s="41">
        <v>16</v>
      </c>
      <c r="N1051" s="41">
        <v>13</v>
      </c>
      <c r="O1051" s="41">
        <v>13</v>
      </c>
      <c r="P1051" s="41">
        <v>13</v>
      </c>
      <c r="Q1051" s="41">
        <v>13</v>
      </c>
    </row>
    <row r="1052" spans="1:17" ht="29.25" customHeight="1" x14ac:dyDescent="0.2">
      <c r="A1052" s="469"/>
      <c r="B1052" s="1836"/>
      <c r="C1052" s="1793"/>
      <c r="D1052" s="1836"/>
      <c r="E1052" s="2089"/>
      <c r="F1052" s="1789"/>
      <c r="G1052" s="1789"/>
      <c r="H1052" s="1789"/>
      <c r="I1052" s="1789"/>
      <c r="J1052" s="1789"/>
      <c r="K1052" s="433" t="s">
        <v>2407</v>
      </c>
      <c r="L1052" s="22" t="s">
        <v>1288</v>
      </c>
      <c r="M1052" s="462">
        <v>1</v>
      </c>
      <c r="N1052" s="462">
        <v>3</v>
      </c>
      <c r="O1052" s="462">
        <v>3</v>
      </c>
      <c r="P1052" s="462">
        <v>3</v>
      </c>
      <c r="Q1052" s="462">
        <v>3</v>
      </c>
    </row>
    <row r="1053" spans="1:17" ht="29.25" customHeight="1" x14ac:dyDescent="0.2">
      <c r="A1053" s="469"/>
      <c r="B1053" s="1835"/>
      <c r="C1053" s="1792" t="s">
        <v>119</v>
      </c>
      <c r="D1053" s="1835"/>
      <c r="E1053" s="2089" t="s">
        <v>2400</v>
      </c>
      <c r="F1053" s="1787">
        <v>4250.7</v>
      </c>
      <c r="G1053" s="1787">
        <v>4250.7</v>
      </c>
      <c r="H1053" s="1787">
        <v>4077.18</v>
      </c>
      <c r="I1053" s="1787">
        <v>4161</v>
      </c>
      <c r="J1053" s="1787">
        <v>4200.7</v>
      </c>
      <c r="K1053" s="1879" t="s">
        <v>2408</v>
      </c>
      <c r="L1053" s="22" t="s">
        <v>1289</v>
      </c>
      <c r="M1053" s="462">
        <v>28</v>
      </c>
      <c r="N1053" s="462">
        <v>30</v>
      </c>
      <c r="O1053" s="462">
        <v>30</v>
      </c>
      <c r="P1053" s="462">
        <v>30</v>
      </c>
      <c r="Q1053" s="462">
        <v>30</v>
      </c>
    </row>
    <row r="1054" spans="1:17" ht="29.25" customHeight="1" x14ac:dyDescent="0.2">
      <c r="A1054" s="469"/>
      <c r="B1054" s="1836"/>
      <c r="C1054" s="1793"/>
      <c r="D1054" s="1836"/>
      <c r="E1054" s="2089"/>
      <c r="F1054" s="1789"/>
      <c r="G1054" s="1789"/>
      <c r="H1054" s="1789"/>
      <c r="I1054" s="1789"/>
      <c r="J1054" s="1789"/>
      <c r="K1054" s="1880"/>
      <c r="L1054" s="41"/>
      <c r="M1054" s="420"/>
      <c r="N1054" s="420"/>
      <c r="O1054" s="420"/>
      <c r="P1054" s="420"/>
      <c r="Q1054" s="420"/>
    </row>
    <row r="1055" spans="1:17" ht="29.25" customHeight="1" x14ac:dyDescent="0.2">
      <c r="A1055" s="469"/>
      <c r="B1055" s="1835"/>
      <c r="C1055" s="1792" t="s">
        <v>124</v>
      </c>
      <c r="D1055" s="1835"/>
      <c r="E1055" s="2080" t="s">
        <v>2874</v>
      </c>
      <c r="F1055" s="1787">
        <v>1501.4</v>
      </c>
      <c r="G1055" s="1787">
        <v>1501.4</v>
      </c>
      <c r="H1055" s="1787">
        <v>1440.16</v>
      </c>
      <c r="I1055" s="1787">
        <v>1469.7</v>
      </c>
      <c r="J1055" s="1787">
        <v>1483.7</v>
      </c>
      <c r="K1055" s="1882"/>
      <c r="L1055" s="41"/>
      <c r="M1055" s="420"/>
      <c r="N1055" s="420"/>
      <c r="O1055" s="420"/>
      <c r="P1055" s="420"/>
      <c r="Q1055" s="420"/>
    </row>
    <row r="1056" spans="1:17" ht="29.25" customHeight="1" x14ac:dyDescent="0.2">
      <c r="A1056" s="469"/>
      <c r="B1056" s="2078"/>
      <c r="C1056" s="2079"/>
      <c r="D1056" s="2078"/>
      <c r="E1056" s="1879"/>
      <c r="F1056" s="1788"/>
      <c r="G1056" s="1788"/>
      <c r="H1056" s="1788"/>
      <c r="I1056" s="1788"/>
      <c r="J1056" s="1788"/>
      <c r="K1056" s="1883"/>
      <c r="L1056" s="561"/>
      <c r="M1056" s="561"/>
      <c r="N1056" s="561"/>
      <c r="O1056" s="561"/>
      <c r="P1056" s="561"/>
      <c r="Q1056" s="561"/>
    </row>
    <row r="1057" spans="1:17" ht="29.25" customHeight="1" x14ac:dyDescent="0.2">
      <c r="A1057" s="2081" t="s">
        <v>3104</v>
      </c>
      <c r="B1057" s="2082"/>
      <c r="C1057" s="2082"/>
      <c r="D1057" s="2082"/>
      <c r="E1057" s="2082"/>
      <c r="F1057" s="1672">
        <v>14924</v>
      </c>
      <c r="G1057" s="1672">
        <v>14924</v>
      </c>
      <c r="H1057" s="1672">
        <v>14335.5</v>
      </c>
      <c r="I1057" s="1672">
        <v>14630.310000000001</v>
      </c>
      <c r="J1057" s="1672">
        <v>14769.8</v>
      </c>
      <c r="K1057" s="449"/>
      <c r="L1057" s="656"/>
      <c r="M1057" s="656"/>
      <c r="N1057" s="656"/>
      <c r="O1057" s="656"/>
      <c r="P1057" s="656"/>
      <c r="Q1057" s="1400"/>
    </row>
    <row r="1058" spans="1:17" ht="29.25" customHeight="1" x14ac:dyDescent="0.2">
      <c r="A1058" s="1881" t="s">
        <v>2425</v>
      </c>
      <c r="B1058" s="1881"/>
      <c r="C1058" s="1881"/>
      <c r="D1058" s="1881"/>
      <c r="E1058" s="1881"/>
      <c r="F1058" s="1881"/>
      <c r="G1058" s="1881"/>
      <c r="H1058" s="1881"/>
      <c r="I1058" s="1881"/>
      <c r="J1058" s="1881"/>
      <c r="K1058" s="1881"/>
      <c r="L1058" s="576"/>
      <c r="M1058" s="576"/>
      <c r="N1058" s="576"/>
      <c r="O1058" s="576"/>
      <c r="P1058" s="576"/>
      <c r="Q1058" s="1446"/>
    </row>
    <row r="1059" spans="1:17" ht="61.5" customHeight="1" x14ac:dyDescent="0.2">
      <c r="A1059" s="393"/>
      <c r="B1059" s="872" t="s">
        <v>111</v>
      </c>
      <c r="C1059" s="1337"/>
      <c r="D1059" s="1337"/>
      <c r="E1059" s="1401" t="s">
        <v>3057</v>
      </c>
      <c r="F1059" s="1343">
        <v>254662.5</v>
      </c>
      <c r="G1059" s="1343">
        <v>220839.6</v>
      </c>
      <c r="H1059" s="1343">
        <f>H1060+H1061+H1062+H1063+H1064</f>
        <v>262205.2</v>
      </c>
      <c r="I1059" s="1343">
        <v>191234.18395367998</v>
      </c>
      <c r="J1059" s="1343">
        <v>193058.45806859806</v>
      </c>
      <c r="K1059" s="1401" t="s">
        <v>2415</v>
      </c>
      <c r="L1059" s="581" t="s">
        <v>16</v>
      </c>
      <c r="M1059" s="478">
        <v>9.6</v>
      </c>
      <c r="N1059" s="58">
        <v>5.2</v>
      </c>
      <c r="O1059" s="58">
        <v>9.5</v>
      </c>
      <c r="P1059" s="58">
        <v>9.5</v>
      </c>
      <c r="Q1059" s="58">
        <v>9.5</v>
      </c>
    </row>
    <row r="1060" spans="1:17" ht="29.25" customHeight="1" x14ac:dyDescent="0.2">
      <c r="A1060" s="393"/>
      <c r="B1060" s="479"/>
      <c r="C1060" s="480">
        <v>1</v>
      </c>
      <c r="D1060" s="391"/>
      <c r="E1060" s="559" t="s">
        <v>2394</v>
      </c>
      <c r="F1060" s="1340">
        <v>9923.7999999999993</v>
      </c>
      <c r="G1060" s="1340">
        <v>8891.2000000000007</v>
      </c>
      <c r="H1060" s="1340">
        <f>6924+574+86.1</f>
        <v>7584.1</v>
      </c>
      <c r="I1060" s="1339">
        <v>7056.3148704000005</v>
      </c>
      <c r="J1060" s="1339">
        <v>7123.6321142636161</v>
      </c>
      <c r="K1060" s="697" t="s">
        <v>1509</v>
      </c>
      <c r="L1060" s="668" t="s">
        <v>19</v>
      </c>
      <c r="M1060" s="668">
        <v>22.8</v>
      </c>
      <c r="N1060" s="668">
        <v>20</v>
      </c>
      <c r="O1060" s="668">
        <v>20</v>
      </c>
      <c r="P1060" s="668">
        <v>21</v>
      </c>
      <c r="Q1060" s="668">
        <v>22</v>
      </c>
    </row>
    <row r="1061" spans="1:17" ht="29.25" customHeight="1" x14ac:dyDescent="0.2">
      <c r="A1061" s="393"/>
      <c r="B1061" s="479"/>
      <c r="C1061" s="480">
        <v>2</v>
      </c>
      <c r="D1061" s="391"/>
      <c r="E1061" s="558" t="s">
        <v>2000</v>
      </c>
      <c r="F1061" s="1340">
        <v>8837.5</v>
      </c>
      <c r="G1061" s="1340">
        <v>8281.4</v>
      </c>
      <c r="H1061" s="1340">
        <f>6739.3+663.3+99.5</f>
        <v>7502.1</v>
      </c>
      <c r="I1061" s="1339">
        <v>6868.0853272800005</v>
      </c>
      <c r="J1061" s="1339">
        <v>6933.6068613022508</v>
      </c>
      <c r="K1061" s="697" t="s">
        <v>2416</v>
      </c>
      <c r="L1061" s="668" t="s">
        <v>16</v>
      </c>
      <c r="M1061" s="668">
        <v>100</v>
      </c>
      <c r="N1061" s="668">
        <v>100</v>
      </c>
      <c r="O1061" s="668">
        <v>100</v>
      </c>
      <c r="P1061" s="668">
        <v>100</v>
      </c>
      <c r="Q1061" s="668">
        <v>100</v>
      </c>
    </row>
    <row r="1062" spans="1:17" ht="29.25" customHeight="1" x14ac:dyDescent="0.2">
      <c r="A1062" s="393"/>
      <c r="B1062" s="479"/>
      <c r="C1062" s="480">
        <v>3</v>
      </c>
      <c r="D1062" s="391"/>
      <c r="E1062" s="558" t="s">
        <v>23</v>
      </c>
      <c r="F1062" s="1340">
        <v>6720.1</v>
      </c>
      <c r="G1062" s="1340">
        <v>6782.4</v>
      </c>
      <c r="H1062" s="1340">
        <f>5581.1+561.3+84.2</f>
        <v>6226.6</v>
      </c>
      <c r="I1062" s="1339">
        <v>5687.7525885600007</v>
      </c>
      <c r="J1062" s="1339">
        <v>5742.0137482548635</v>
      </c>
      <c r="K1062" s="697" t="s">
        <v>1512</v>
      </c>
      <c r="L1062" s="668" t="s">
        <v>16</v>
      </c>
      <c r="M1062" s="668">
        <v>64.3</v>
      </c>
      <c r="N1062" s="668">
        <v>90</v>
      </c>
      <c r="O1062" s="668">
        <v>100</v>
      </c>
      <c r="P1062" s="668">
        <v>100</v>
      </c>
      <c r="Q1062" s="668">
        <v>100</v>
      </c>
    </row>
    <row r="1063" spans="1:17" ht="29.25" customHeight="1" x14ac:dyDescent="0.2">
      <c r="A1063" s="393"/>
      <c r="B1063" s="479"/>
      <c r="C1063" s="480">
        <v>4</v>
      </c>
      <c r="D1063" s="391"/>
      <c r="E1063" s="558" t="s">
        <v>25</v>
      </c>
      <c r="F1063" s="1340">
        <v>4635.7</v>
      </c>
      <c r="G1063" s="1340">
        <v>4349.2</v>
      </c>
      <c r="H1063" s="1340">
        <f>3592.6+331.7+49.8</f>
        <v>3974.1</v>
      </c>
      <c r="I1063" s="1339">
        <v>3661.2531489600001</v>
      </c>
      <c r="J1063" s="1339">
        <v>3696.1815040010783</v>
      </c>
      <c r="K1063" s="697" t="s">
        <v>2417</v>
      </c>
      <c r="L1063" s="668" t="s">
        <v>262</v>
      </c>
      <c r="M1063" s="668" t="s">
        <v>1290</v>
      </c>
      <c r="N1063" s="668">
        <v>100</v>
      </c>
      <c r="O1063" s="668">
        <v>100</v>
      </c>
      <c r="P1063" s="668">
        <v>100</v>
      </c>
      <c r="Q1063" s="668">
        <v>100</v>
      </c>
    </row>
    <row r="1064" spans="1:17" ht="29.25" customHeight="1" x14ac:dyDescent="0.2">
      <c r="A1064" s="393"/>
      <c r="B1064" s="479"/>
      <c r="C1064" s="480">
        <v>6</v>
      </c>
      <c r="D1064" s="391"/>
      <c r="E1064" s="433" t="s">
        <v>2396</v>
      </c>
      <c r="F1064" s="1340">
        <v>224545.4</v>
      </c>
      <c r="G1064" s="1340">
        <v>192535.4</v>
      </c>
      <c r="H1064" s="1340">
        <f>164811.3+10962.8+1644.2+59500</f>
        <v>236918.3</v>
      </c>
      <c r="I1064" s="1339">
        <v>167960.77801847999</v>
      </c>
      <c r="J1064" s="1339">
        <v>169563.02384077627</v>
      </c>
      <c r="K1064" s="697" t="s">
        <v>2418</v>
      </c>
      <c r="L1064" s="668" t="s">
        <v>16</v>
      </c>
      <c r="M1064" s="668">
        <v>18.100000000000001</v>
      </c>
      <c r="N1064" s="668" t="s">
        <v>2875</v>
      </c>
      <c r="O1064" s="668" t="s">
        <v>2875</v>
      </c>
      <c r="P1064" s="668" t="s">
        <v>2875</v>
      </c>
      <c r="Q1064" s="668" t="s">
        <v>2875</v>
      </c>
    </row>
    <row r="1065" spans="1:17" ht="29.25" customHeight="1" x14ac:dyDescent="0.2">
      <c r="A1065" s="393"/>
      <c r="B1065" s="2083" t="s">
        <v>131</v>
      </c>
      <c r="C1065" s="2084"/>
      <c r="D1065" s="2084"/>
      <c r="E1065" s="2085" t="s">
        <v>2876</v>
      </c>
      <c r="F1065" s="1989">
        <v>1448047.5999999999</v>
      </c>
      <c r="G1065" s="1989">
        <v>1412070.3999999999</v>
      </c>
      <c r="H1065" s="1989">
        <f>H1067+H1068+H1069+H1070+H1071</f>
        <v>1262714.7000000002</v>
      </c>
      <c r="I1065" s="1989">
        <v>1159849.9586915202</v>
      </c>
      <c r="J1065" s="1989">
        <v>1170914.5272974372</v>
      </c>
      <c r="K1065" s="1884" t="s">
        <v>2419</v>
      </c>
      <c r="L1065" s="2066"/>
      <c r="M1065" s="623">
        <v>100</v>
      </c>
      <c r="N1065" s="668" t="s">
        <v>2877</v>
      </c>
      <c r="O1065" s="668" t="s">
        <v>2877</v>
      </c>
      <c r="P1065" s="668" t="s">
        <v>2877</v>
      </c>
      <c r="Q1065" s="668" t="s">
        <v>2877</v>
      </c>
    </row>
    <row r="1066" spans="1:17" ht="29.25" customHeight="1" x14ac:dyDescent="0.2">
      <c r="A1066" s="393"/>
      <c r="B1066" s="2083"/>
      <c r="C1066" s="2084"/>
      <c r="D1066" s="2084"/>
      <c r="E1066" s="2085"/>
      <c r="F1066" s="1989"/>
      <c r="G1066" s="1989"/>
      <c r="H1066" s="1989"/>
      <c r="I1066" s="1989"/>
      <c r="J1066" s="1989"/>
      <c r="K1066" s="1884"/>
      <c r="L1066" s="2066"/>
      <c r="M1066" s="623"/>
      <c r="N1066" s="668"/>
      <c r="O1066" s="668"/>
      <c r="P1066" s="668"/>
      <c r="Q1066" s="668"/>
    </row>
    <row r="1067" spans="1:17" ht="29.25" customHeight="1" x14ac:dyDescent="0.2">
      <c r="A1067" s="393"/>
      <c r="B1067" s="669"/>
      <c r="C1067" s="581" t="s">
        <v>114</v>
      </c>
      <c r="D1067" s="669"/>
      <c r="E1067" s="41" t="s">
        <v>2410</v>
      </c>
      <c r="F1067" s="1340">
        <v>676960.8</v>
      </c>
      <c r="G1067" s="1340">
        <v>446128</v>
      </c>
      <c r="H1067" s="1340">
        <f>464891.9+108358.9+16254.6</f>
        <v>589505.4</v>
      </c>
      <c r="I1067" s="1339">
        <v>473775.89825224003</v>
      </c>
      <c r="J1067" s="1339">
        <v>478295.32032156637</v>
      </c>
      <c r="K1067" s="697" t="s">
        <v>2420</v>
      </c>
      <c r="L1067" s="668" t="s">
        <v>16</v>
      </c>
      <c r="M1067" s="668">
        <v>100</v>
      </c>
      <c r="N1067" s="668">
        <v>100</v>
      </c>
      <c r="O1067" s="668">
        <v>100</v>
      </c>
      <c r="P1067" s="668">
        <v>100</v>
      </c>
      <c r="Q1067" s="668">
        <v>100</v>
      </c>
    </row>
    <row r="1068" spans="1:17" ht="29.25" customHeight="1" x14ac:dyDescent="0.2">
      <c r="A1068" s="469"/>
      <c r="B1068" s="57"/>
      <c r="C1068" s="610" t="s">
        <v>116</v>
      </c>
      <c r="D1068" s="57"/>
      <c r="E1068" s="471" t="s">
        <v>2411</v>
      </c>
      <c r="F1068" s="1629">
        <v>433885.6</v>
      </c>
      <c r="G1068" s="1629">
        <v>421025</v>
      </c>
      <c r="H1068" s="1629">
        <v>0</v>
      </c>
      <c r="I1068" s="1646">
        <v>0</v>
      </c>
      <c r="J1068" s="1646">
        <v>0</v>
      </c>
      <c r="K1068" s="634" t="s">
        <v>2421</v>
      </c>
      <c r="L1068" s="869" t="s">
        <v>122</v>
      </c>
      <c r="M1068" s="869">
        <v>48653</v>
      </c>
      <c r="N1068" s="869">
        <v>15000</v>
      </c>
      <c r="O1068" s="869">
        <v>10000</v>
      </c>
      <c r="P1068" s="869">
        <v>0</v>
      </c>
      <c r="Q1068" s="869">
        <v>0</v>
      </c>
    </row>
    <row r="1069" spans="1:17" ht="29.25" customHeight="1" x14ac:dyDescent="0.2">
      <c r="A1069" s="469"/>
      <c r="B1069" s="669"/>
      <c r="C1069" s="581" t="s">
        <v>119</v>
      </c>
      <c r="D1069" s="669"/>
      <c r="E1069" s="542" t="s">
        <v>2412</v>
      </c>
      <c r="F1069" s="1340">
        <v>337201.2</v>
      </c>
      <c r="G1069" s="1340">
        <v>272458.3</v>
      </c>
      <c r="H1069" s="1340">
        <v>450858.70000000007</v>
      </c>
      <c r="I1069" s="1339">
        <v>459474.42941352009</v>
      </c>
      <c r="J1069" s="1339">
        <v>463857.81547012506</v>
      </c>
      <c r="K1069" s="633" t="s">
        <v>2422</v>
      </c>
      <c r="L1069" s="668" t="s">
        <v>16</v>
      </c>
      <c r="M1069" s="623">
        <v>7</v>
      </c>
      <c r="N1069" s="623">
        <v>5</v>
      </c>
      <c r="O1069" s="623">
        <v>5</v>
      </c>
      <c r="P1069" s="623">
        <v>5</v>
      </c>
      <c r="Q1069" s="623">
        <v>5</v>
      </c>
    </row>
    <row r="1070" spans="1:17" ht="29.25" customHeight="1" x14ac:dyDescent="0.2">
      <c r="A1070" s="469"/>
      <c r="B1070" s="669"/>
      <c r="C1070" s="581" t="s">
        <v>124</v>
      </c>
      <c r="D1070" s="669"/>
      <c r="E1070" s="561" t="s">
        <v>2413</v>
      </c>
      <c r="F1070" s="1340"/>
      <c r="G1070" s="1340">
        <v>136229.4</v>
      </c>
      <c r="H1070" s="1340">
        <v>222350.6</v>
      </c>
      <c r="I1070" s="1339">
        <v>226599.63102576003</v>
      </c>
      <c r="J1070" s="1339">
        <v>228761.39150574576</v>
      </c>
      <c r="K1070" s="913" t="s">
        <v>2423</v>
      </c>
      <c r="L1070" s="668" t="s">
        <v>16</v>
      </c>
      <c r="M1070" s="623">
        <v>13.5</v>
      </c>
      <c r="N1070" s="623">
        <v>13.5</v>
      </c>
      <c r="O1070" s="623">
        <v>13.5</v>
      </c>
      <c r="P1070" s="623">
        <v>0</v>
      </c>
      <c r="Q1070" s="623">
        <v>0</v>
      </c>
    </row>
    <row r="1071" spans="1:17" ht="29.25" customHeight="1" x14ac:dyDescent="0.2">
      <c r="A1071" s="469"/>
      <c r="B1071" s="669"/>
      <c r="C1071" s="581" t="s">
        <v>128</v>
      </c>
      <c r="D1071" s="669"/>
      <c r="E1071" s="41" t="s">
        <v>2414</v>
      </c>
      <c r="F1071" s="1340"/>
      <c r="G1071" s="1340">
        <v>136229.70000000001</v>
      </c>
      <c r="H1071" s="1340">
        <v>0</v>
      </c>
      <c r="I1071" s="1339">
        <v>0</v>
      </c>
      <c r="J1071" s="1339">
        <v>0</v>
      </c>
      <c r="K1071" s="914" t="s">
        <v>2424</v>
      </c>
      <c r="L1071" s="668" t="s">
        <v>16</v>
      </c>
      <c r="M1071" s="623">
        <v>6</v>
      </c>
      <c r="N1071" s="623">
        <v>10</v>
      </c>
      <c r="O1071" s="623">
        <v>15</v>
      </c>
      <c r="P1071" s="623">
        <v>15</v>
      </c>
      <c r="Q1071" s="623">
        <v>15</v>
      </c>
    </row>
    <row r="1072" spans="1:17" ht="29.25" customHeight="1" thickBot="1" x14ac:dyDescent="0.25">
      <c r="A1072" s="2067" t="s">
        <v>3104</v>
      </c>
      <c r="B1072" s="2068"/>
      <c r="C1072" s="2068"/>
      <c r="D1072" s="2068"/>
      <c r="E1072" s="2069"/>
      <c r="F1072" s="1665">
        <f>F1059+F1065</f>
        <v>1702710.0999999999</v>
      </c>
      <c r="G1072" s="1665">
        <f>G1059+G1065</f>
        <v>1632910</v>
      </c>
      <c r="H1072" s="1665">
        <f>H1059+H1065</f>
        <v>1524919.9000000001</v>
      </c>
      <c r="I1072" s="1665">
        <f>I1059+I1065</f>
        <v>1351084.1426452002</v>
      </c>
      <c r="J1072" s="1665">
        <f>J1059+J1065</f>
        <v>1363972.9853660353</v>
      </c>
      <c r="K1072" s="481"/>
      <c r="L1072" s="461"/>
      <c r="M1072" s="461"/>
      <c r="N1072" s="461"/>
      <c r="O1072" s="461"/>
      <c r="P1072" s="461"/>
      <c r="Q1072" s="46"/>
    </row>
    <row r="1073" spans="1:17" ht="29.25" customHeight="1" x14ac:dyDescent="0.2">
      <c r="A1073" s="1885" t="s">
        <v>2426</v>
      </c>
      <c r="B1073" s="1886"/>
      <c r="C1073" s="1886"/>
      <c r="D1073" s="1886"/>
      <c r="E1073" s="1886"/>
      <c r="F1073" s="1886"/>
      <c r="G1073" s="1886"/>
      <c r="H1073" s="1886"/>
      <c r="I1073" s="1886"/>
      <c r="J1073" s="1886"/>
      <c r="K1073" s="1886"/>
      <c r="L1073" s="667"/>
      <c r="M1073" s="667"/>
      <c r="N1073" s="667"/>
      <c r="O1073" s="667"/>
      <c r="P1073" s="667"/>
      <c r="Q1073" s="1402"/>
    </row>
    <row r="1074" spans="1:17" ht="61.5" customHeight="1" x14ac:dyDescent="0.2">
      <c r="A1074" s="469"/>
      <c r="B1074" s="1403">
        <v>1</v>
      </c>
      <c r="C1074" s="205"/>
      <c r="D1074" s="205"/>
      <c r="E1074" s="563" t="s">
        <v>2878</v>
      </c>
      <c r="F1074" s="1588">
        <v>345476.50000000006</v>
      </c>
      <c r="G1074" s="1588">
        <v>374576.6</v>
      </c>
      <c r="H1074" s="1588">
        <f>H1075+H1076+H1077+H1078+H1079+H1080+H1081</f>
        <v>261148.90000000002</v>
      </c>
      <c r="I1074" s="1588">
        <v>266058.3</v>
      </c>
      <c r="J1074" s="1588">
        <v>268585.85384999996</v>
      </c>
      <c r="K1074" s="564" t="s">
        <v>2434</v>
      </c>
      <c r="L1074" s="95" t="s">
        <v>16</v>
      </c>
      <c r="M1074" s="95" t="s">
        <v>20</v>
      </c>
      <c r="N1074" s="95" t="s">
        <v>20</v>
      </c>
      <c r="O1074" s="95" t="s">
        <v>20</v>
      </c>
      <c r="P1074" s="95" t="s">
        <v>20</v>
      </c>
      <c r="Q1074" s="51"/>
    </row>
    <row r="1075" spans="1:17" ht="61.5" customHeight="1" x14ac:dyDescent="0.2">
      <c r="A1075" s="469"/>
      <c r="B1075" s="1404"/>
      <c r="C1075" s="1405">
        <v>1</v>
      </c>
      <c r="D1075" s="672"/>
      <c r="E1075" s="211" t="s">
        <v>257</v>
      </c>
      <c r="F1075" s="1538">
        <v>38482.699999999997</v>
      </c>
      <c r="G1075" s="1538">
        <v>56279.5</v>
      </c>
      <c r="H1075" s="1538">
        <v>33189.300000000003</v>
      </c>
      <c r="I1075" s="1538">
        <v>33813.199999999997</v>
      </c>
      <c r="J1075" s="1538">
        <v>34134.4254</v>
      </c>
      <c r="K1075" s="564" t="s">
        <v>2446</v>
      </c>
      <c r="L1075" s="95" t="s">
        <v>19</v>
      </c>
      <c r="M1075" s="95">
        <v>7.3</v>
      </c>
      <c r="N1075" s="95" t="s">
        <v>20</v>
      </c>
      <c r="O1075" s="95" t="s">
        <v>20</v>
      </c>
      <c r="P1075" s="95" t="s">
        <v>20</v>
      </c>
      <c r="Q1075" s="51"/>
    </row>
    <row r="1076" spans="1:17" ht="29.25" customHeight="1" x14ac:dyDescent="0.2">
      <c r="A1076" s="469"/>
      <c r="B1076" s="1404"/>
      <c r="C1076" s="484">
        <v>2</v>
      </c>
      <c r="D1076" s="672"/>
      <c r="E1076" s="26" t="s">
        <v>2427</v>
      </c>
      <c r="F1076" s="1538">
        <v>49027.4</v>
      </c>
      <c r="G1076" s="1538">
        <v>55987.199999999997</v>
      </c>
      <c r="H1076" s="1538">
        <v>40997.5</v>
      </c>
      <c r="I1076" s="1538">
        <v>41768.199999999997</v>
      </c>
      <c r="J1076" s="1538">
        <v>42164.997900000002</v>
      </c>
      <c r="K1076" s="564" t="s">
        <v>2435</v>
      </c>
      <c r="L1076" s="95" t="s">
        <v>16</v>
      </c>
      <c r="M1076" s="95">
        <v>67</v>
      </c>
      <c r="N1076" s="95">
        <v>100</v>
      </c>
      <c r="O1076" s="95">
        <v>100</v>
      </c>
      <c r="P1076" s="95">
        <v>100</v>
      </c>
      <c r="Q1076" s="51"/>
    </row>
    <row r="1077" spans="1:17" ht="29.25" customHeight="1" x14ac:dyDescent="0.2">
      <c r="A1077" s="469"/>
      <c r="B1077" s="1404"/>
      <c r="C1077" s="484">
        <v>3</v>
      </c>
      <c r="D1077" s="672"/>
      <c r="E1077" s="26" t="s">
        <v>23</v>
      </c>
      <c r="F1077" s="1538">
        <v>46145.3</v>
      </c>
      <c r="G1077" s="1538">
        <v>57915.5</v>
      </c>
      <c r="H1077" s="1538">
        <v>31456</v>
      </c>
      <c r="I1077" s="1538">
        <v>32047.4</v>
      </c>
      <c r="J1077" s="1538">
        <v>32351.850299999998</v>
      </c>
      <c r="K1077" s="565" t="s">
        <v>2436</v>
      </c>
      <c r="L1077" s="95" t="s">
        <v>265</v>
      </c>
      <c r="M1077" s="105" t="s">
        <v>1292</v>
      </c>
      <c r="N1077" s="95" t="s">
        <v>20</v>
      </c>
      <c r="O1077" s="95" t="s">
        <v>20</v>
      </c>
      <c r="P1077" s="95" t="s">
        <v>20</v>
      </c>
      <c r="Q1077" s="1415"/>
    </row>
    <row r="1078" spans="1:17" ht="29.25" customHeight="1" thickBot="1" x14ac:dyDescent="0.25">
      <c r="A1078" s="469"/>
      <c r="B1078" s="1404"/>
      <c r="C1078" s="484">
        <v>4</v>
      </c>
      <c r="D1078" s="672"/>
      <c r="E1078" s="26" t="s">
        <v>461</v>
      </c>
      <c r="F1078" s="1538">
        <v>24223.4</v>
      </c>
      <c r="G1078" s="1538">
        <v>29209.4</v>
      </c>
      <c r="H1078" s="1538">
        <v>17515.8</v>
      </c>
      <c r="I1078" s="1538">
        <v>17845.099999999999</v>
      </c>
      <c r="J1078" s="1538">
        <v>18014.62845</v>
      </c>
      <c r="K1078" s="564" t="s">
        <v>2437</v>
      </c>
      <c r="L1078" s="95" t="s">
        <v>262</v>
      </c>
      <c r="M1078" s="95" t="s">
        <v>1293</v>
      </c>
      <c r="N1078" s="95" t="s">
        <v>20</v>
      </c>
      <c r="O1078" s="95" t="s">
        <v>20</v>
      </c>
      <c r="P1078" s="95" t="s">
        <v>20</v>
      </c>
      <c r="Q1078" s="1406"/>
    </row>
    <row r="1079" spans="1:17" ht="29.25" customHeight="1" x14ac:dyDescent="0.2">
      <c r="A1079" s="469"/>
      <c r="B1079" s="1404"/>
      <c r="C1079" s="484">
        <v>5</v>
      </c>
      <c r="D1079" s="672"/>
      <c r="E1079" s="26" t="s">
        <v>2428</v>
      </c>
      <c r="F1079" s="1538">
        <v>58053.8</v>
      </c>
      <c r="G1079" s="1538">
        <v>58966.6</v>
      </c>
      <c r="H1079" s="1538">
        <v>42113.8</v>
      </c>
      <c r="I1079" s="1538">
        <v>42905.5</v>
      </c>
      <c r="J1079" s="1538">
        <v>43313.102249999996</v>
      </c>
      <c r="K1079" s="564" t="s">
        <v>2438</v>
      </c>
      <c r="L1079" s="95" t="s">
        <v>122</v>
      </c>
      <c r="M1079" s="95">
        <v>12</v>
      </c>
      <c r="N1079" s="95" t="s">
        <v>20</v>
      </c>
      <c r="O1079" s="95" t="s">
        <v>20</v>
      </c>
      <c r="P1079" s="95" t="s">
        <v>20</v>
      </c>
      <c r="Q1079" s="1407"/>
    </row>
    <row r="1080" spans="1:17" ht="62.25" customHeight="1" x14ac:dyDescent="0.2">
      <c r="A1080" s="469"/>
      <c r="B1080" s="1404"/>
      <c r="C1080" s="215">
        <v>6</v>
      </c>
      <c r="D1080" s="672"/>
      <c r="E1080" s="194" t="s">
        <v>2429</v>
      </c>
      <c r="F1080" s="1538">
        <v>70172.100000000006</v>
      </c>
      <c r="G1080" s="1538">
        <v>62403.8</v>
      </c>
      <c r="H1080" s="1538">
        <v>64755</v>
      </c>
      <c r="I1080" s="1538">
        <v>65972.399999999994</v>
      </c>
      <c r="J1080" s="1538">
        <v>66599.137799999997</v>
      </c>
      <c r="K1080" s="564" t="s">
        <v>2439</v>
      </c>
      <c r="L1080" s="95" t="s">
        <v>16</v>
      </c>
      <c r="M1080" s="485">
        <v>20</v>
      </c>
      <c r="N1080" s="95">
        <v>20</v>
      </c>
      <c r="O1080" s="95">
        <v>20</v>
      </c>
      <c r="P1080" s="95">
        <v>20</v>
      </c>
      <c r="Q1080" s="486"/>
    </row>
    <row r="1081" spans="1:17" ht="29.25" customHeight="1" x14ac:dyDescent="0.2">
      <c r="A1081" s="469"/>
      <c r="B1081" s="1404"/>
      <c r="C1081" s="215">
        <v>7</v>
      </c>
      <c r="D1081" s="672"/>
      <c r="E1081" s="194" t="s">
        <v>2430</v>
      </c>
      <c r="F1081" s="1538">
        <v>59371.8</v>
      </c>
      <c r="G1081" s="1538">
        <v>53814.6</v>
      </c>
      <c r="H1081" s="1538">
        <v>31121.5</v>
      </c>
      <c r="I1081" s="1538">
        <v>31706.5</v>
      </c>
      <c r="J1081" s="1538">
        <v>32007.711750000002</v>
      </c>
      <c r="K1081" s="564" t="s">
        <v>2440</v>
      </c>
      <c r="L1081" s="95" t="s">
        <v>122</v>
      </c>
      <c r="M1081" s="95" t="s">
        <v>20</v>
      </c>
      <c r="N1081" s="95" t="s">
        <v>20</v>
      </c>
      <c r="O1081" s="95" t="s">
        <v>20</v>
      </c>
      <c r="P1081" s="95" t="s">
        <v>20</v>
      </c>
      <c r="Q1081" s="486"/>
    </row>
    <row r="1082" spans="1:17" ht="63.75" customHeight="1" x14ac:dyDescent="0.2">
      <c r="A1082" s="469"/>
      <c r="B1082" s="1403">
        <v>2</v>
      </c>
      <c r="C1082" s="1408"/>
      <c r="D1082" s="957"/>
      <c r="E1082" s="464" t="s">
        <v>2879</v>
      </c>
      <c r="F1082" s="1588">
        <v>91566.599999999991</v>
      </c>
      <c r="G1082" s="1588">
        <v>306122.59999999998</v>
      </c>
      <c r="H1082" s="1588">
        <f>H1083+H1085</f>
        <v>185093.59999999998</v>
      </c>
      <c r="I1082" s="1588">
        <v>188573.4</v>
      </c>
      <c r="J1082" s="1588">
        <v>190364.84730000002</v>
      </c>
      <c r="K1082" s="563" t="s">
        <v>2447</v>
      </c>
      <c r="L1082" s="95"/>
      <c r="M1082" s="488"/>
      <c r="N1082" s="474" t="s">
        <v>20</v>
      </c>
      <c r="O1082" s="474" t="s">
        <v>20</v>
      </c>
      <c r="P1082" s="474" t="s">
        <v>20</v>
      </c>
      <c r="Q1082" s="489"/>
    </row>
    <row r="1083" spans="1:17" ht="29.25" customHeight="1" x14ac:dyDescent="0.2">
      <c r="A1083" s="469"/>
      <c r="B1083" s="2454"/>
      <c r="C1083" s="2456">
        <v>1</v>
      </c>
      <c r="D1083" s="2457"/>
      <c r="E1083" s="2453" t="s">
        <v>2431</v>
      </c>
      <c r="F1083" s="1842">
        <v>87202.2</v>
      </c>
      <c r="G1083" s="1842">
        <v>300613.8</v>
      </c>
      <c r="H1083" s="1842">
        <v>148305.79999999999</v>
      </c>
      <c r="I1083" s="1842">
        <v>151094</v>
      </c>
      <c r="J1083" s="1842">
        <v>152529.39300000001</v>
      </c>
      <c r="K1083" s="1887" t="s">
        <v>2441</v>
      </c>
      <c r="L1083" s="95" t="s">
        <v>2848</v>
      </c>
      <c r="M1083" s="476">
        <v>41671849.5</v>
      </c>
      <c r="N1083" s="475">
        <v>48632900</v>
      </c>
      <c r="O1083" s="475">
        <v>50339900</v>
      </c>
      <c r="P1083" s="475">
        <v>52582200</v>
      </c>
      <c r="Q1083" s="489"/>
    </row>
    <row r="1084" spans="1:17" ht="29.25" customHeight="1" x14ac:dyDescent="0.2">
      <c r="A1084" s="469"/>
      <c r="B1084" s="2455"/>
      <c r="C1084" s="2455"/>
      <c r="D1084" s="2458"/>
      <c r="E1084" s="1888"/>
      <c r="F1084" s="1844"/>
      <c r="G1084" s="1844"/>
      <c r="H1084" s="1844"/>
      <c r="I1084" s="1844"/>
      <c r="J1084" s="1844"/>
      <c r="K1084" s="1888"/>
      <c r="L1084" s="95" t="s">
        <v>16</v>
      </c>
      <c r="M1084" s="95">
        <v>95.8</v>
      </c>
      <c r="N1084" s="476">
        <v>100</v>
      </c>
      <c r="O1084" s="476">
        <v>100</v>
      </c>
      <c r="P1084" s="476">
        <v>100</v>
      </c>
      <c r="Q1084" s="489"/>
    </row>
    <row r="1085" spans="1:17" ht="29.25" customHeight="1" x14ac:dyDescent="0.2">
      <c r="A1085" s="469"/>
      <c r="B1085" s="482"/>
      <c r="C1085" s="215">
        <v>2</v>
      </c>
      <c r="D1085" s="490"/>
      <c r="E1085" s="563" t="s">
        <v>2432</v>
      </c>
      <c r="F1085" s="1538">
        <v>4364.3999999999996</v>
      </c>
      <c r="G1085" s="1538">
        <v>5508.8</v>
      </c>
      <c r="H1085" s="1538">
        <v>36787.800000000003</v>
      </c>
      <c r="I1085" s="1538">
        <v>37479.4</v>
      </c>
      <c r="J1085" s="1538">
        <v>37835.454299999998</v>
      </c>
      <c r="K1085" s="689" t="s">
        <v>2442</v>
      </c>
      <c r="L1085" s="95" t="s">
        <v>2880</v>
      </c>
      <c r="M1085" s="95">
        <v>1</v>
      </c>
      <c r="N1085" s="491">
        <v>8</v>
      </c>
      <c r="O1085" s="491"/>
      <c r="P1085" s="476"/>
      <c r="Q1085" s="489"/>
    </row>
    <row r="1086" spans="1:17" ht="58.5" customHeight="1" x14ac:dyDescent="0.2">
      <c r="A1086" s="469"/>
      <c r="B1086" s="1409">
        <v>3</v>
      </c>
      <c r="C1086" s="1408"/>
      <c r="D1086" s="1410"/>
      <c r="E1086" s="564" t="s">
        <v>2881</v>
      </c>
      <c r="F1086" s="1588">
        <v>634824.80000000005</v>
      </c>
      <c r="G1086" s="1588">
        <v>363072.5</v>
      </c>
      <c r="H1086" s="1588">
        <f>H1087</f>
        <v>249365.80000000002</v>
      </c>
      <c r="I1086" s="1588">
        <v>254100.40000000002</v>
      </c>
      <c r="J1086" s="1588">
        <v>256542.45380000002</v>
      </c>
      <c r="K1086" s="563" t="s">
        <v>2443</v>
      </c>
      <c r="L1086" s="95" t="s">
        <v>265</v>
      </c>
      <c r="M1086" s="95">
        <v>1601</v>
      </c>
      <c r="N1086" s="474"/>
      <c r="O1086" s="477"/>
      <c r="P1086" s="477"/>
      <c r="Q1086" s="489"/>
    </row>
    <row r="1087" spans="1:17" ht="29.25" customHeight="1" x14ac:dyDescent="0.2">
      <c r="A1087" s="469"/>
      <c r="B1087" s="2070"/>
      <c r="C1087" s="2072">
        <v>1</v>
      </c>
      <c r="D1087" s="2074"/>
      <c r="E1087" s="2076" t="s">
        <v>2433</v>
      </c>
      <c r="F1087" s="1842">
        <v>634824.80000000005</v>
      </c>
      <c r="G1087" s="1842">
        <v>363072.5</v>
      </c>
      <c r="H1087" s="1842">
        <v>249365.80000000002</v>
      </c>
      <c r="I1087" s="1842">
        <v>254100.40000000002</v>
      </c>
      <c r="J1087" s="1842">
        <v>256542.45380000002</v>
      </c>
      <c r="K1087" s="563" t="s">
        <v>2444</v>
      </c>
      <c r="L1087" s="95" t="s">
        <v>265</v>
      </c>
      <c r="M1087" s="95">
        <v>240</v>
      </c>
      <c r="N1087" s="476"/>
      <c r="O1087" s="476" t="s">
        <v>20</v>
      </c>
      <c r="P1087" s="476" t="s">
        <v>20</v>
      </c>
      <c r="Q1087" s="492"/>
    </row>
    <row r="1088" spans="1:17" ht="29.25" customHeight="1" x14ac:dyDescent="0.2">
      <c r="A1088" s="469"/>
      <c r="B1088" s="2071"/>
      <c r="C1088" s="2073"/>
      <c r="D1088" s="2075"/>
      <c r="E1088" s="2077"/>
      <c r="F1088" s="1843"/>
      <c r="G1088" s="1843"/>
      <c r="H1088" s="1843"/>
      <c r="I1088" s="1843"/>
      <c r="J1088" s="1843"/>
      <c r="K1088" s="689" t="s">
        <v>2445</v>
      </c>
      <c r="L1088" s="1411" t="s">
        <v>265</v>
      </c>
      <c r="M1088" s="1411">
        <v>1361</v>
      </c>
      <c r="N1088" s="1361"/>
      <c r="O1088" s="1361" t="s">
        <v>20</v>
      </c>
      <c r="P1088" s="1361" t="s">
        <v>20</v>
      </c>
      <c r="Q1088" s="1412"/>
    </row>
    <row r="1089" spans="1:17" ht="29.25" customHeight="1" x14ac:dyDescent="0.2">
      <c r="A1089" s="2081" t="s">
        <v>3104</v>
      </c>
      <c r="B1089" s="2082"/>
      <c r="C1089" s="2082"/>
      <c r="D1089" s="2082"/>
      <c r="E1089" s="2082"/>
      <c r="F1089" s="1666">
        <v>1071867.9000000001</v>
      </c>
      <c r="G1089" s="1666">
        <v>1043771.7</v>
      </c>
      <c r="H1089" s="1666">
        <f>H1074+H1082+H1086</f>
        <v>695608.3</v>
      </c>
      <c r="I1089" s="1666">
        <v>708732.10000000009</v>
      </c>
      <c r="J1089" s="1666">
        <v>715493.15495</v>
      </c>
      <c r="K1089" s="449"/>
      <c r="L1089" s="656"/>
      <c r="M1089" s="656"/>
      <c r="N1089" s="656"/>
      <c r="O1089" s="656"/>
      <c r="P1089" s="656"/>
      <c r="Q1089" s="1413"/>
    </row>
    <row r="1090" spans="1:17" ht="29.25" customHeight="1" x14ac:dyDescent="0.2">
      <c r="A1090" s="1881" t="s">
        <v>2448</v>
      </c>
      <c r="B1090" s="1881"/>
      <c r="C1090" s="1881"/>
      <c r="D1090" s="1881"/>
      <c r="E1090" s="1881"/>
      <c r="F1090" s="1881"/>
      <c r="G1090" s="1881"/>
      <c r="H1090" s="1881"/>
      <c r="I1090" s="1881"/>
      <c r="J1090" s="1881"/>
      <c r="K1090" s="1881"/>
      <c r="L1090" s="576"/>
      <c r="M1090" s="576"/>
      <c r="N1090" s="576"/>
      <c r="O1090" s="576"/>
      <c r="P1090" s="576"/>
      <c r="Q1090" s="1414"/>
    </row>
    <row r="1091" spans="1:17" ht="58.5" customHeight="1" x14ac:dyDescent="0.2">
      <c r="A1091" s="469"/>
      <c r="B1091" s="2149" t="s">
        <v>111</v>
      </c>
      <c r="C1091" s="2079"/>
      <c r="D1091" s="2079"/>
      <c r="E1091" s="2406" t="s">
        <v>3058</v>
      </c>
      <c r="F1091" s="1889">
        <f>F1093+F1096</f>
        <v>11692.6</v>
      </c>
      <c r="G1091" s="1889">
        <f t="shared" ref="G1091:J1091" si="44">G1093+G1096</f>
        <v>11692.6</v>
      </c>
      <c r="H1091" s="1889">
        <f t="shared" si="44"/>
        <v>11692.6</v>
      </c>
      <c r="I1091" s="1889">
        <f t="shared" si="44"/>
        <v>11916.4</v>
      </c>
      <c r="J1091" s="1889">
        <f t="shared" si="44"/>
        <v>12030.1</v>
      </c>
      <c r="K1091" s="471" t="s">
        <v>3059</v>
      </c>
      <c r="L1091" s="628"/>
      <c r="M1091" s="628"/>
      <c r="N1091" s="632"/>
      <c r="O1091" s="632"/>
      <c r="P1091" s="632"/>
      <c r="Q1091" s="632"/>
    </row>
    <row r="1092" spans="1:17" ht="44.25" customHeight="1" x14ac:dyDescent="0.2">
      <c r="A1092" s="469"/>
      <c r="B1092" s="2046"/>
      <c r="C1092" s="2046"/>
      <c r="D1092" s="2046"/>
      <c r="E1092" s="2407"/>
      <c r="F1092" s="1890"/>
      <c r="G1092" s="1890"/>
      <c r="H1092" s="1890"/>
      <c r="I1092" s="1890"/>
      <c r="J1092" s="1890"/>
      <c r="K1092" s="41" t="s">
        <v>2882</v>
      </c>
      <c r="L1092" s="22" t="s">
        <v>2835</v>
      </c>
      <c r="M1092" s="22">
        <v>433</v>
      </c>
      <c r="N1092" s="599">
        <v>450</v>
      </c>
      <c r="O1092" s="599">
        <v>450</v>
      </c>
      <c r="P1092" s="599">
        <v>450</v>
      </c>
      <c r="Q1092" s="599">
        <v>450</v>
      </c>
    </row>
    <row r="1093" spans="1:17" ht="29.25" customHeight="1" x14ac:dyDescent="0.2">
      <c r="A1093" s="469"/>
      <c r="B1093" s="1833"/>
      <c r="C1093" s="1792" t="s">
        <v>114</v>
      </c>
      <c r="D1093" s="1792"/>
      <c r="E1093" s="1813" t="s">
        <v>2449</v>
      </c>
      <c r="F1093" s="1787">
        <f>1610+106</f>
        <v>1716</v>
      </c>
      <c r="G1093" s="1787">
        <f>1373.2+236.8+106</f>
        <v>1716</v>
      </c>
      <c r="H1093" s="1787">
        <f>1373.2+236.8+106</f>
        <v>1716</v>
      </c>
      <c r="I1093" s="1787">
        <f>1373.2+236.8+106</f>
        <v>1716</v>
      </c>
      <c r="J1093" s="1787">
        <f>1373.2+236.8+106</f>
        <v>1716</v>
      </c>
      <c r="K1093" s="41" t="s">
        <v>2452</v>
      </c>
      <c r="L1093" s="22" t="s">
        <v>1178</v>
      </c>
      <c r="M1093" s="22" t="s">
        <v>1294</v>
      </c>
      <c r="N1093" s="695" t="s">
        <v>1295</v>
      </c>
      <c r="O1093" s="695" t="s">
        <v>1296</v>
      </c>
      <c r="P1093" s="695" t="s">
        <v>1297</v>
      </c>
      <c r="Q1093" s="695" t="s">
        <v>1291</v>
      </c>
    </row>
    <row r="1094" spans="1:17" ht="29.25" customHeight="1" x14ac:dyDescent="0.2">
      <c r="A1094" s="469"/>
      <c r="B1094" s="2061"/>
      <c r="C1094" s="2061"/>
      <c r="D1094" s="2061"/>
      <c r="E1094" s="1814"/>
      <c r="F1094" s="1788"/>
      <c r="G1094" s="1788"/>
      <c r="H1094" s="1788"/>
      <c r="I1094" s="1788"/>
      <c r="J1094" s="1788"/>
      <c r="K1094" s="1813" t="s">
        <v>2453</v>
      </c>
      <c r="L1094" s="22" t="s">
        <v>1178</v>
      </c>
      <c r="M1094" s="22">
        <v>9</v>
      </c>
      <c r="N1094" s="431">
        <v>9</v>
      </c>
      <c r="O1094" s="431">
        <v>9</v>
      </c>
      <c r="P1094" s="431">
        <v>10</v>
      </c>
      <c r="Q1094" s="431">
        <v>10</v>
      </c>
    </row>
    <row r="1095" spans="1:17" ht="29.25" customHeight="1" x14ac:dyDescent="0.2">
      <c r="A1095" s="469"/>
      <c r="B1095" s="2046"/>
      <c r="C1095" s="2046"/>
      <c r="D1095" s="2046"/>
      <c r="E1095" s="1815"/>
      <c r="F1095" s="1789"/>
      <c r="G1095" s="1789"/>
      <c r="H1095" s="1789"/>
      <c r="I1095" s="1789"/>
      <c r="J1095" s="1789"/>
      <c r="K1095" s="1815"/>
      <c r="L1095" s="22" t="s">
        <v>2835</v>
      </c>
      <c r="M1095" s="22">
        <v>713</v>
      </c>
      <c r="N1095" s="431">
        <v>2100</v>
      </c>
      <c r="O1095" s="431">
        <v>2150</v>
      </c>
      <c r="P1095" s="431">
        <v>2200</v>
      </c>
      <c r="Q1095" s="431">
        <v>2200</v>
      </c>
    </row>
    <row r="1096" spans="1:17" ht="52.5" customHeight="1" x14ac:dyDescent="0.2">
      <c r="A1096" s="469"/>
      <c r="B1096" s="1833"/>
      <c r="C1096" s="1792" t="s">
        <v>116</v>
      </c>
      <c r="D1096" s="1792"/>
      <c r="E1096" s="1822" t="s">
        <v>2450</v>
      </c>
      <c r="F1096" s="1787">
        <f>9976.6</f>
        <v>9976.6</v>
      </c>
      <c r="G1096" s="1787">
        <f>9976.6</f>
        <v>9976.6</v>
      </c>
      <c r="H1096" s="1787">
        <f>9976.6</f>
        <v>9976.6</v>
      </c>
      <c r="I1096" s="1787">
        <v>10200.4</v>
      </c>
      <c r="J1096" s="1787">
        <v>10314.1</v>
      </c>
      <c r="K1096" s="41" t="s">
        <v>2454</v>
      </c>
      <c r="L1096" s="22" t="s">
        <v>1178</v>
      </c>
      <c r="M1096" s="22">
        <v>162</v>
      </c>
      <c r="N1096" s="599">
        <v>165</v>
      </c>
      <c r="O1096" s="599">
        <v>165</v>
      </c>
      <c r="P1096" s="599">
        <v>170</v>
      </c>
      <c r="Q1096" s="599">
        <v>175</v>
      </c>
    </row>
    <row r="1097" spans="1:17" ht="59.25" customHeight="1" x14ac:dyDescent="0.2">
      <c r="A1097" s="469"/>
      <c r="B1097" s="2061"/>
      <c r="C1097" s="2061"/>
      <c r="D1097" s="2061"/>
      <c r="E1097" s="2062"/>
      <c r="F1097" s="1817"/>
      <c r="G1097" s="1817"/>
      <c r="H1097" s="1817"/>
      <c r="I1097" s="1817"/>
      <c r="J1097" s="1817"/>
      <c r="K1097" s="41" t="s">
        <v>2455</v>
      </c>
      <c r="L1097" s="22" t="s">
        <v>1178</v>
      </c>
      <c r="M1097" s="22">
        <v>6843</v>
      </c>
      <c r="N1097" s="431">
        <v>6850</v>
      </c>
      <c r="O1097" s="431">
        <v>6850</v>
      </c>
      <c r="P1097" s="431">
        <v>6850</v>
      </c>
      <c r="Q1097" s="431">
        <v>6900</v>
      </c>
    </row>
    <row r="1098" spans="1:17" ht="62.25" customHeight="1" x14ac:dyDescent="0.2">
      <c r="A1098" s="469"/>
      <c r="B1098" s="2046"/>
      <c r="C1098" s="2046"/>
      <c r="D1098" s="2046"/>
      <c r="E1098" s="2063"/>
      <c r="F1098" s="1734"/>
      <c r="G1098" s="1734"/>
      <c r="H1098" s="1734"/>
      <c r="I1098" s="1734"/>
      <c r="J1098" s="1734"/>
      <c r="K1098" s="916" t="s">
        <v>2456</v>
      </c>
      <c r="L1098" s="22" t="s">
        <v>16</v>
      </c>
      <c r="M1098" s="22">
        <v>50</v>
      </c>
      <c r="N1098" s="431">
        <v>50</v>
      </c>
      <c r="O1098" s="431">
        <v>55</v>
      </c>
      <c r="P1098" s="431">
        <v>60</v>
      </c>
      <c r="Q1098" s="431">
        <v>65</v>
      </c>
    </row>
    <row r="1099" spans="1:17" ht="54.75" customHeight="1" x14ac:dyDescent="0.2">
      <c r="A1099" s="469"/>
      <c r="B1099" s="2051" t="s">
        <v>131</v>
      </c>
      <c r="C1099" s="917"/>
      <c r="D1099" s="1792"/>
      <c r="E1099" s="2064" t="s">
        <v>3060</v>
      </c>
      <c r="F1099" s="2065">
        <f>F1101+F1103</f>
        <v>28008.7</v>
      </c>
      <c r="G1099" s="2065">
        <f>G1101+G1103</f>
        <v>28008.7</v>
      </c>
      <c r="H1099" s="2065">
        <f t="shared" ref="H1099" si="45">H1101+H1103</f>
        <v>28008.7</v>
      </c>
      <c r="I1099" s="2065">
        <v>28544.799999999999</v>
      </c>
      <c r="J1099" s="2065">
        <v>28817.1</v>
      </c>
      <c r="K1099" s="41" t="s">
        <v>2457</v>
      </c>
      <c r="L1099" s="646" t="s">
        <v>2835</v>
      </c>
      <c r="M1099" s="22">
        <v>213</v>
      </c>
      <c r="N1099" s="22">
        <v>211</v>
      </c>
      <c r="O1099" s="22">
        <v>211</v>
      </c>
      <c r="P1099" s="22">
        <v>211</v>
      </c>
      <c r="Q1099" s="22">
        <v>211</v>
      </c>
    </row>
    <row r="1100" spans="1:17" ht="54.75" customHeight="1" x14ac:dyDescent="0.2">
      <c r="A1100" s="469"/>
      <c r="B1100" s="2045"/>
      <c r="C1100" s="629"/>
      <c r="D1100" s="2046"/>
      <c r="E1100" s="2062"/>
      <c r="F1100" s="1890"/>
      <c r="G1100" s="1890"/>
      <c r="H1100" s="1890"/>
      <c r="I1100" s="1890"/>
      <c r="J1100" s="1890"/>
      <c r="K1100" s="41" t="s">
        <v>2458</v>
      </c>
      <c r="L1100" s="627" t="s">
        <v>2848</v>
      </c>
      <c r="M1100" s="627">
        <v>164854</v>
      </c>
      <c r="N1100" s="915">
        <v>160273</v>
      </c>
      <c r="O1100" s="915">
        <v>160272.5</v>
      </c>
      <c r="P1100" s="915">
        <v>160272.5</v>
      </c>
      <c r="Q1100" s="915">
        <v>160273</v>
      </c>
    </row>
    <row r="1101" spans="1:17" ht="51" customHeight="1" x14ac:dyDescent="0.2">
      <c r="A1101" s="469"/>
      <c r="B1101" s="2044"/>
      <c r="C1101" s="1792" t="s">
        <v>114</v>
      </c>
      <c r="D1101" s="1792"/>
      <c r="E1101" s="2047" t="s">
        <v>2883</v>
      </c>
      <c r="F1101" s="1787">
        <v>19232.7</v>
      </c>
      <c r="G1101" s="1787">
        <v>19232.7</v>
      </c>
      <c r="H1101" s="1787">
        <f>G1101</f>
        <v>19232.7</v>
      </c>
      <c r="I1101" s="1787">
        <f>H1101</f>
        <v>19232.7</v>
      </c>
      <c r="J1101" s="1787">
        <f>I1101</f>
        <v>19232.7</v>
      </c>
      <c r="K1101" s="41" t="s">
        <v>2459</v>
      </c>
      <c r="L1101" s="22" t="s">
        <v>612</v>
      </c>
      <c r="M1101" s="22">
        <v>11597</v>
      </c>
      <c r="N1101" s="431">
        <v>0</v>
      </c>
      <c r="O1101" s="431">
        <v>0</v>
      </c>
      <c r="P1101" s="431">
        <v>0</v>
      </c>
      <c r="Q1101" s="431">
        <v>0</v>
      </c>
    </row>
    <row r="1102" spans="1:17" ht="46.5" customHeight="1" x14ac:dyDescent="0.2">
      <c r="A1102" s="469"/>
      <c r="B1102" s="2045"/>
      <c r="C1102" s="2046"/>
      <c r="D1102" s="2046"/>
      <c r="E1102" s="2048"/>
      <c r="F1102" s="1734"/>
      <c r="G1102" s="1734"/>
      <c r="H1102" s="1734"/>
      <c r="I1102" s="1734"/>
      <c r="J1102" s="1734"/>
      <c r="K1102" s="41" t="s">
        <v>2460</v>
      </c>
      <c r="L1102" s="22" t="s">
        <v>2848</v>
      </c>
      <c r="M1102" s="680">
        <v>9945</v>
      </c>
      <c r="N1102" s="1415">
        <v>10786</v>
      </c>
      <c r="O1102" s="1415">
        <v>10786</v>
      </c>
      <c r="P1102" s="1415">
        <v>10786</v>
      </c>
      <c r="Q1102" s="1415">
        <v>10786</v>
      </c>
    </row>
    <row r="1103" spans="1:17" ht="72" customHeight="1" x14ac:dyDescent="0.2">
      <c r="A1103" s="469"/>
      <c r="B1103" s="918"/>
      <c r="C1103" s="629" t="s">
        <v>116</v>
      </c>
      <c r="D1103" s="629"/>
      <c r="E1103" s="561" t="s">
        <v>2451</v>
      </c>
      <c r="F1103" s="1581">
        <v>8776</v>
      </c>
      <c r="G1103" s="1581">
        <v>8776</v>
      </c>
      <c r="H1103" s="1547">
        <v>8776</v>
      </c>
      <c r="I1103" s="1547">
        <v>9312.1</v>
      </c>
      <c r="J1103" s="1547">
        <v>9584.4</v>
      </c>
      <c r="K1103" s="41" t="s">
        <v>2461</v>
      </c>
      <c r="L1103" s="542"/>
      <c r="M1103" s="680"/>
      <c r="N1103" s="1415"/>
      <c r="O1103" s="1415"/>
      <c r="P1103" s="1415"/>
      <c r="Q1103" s="1415"/>
    </row>
    <row r="1104" spans="1:17" ht="29.25" customHeight="1" thickBot="1" x14ac:dyDescent="0.25">
      <c r="B1104" s="2049" t="s">
        <v>3104</v>
      </c>
      <c r="C1104" s="2050"/>
      <c r="D1104" s="2050"/>
      <c r="E1104" s="2050"/>
      <c r="F1104" s="1610">
        <f>F1091+F1099</f>
        <v>39701.300000000003</v>
      </c>
      <c r="G1104" s="1610">
        <f t="shared" ref="G1104:J1104" si="46">G1091+G1099</f>
        <v>39701.300000000003</v>
      </c>
      <c r="H1104" s="1610">
        <f t="shared" si="46"/>
        <v>39701.300000000003</v>
      </c>
      <c r="I1104" s="1610">
        <f t="shared" si="46"/>
        <v>40461.199999999997</v>
      </c>
      <c r="J1104" s="1610">
        <f t="shared" si="46"/>
        <v>40847.199999999997</v>
      </c>
      <c r="K1104" s="673"/>
      <c r="L1104" s="493"/>
      <c r="M1104" s="493"/>
      <c r="N1104" s="493"/>
      <c r="O1104" s="493"/>
      <c r="P1104" s="493"/>
      <c r="Q1104" s="494"/>
    </row>
    <row r="1105" spans="2:17" ht="29.25" customHeight="1" x14ac:dyDescent="0.2">
      <c r="B1105" s="2058" t="s">
        <v>1485</v>
      </c>
      <c r="C1105" s="2059"/>
      <c r="D1105" s="2059"/>
      <c r="E1105" s="2059"/>
      <c r="F1105" s="2059"/>
      <c r="G1105" s="2059"/>
      <c r="H1105" s="2059"/>
      <c r="I1105" s="2059"/>
      <c r="J1105" s="2059"/>
      <c r="K1105" s="2059"/>
      <c r="L1105" s="2059"/>
      <c r="M1105" s="2059"/>
      <c r="N1105" s="2059"/>
      <c r="O1105" s="2059"/>
      <c r="P1105" s="2059"/>
      <c r="Q1105" s="2060"/>
    </row>
    <row r="1106" spans="2:17" ht="61.5" customHeight="1" x14ac:dyDescent="0.2">
      <c r="B1106" s="837" t="s">
        <v>111</v>
      </c>
      <c r="C1106" s="920"/>
      <c r="D1106" s="921"/>
      <c r="E1106" s="922" t="s">
        <v>3061</v>
      </c>
      <c r="F1106" s="1673">
        <v>5930</v>
      </c>
      <c r="G1106" s="1673">
        <f>G1107+G1108</f>
        <v>3184.5</v>
      </c>
      <c r="H1106" s="1673">
        <f>H1107+H1108</f>
        <v>3185</v>
      </c>
      <c r="I1106" s="1673">
        <f>I1107+I1108</f>
        <v>3213</v>
      </c>
      <c r="J1106" s="1673">
        <f>J1107+J1108</f>
        <v>3253</v>
      </c>
      <c r="K1106" s="942" t="s">
        <v>18</v>
      </c>
      <c r="L1106" s="923" t="s">
        <v>19</v>
      </c>
      <c r="M1106" s="920"/>
      <c r="N1106" s="920"/>
      <c r="O1106" s="920"/>
      <c r="P1106" s="920"/>
      <c r="Q1106" s="924"/>
    </row>
    <row r="1107" spans="2:17" ht="29.25" customHeight="1" x14ac:dyDescent="0.2">
      <c r="B1107" s="1154"/>
      <c r="C1107" s="1447" t="s">
        <v>114</v>
      </c>
      <c r="D1107" s="921"/>
      <c r="E1107" s="921" t="s">
        <v>182</v>
      </c>
      <c r="F1107" s="1674">
        <v>2251</v>
      </c>
      <c r="G1107" s="1674">
        <f>1473+200</f>
        <v>1673</v>
      </c>
      <c r="H1107" s="1674">
        <v>1673</v>
      </c>
      <c r="I1107" s="1674">
        <v>1687</v>
      </c>
      <c r="J1107" s="1674">
        <f>I1107+20</f>
        <v>1707</v>
      </c>
      <c r="K1107" s="942" t="s">
        <v>1486</v>
      </c>
      <c r="L1107" s="923" t="s">
        <v>16</v>
      </c>
      <c r="M1107" s="920">
        <v>100</v>
      </c>
      <c r="N1107" s="920"/>
      <c r="O1107" s="920"/>
      <c r="P1107" s="920"/>
      <c r="Q1107" s="924"/>
    </row>
    <row r="1108" spans="2:17" ht="29.25" customHeight="1" x14ac:dyDescent="0.2">
      <c r="B1108" s="1067"/>
      <c r="C1108" s="1447" t="s">
        <v>116</v>
      </c>
      <c r="D1108" s="925"/>
      <c r="E1108" s="921" t="s">
        <v>1487</v>
      </c>
      <c r="F1108" s="1674">
        <v>3679</v>
      </c>
      <c r="G1108" s="1674">
        <f>1283.9+227.6</f>
        <v>1511.5</v>
      </c>
      <c r="H1108" s="1674">
        <v>1512</v>
      </c>
      <c r="I1108" s="1674">
        <v>1526</v>
      </c>
      <c r="J1108" s="1674">
        <f>I1108+20</f>
        <v>1546</v>
      </c>
      <c r="K1108" s="942"/>
      <c r="L1108" s="95" t="s">
        <v>160</v>
      </c>
      <c r="M1108" s="22"/>
      <c r="N1108" s="22"/>
      <c r="O1108" s="22"/>
      <c r="P1108" s="22"/>
      <c r="Q1108" s="926"/>
    </row>
    <row r="1109" spans="2:17" ht="29.25" customHeight="1" x14ac:dyDescent="0.2">
      <c r="B1109" s="1154"/>
      <c r="C1109" s="1447" t="s">
        <v>202</v>
      </c>
      <c r="D1109" s="925"/>
      <c r="E1109" s="1448" t="s">
        <v>1488</v>
      </c>
      <c r="F1109" s="1674"/>
      <c r="G1109" s="1674"/>
      <c r="H1109" s="1674"/>
      <c r="I1109" s="1674"/>
      <c r="J1109" s="1674"/>
      <c r="K1109" s="942"/>
      <c r="L1109" s="95" t="s">
        <v>160</v>
      </c>
      <c r="M1109" s="22"/>
      <c r="N1109" s="22"/>
      <c r="O1109" s="22"/>
      <c r="P1109" s="22"/>
      <c r="Q1109" s="926"/>
    </row>
    <row r="1110" spans="2:17" ht="29.25" customHeight="1" x14ac:dyDescent="0.2">
      <c r="B1110" s="2051" t="s">
        <v>131</v>
      </c>
      <c r="C1110" s="2053"/>
      <c r="D1110" s="2055"/>
      <c r="E1110" s="1449" t="s">
        <v>1489</v>
      </c>
      <c r="F1110" s="2057">
        <f>F1113+F1114+F1115+F1116+F1117+F1118+F1119+F1120+F1121+F1122</f>
        <v>22464</v>
      </c>
      <c r="G1110" s="2057">
        <f>G1112+G1113+G1116+G1117+G1120</f>
        <v>10917.1</v>
      </c>
      <c r="H1110" s="2057">
        <f>H1112+H1113+H1117+H1120+H1122+H1116</f>
        <v>10916.6</v>
      </c>
      <c r="I1110" s="2057">
        <f>I1112+I1113+I1114+I1115+I1116+I1117+I1120</f>
        <v>10971.6</v>
      </c>
      <c r="J1110" s="2057">
        <f>J1112+J1113+J1116+J1117+J1120</f>
        <v>11035.8</v>
      </c>
      <c r="K1110" s="942"/>
      <c r="L1110" s="22" t="s">
        <v>16</v>
      </c>
      <c r="M1110" s="22"/>
      <c r="N1110" s="22"/>
      <c r="O1110" s="22"/>
      <c r="P1110" s="22"/>
      <c r="Q1110" s="926"/>
    </row>
    <row r="1111" spans="2:17" ht="29.25" customHeight="1" x14ac:dyDescent="0.2">
      <c r="B1111" s="2052"/>
      <c r="C1111" s="2054"/>
      <c r="D1111" s="2056"/>
      <c r="E1111" s="1450" t="s">
        <v>1490</v>
      </c>
      <c r="F1111" s="2057"/>
      <c r="G1111" s="2057"/>
      <c r="H1111" s="2057"/>
      <c r="I1111" s="2057"/>
      <c r="J1111" s="2057"/>
      <c r="K1111" s="942"/>
      <c r="L1111" s="22"/>
      <c r="M1111" s="22"/>
      <c r="N1111" s="22"/>
      <c r="O1111" s="22"/>
      <c r="P1111" s="22"/>
      <c r="Q1111" s="926"/>
    </row>
    <row r="1112" spans="2:17" ht="29.25" customHeight="1" x14ac:dyDescent="0.2">
      <c r="B1112" s="919"/>
      <c r="C1112" s="1447" t="s">
        <v>114</v>
      </c>
      <c r="D1112" s="925"/>
      <c r="E1112" s="1451" t="s">
        <v>1491</v>
      </c>
      <c r="F1112" s="1674"/>
      <c r="G1112" s="1674">
        <f>2213+400</f>
        <v>2613</v>
      </c>
      <c r="H1112" s="1674">
        <v>2613</v>
      </c>
      <c r="I1112" s="1674">
        <v>2627</v>
      </c>
      <c r="J1112" s="1674">
        <f>I1112+20</f>
        <v>2647</v>
      </c>
      <c r="K1112" s="942"/>
      <c r="L1112" s="22"/>
      <c r="M1112" s="22"/>
      <c r="N1112" s="22"/>
      <c r="O1112" s="22"/>
      <c r="P1112" s="22"/>
      <c r="Q1112" s="926"/>
    </row>
    <row r="1113" spans="2:17" ht="29.25" customHeight="1" x14ac:dyDescent="0.2">
      <c r="B1113" s="927"/>
      <c r="C1113" s="1452" t="s">
        <v>116</v>
      </c>
      <c r="D1113" s="920"/>
      <c r="E1113" s="921" t="s">
        <v>1492</v>
      </c>
      <c r="F1113" s="1674">
        <v>3685</v>
      </c>
      <c r="G1113" s="1674">
        <f>3164.3+600</f>
        <v>3764.3</v>
      </c>
      <c r="H1113" s="1674">
        <v>3764</v>
      </c>
      <c r="I1113" s="1674">
        <v>3778</v>
      </c>
      <c r="J1113" s="1674">
        <f>I1113+20</f>
        <v>3798</v>
      </c>
      <c r="K1113" s="942" t="s">
        <v>1493</v>
      </c>
      <c r="L1113" s="920"/>
      <c r="M1113" s="928">
        <v>0.5</v>
      </c>
      <c r="N1113" s="42"/>
      <c r="O1113" s="42"/>
      <c r="P1113" s="42"/>
      <c r="Q1113" s="929"/>
    </row>
    <row r="1114" spans="2:17" ht="29.25" customHeight="1" x14ac:dyDescent="0.2">
      <c r="B1114" s="927"/>
      <c r="C1114" s="1452" t="s">
        <v>119</v>
      </c>
      <c r="D1114" s="920"/>
      <c r="E1114" s="930" t="s">
        <v>2884</v>
      </c>
      <c r="F1114" s="1674">
        <v>4134</v>
      </c>
      <c r="G1114" s="1674"/>
      <c r="H1114" s="1674"/>
      <c r="I1114" s="1674"/>
      <c r="J1114" s="1674"/>
      <c r="K1114" s="942" t="s">
        <v>1493</v>
      </c>
      <c r="L1114" s="920"/>
      <c r="M1114" s="928"/>
      <c r="N1114" s="44"/>
      <c r="O1114" s="44"/>
      <c r="P1114" s="44"/>
      <c r="Q1114" s="931"/>
    </row>
    <row r="1115" spans="2:17" ht="29.25" customHeight="1" x14ac:dyDescent="0.2">
      <c r="B1115" s="927"/>
      <c r="C1115" s="1452" t="s">
        <v>124</v>
      </c>
      <c r="D1115" s="920"/>
      <c r="E1115" s="921" t="s">
        <v>1494</v>
      </c>
      <c r="F1115" s="1674">
        <v>3280</v>
      </c>
      <c r="G1115" s="1674"/>
      <c r="H1115" s="1674"/>
      <c r="I1115" s="1674"/>
      <c r="J1115" s="1674"/>
      <c r="K1115" s="942" t="s">
        <v>1493</v>
      </c>
      <c r="L1115" s="920"/>
      <c r="M1115" s="928"/>
      <c r="N1115" s="44"/>
      <c r="O1115" s="44"/>
      <c r="P1115" s="44"/>
      <c r="Q1115" s="931"/>
    </row>
    <row r="1116" spans="2:17" ht="29.25" customHeight="1" x14ac:dyDescent="0.2">
      <c r="B1116" s="927"/>
      <c r="C1116" s="1452" t="s">
        <v>128</v>
      </c>
      <c r="D1116" s="920"/>
      <c r="E1116" s="930" t="s">
        <v>1495</v>
      </c>
      <c r="F1116" s="1675">
        <v>303</v>
      </c>
      <c r="G1116" s="1674">
        <v>303</v>
      </c>
      <c r="H1116" s="1675">
        <v>303</v>
      </c>
      <c r="I1116" s="1675">
        <v>316</v>
      </c>
      <c r="J1116" s="1675">
        <v>316.39999999999998</v>
      </c>
      <c r="K1116" s="942" t="s">
        <v>1496</v>
      </c>
      <c r="L1116" s="41"/>
      <c r="M1116" s="41"/>
      <c r="N1116" s="44"/>
      <c r="O1116" s="44"/>
      <c r="P1116" s="44"/>
      <c r="Q1116" s="931"/>
    </row>
    <row r="1117" spans="2:17" ht="29.25" customHeight="1" x14ac:dyDescent="0.2">
      <c r="B1117" s="927"/>
      <c r="C1117" s="1452" t="s">
        <v>202</v>
      </c>
      <c r="D1117" s="920"/>
      <c r="E1117" s="921" t="s">
        <v>1497</v>
      </c>
      <c r="F1117" s="1674">
        <v>2132</v>
      </c>
      <c r="G1117" s="1674">
        <f>3136.2+600</f>
        <v>3736.2</v>
      </c>
      <c r="H1117" s="1674">
        <v>3736</v>
      </c>
      <c r="I1117" s="1674">
        <v>3750</v>
      </c>
      <c r="J1117" s="1674">
        <f>I1117+20</f>
        <v>3770</v>
      </c>
      <c r="K1117" s="942" t="s">
        <v>1498</v>
      </c>
      <c r="L1117" s="41"/>
      <c r="M1117" s="41"/>
      <c r="N1117" s="42"/>
      <c r="O1117" s="42"/>
      <c r="P1117" s="42"/>
      <c r="Q1117" s="929"/>
    </row>
    <row r="1118" spans="2:17" ht="29.25" customHeight="1" x14ac:dyDescent="0.2">
      <c r="B1118" s="927"/>
      <c r="C1118" s="1452" t="s">
        <v>149</v>
      </c>
      <c r="D1118" s="920"/>
      <c r="E1118" s="930" t="s">
        <v>1499</v>
      </c>
      <c r="F1118" s="1674">
        <v>1070</v>
      </c>
      <c r="G1118" s="1674"/>
      <c r="H1118" s="1674"/>
      <c r="I1118" s="1674"/>
      <c r="J1118" s="1674"/>
      <c r="K1118" s="942" t="s">
        <v>1500</v>
      </c>
      <c r="L1118" s="41"/>
      <c r="M1118" s="41"/>
      <c r="N1118" s="44"/>
      <c r="O1118" s="44"/>
      <c r="P1118" s="44"/>
      <c r="Q1118" s="931"/>
    </row>
    <row r="1119" spans="2:17" ht="29.25" customHeight="1" x14ac:dyDescent="0.2">
      <c r="B1119" s="927"/>
      <c r="C1119" s="1452" t="s">
        <v>152</v>
      </c>
      <c r="D1119" s="920"/>
      <c r="E1119" s="930" t="s">
        <v>1501</v>
      </c>
      <c r="F1119" s="1674">
        <v>1070</v>
      </c>
      <c r="G1119" s="1674"/>
      <c r="H1119" s="1674"/>
      <c r="I1119" s="1674"/>
      <c r="J1119" s="1674"/>
      <c r="K1119" s="942"/>
      <c r="L1119" s="41"/>
      <c r="M1119" s="41"/>
      <c r="N1119" s="44"/>
      <c r="O1119" s="44"/>
      <c r="P1119" s="44"/>
      <c r="Q1119" s="931"/>
    </row>
    <row r="1120" spans="2:17" ht="29.25" customHeight="1" x14ac:dyDescent="0.2">
      <c r="B1120" s="927"/>
      <c r="C1120" s="1452" t="s">
        <v>279</v>
      </c>
      <c r="D1120" s="920"/>
      <c r="E1120" s="921" t="s">
        <v>1502</v>
      </c>
      <c r="F1120" s="1674">
        <v>2828</v>
      </c>
      <c r="G1120" s="1674">
        <v>500.6</v>
      </c>
      <c r="H1120" s="1674">
        <v>500.6</v>
      </c>
      <c r="I1120" s="1674">
        <v>500.6</v>
      </c>
      <c r="J1120" s="1674">
        <v>504.4</v>
      </c>
      <c r="K1120" s="942" t="s">
        <v>1503</v>
      </c>
      <c r="L1120" s="932">
        <v>1</v>
      </c>
      <c r="M1120" s="41"/>
      <c r="N1120" s="44"/>
      <c r="O1120" s="44"/>
      <c r="P1120" s="44"/>
      <c r="Q1120" s="931"/>
    </row>
    <row r="1121" spans="2:17" ht="29.25" customHeight="1" x14ac:dyDescent="0.2">
      <c r="B1121" s="927"/>
      <c r="C1121" s="1452">
        <v>10</v>
      </c>
      <c r="D1121" s="920"/>
      <c r="E1121" s="921" t="s">
        <v>1504</v>
      </c>
      <c r="F1121" s="1674">
        <v>3659</v>
      </c>
      <c r="G1121" s="1674"/>
      <c r="H1121" s="1674"/>
      <c r="I1121" s="1674"/>
      <c r="J1121" s="1674"/>
      <c r="K1121" s="942"/>
      <c r="L1121" s="705"/>
      <c r="M1121" s="705"/>
      <c r="N1121" s="705"/>
      <c r="O1121" s="705"/>
      <c r="P1121" s="705"/>
      <c r="Q1121" s="933"/>
    </row>
    <row r="1122" spans="2:17" ht="29.25" customHeight="1" x14ac:dyDescent="0.2">
      <c r="B1122" s="927"/>
      <c r="C1122" s="1452">
        <v>11</v>
      </c>
      <c r="D1122" s="920"/>
      <c r="E1122" s="921" t="s">
        <v>1505</v>
      </c>
      <c r="F1122" s="1674">
        <v>303</v>
      </c>
      <c r="G1122" s="1674"/>
      <c r="H1122" s="1674"/>
      <c r="I1122" s="1674"/>
      <c r="J1122" s="1674"/>
      <c r="K1122" s="942" t="s">
        <v>1300</v>
      </c>
      <c r="L1122" s="106"/>
      <c r="M1122" s="106"/>
      <c r="N1122" s="106"/>
      <c r="O1122" s="106"/>
      <c r="P1122" s="106"/>
      <c r="Q1122" s="934"/>
    </row>
    <row r="1123" spans="2:17" ht="29.25" customHeight="1" x14ac:dyDescent="0.2">
      <c r="B1123" s="2025" t="s">
        <v>3104</v>
      </c>
      <c r="C1123" s="2026"/>
      <c r="D1123" s="2026"/>
      <c r="E1123" s="2026"/>
      <c r="F1123" s="1572">
        <v>30403.5</v>
      </c>
      <c r="G1123" s="1572">
        <f>G1106+G1110</f>
        <v>14101.6</v>
      </c>
      <c r="H1123" s="1572">
        <f>H1106+H1110</f>
        <v>14101.6</v>
      </c>
      <c r="I1123" s="1572">
        <f>I1106+I1110</f>
        <v>14184.6</v>
      </c>
      <c r="J1123" s="1572">
        <f>J1106+J1110</f>
        <v>14288.8</v>
      </c>
      <c r="K1123" s="1345"/>
      <c r="L1123" s="1863"/>
      <c r="M1123" s="1863"/>
      <c r="N1123" s="1863"/>
      <c r="O1123" s="1863"/>
      <c r="P1123" s="1863"/>
      <c r="Q1123" s="1864"/>
    </row>
    <row r="1124" spans="2:17" ht="29.25" customHeight="1" x14ac:dyDescent="0.2">
      <c r="B1124" s="1865" t="s">
        <v>1506</v>
      </c>
      <c r="C1124" s="1866"/>
      <c r="D1124" s="1866"/>
      <c r="E1124" s="1866"/>
      <c r="F1124" s="1866"/>
      <c r="G1124" s="1866"/>
      <c r="H1124" s="1866"/>
      <c r="I1124" s="1866"/>
      <c r="J1124" s="1866"/>
      <c r="K1124" s="1866"/>
      <c r="L1124" s="1866"/>
      <c r="M1124" s="1866"/>
      <c r="N1124" s="1866"/>
      <c r="O1124" s="1866"/>
      <c r="P1124" s="1866"/>
      <c r="Q1124" s="1867"/>
    </row>
    <row r="1125" spans="2:17" ht="59.25" customHeight="1" x14ac:dyDescent="0.2">
      <c r="B1125" s="1089">
        <v>1</v>
      </c>
      <c r="C1125" s="213"/>
      <c r="D1125" s="213"/>
      <c r="E1125" s="127" t="s">
        <v>2540</v>
      </c>
      <c r="F1125" s="1561">
        <f>F1126+F1127+F1128+F1129+F1130+F1131</f>
        <v>16691.526940830317</v>
      </c>
      <c r="G1125" s="1561">
        <f t="shared" ref="G1125:J1125" si="47">G1126+G1127+G1128+G1129+G1130+G1131</f>
        <v>11583.300000000001</v>
      </c>
      <c r="H1125" s="1561">
        <f t="shared" si="47"/>
        <v>11583.300000000001</v>
      </c>
      <c r="I1125" s="1561">
        <f t="shared" si="47"/>
        <v>11583.300000000001</v>
      </c>
      <c r="J1125" s="1561">
        <f t="shared" si="47"/>
        <v>11583.300000000001</v>
      </c>
      <c r="K1125" s="1346" t="s">
        <v>1507</v>
      </c>
      <c r="L1125" s="22" t="s">
        <v>16</v>
      </c>
      <c r="M1125" s="936">
        <v>4.5</v>
      </c>
      <c r="N1125" s="936">
        <v>4.5</v>
      </c>
      <c r="O1125" s="936">
        <v>4.5</v>
      </c>
      <c r="P1125" s="936">
        <v>4.5</v>
      </c>
      <c r="Q1125" s="937">
        <v>4.5</v>
      </c>
    </row>
    <row r="1126" spans="2:17" ht="29.25" customHeight="1" x14ac:dyDescent="0.2">
      <c r="B1126" s="935"/>
      <c r="C1126" s="696" t="s">
        <v>114</v>
      </c>
      <c r="D1126" s="213"/>
      <c r="E1126" s="211" t="s">
        <v>1508</v>
      </c>
      <c r="F1126" s="1547">
        <v>6188.803700627459</v>
      </c>
      <c r="G1126" s="1676">
        <v>4294.8</v>
      </c>
      <c r="H1126" s="1676">
        <v>4294.8</v>
      </c>
      <c r="I1126" s="1547">
        <v>4294.8</v>
      </c>
      <c r="J1126" s="1547">
        <v>4294.8</v>
      </c>
      <c r="K1126" s="1346" t="s">
        <v>1509</v>
      </c>
      <c r="L1126" s="22"/>
      <c r="M1126" s="938"/>
      <c r="N1126" s="938"/>
      <c r="O1126" s="938"/>
      <c r="P1126" s="938"/>
      <c r="Q1126" s="939"/>
    </row>
    <row r="1127" spans="2:17" ht="29.25" customHeight="1" x14ac:dyDescent="0.2">
      <c r="B1127" s="935"/>
      <c r="C1127" s="696" t="s">
        <v>116</v>
      </c>
      <c r="D1127" s="213"/>
      <c r="E1127" s="40" t="s">
        <v>1510</v>
      </c>
      <c r="F1127" s="1547">
        <v>3532.7538307856662</v>
      </c>
      <c r="G1127" s="1676">
        <v>2451.6000000000004</v>
      </c>
      <c r="H1127" s="1676">
        <v>2451.6000000000004</v>
      </c>
      <c r="I1127" s="1547">
        <v>2451.6000000000004</v>
      </c>
      <c r="J1127" s="1547">
        <v>2451.6000000000004</v>
      </c>
      <c r="K1127" s="1346" t="s">
        <v>1511</v>
      </c>
      <c r="L1127" s="22"/>
      <c r="M1127" s="936">
        <v>52</v>
      </c>
      <c r="N1127" s="936">
        <v>54</v>
      </c>
      <c r="O1127" s="936">
        <v>56</v>
      </c>
      <c r="P1127" s="936">
        <v>60</v>
      </c>
      <c r="Q1127" s="937">
        <v>62</v>
      </c>
    </row>
    <row r="1128" spans="2:17" ht="29.25" customHeight="1" x14ac:dyDescent="0.2">
      <c r="B1128" s="935"/>
      <c r="C1128" s="696" t="s">
        <v>119</v>
      </c>
      <c r="D1128" s="213"/>
      <c r="E1128" s="600" t="s">
        <v>23</v>
      </c>
      <c r="F1128" s="1547">
        <v>2793.6653009235479</v>
      </c>
      <c r="G1128" s="1676">
        <v>1938.7</v>
      </c>
      <c r="H1128" s="1676">
        <v>1938.7</v>
      </c>
      <c r="I1128" s="1547">
        <v>1938.7</v>
      </c>
      <c r="J1128" s="1547">
        <v>1938.7</v>
      </c>
      <c r="K1128" s="1346" t="s">
        <v>1512</v>
      </c>
      <c r="L1128" s="22"/>
      <c r="M1128" s="936">
        <v>40</v>
      </c>
      <c r="N1128" s="936">
        <v>45</v>
      </c>
      <c r="O1128" s="936">
        <v>50</v>
      </c>
      <c r="P1128" s="936">
        <v>55</v>
      </c>
      <c r="Q1128" s="937">
        <v>60</v>
      </c>
    </row>
    <row r="1129" spans="2:17" ht="29.25" customHeight="1" x14ac:dyDescent="0.2">
      <c r="B1129" s="935"/>
      <c r="C1129" s="696" t="s">
        <v>124</v>
      </c>
      <c r="D1129" s="213"/>
      <c r="E1129" s="40" t="s">
        <v>1513</v>
      </c>
      <c r="F1129" s="1547">
        <v>698.30825028501135</v>
      </c>
      <c r="G1129" s="1676">
        <v>484.6</v>
      </c>
      <c r="H1129" s="1676">
        <v>484.6</v>
      </c>
      <c r="I1129" s="1547">
        <v>484.6</v>
      </c>
      <c r="J1129" s="1547">
        <v>484.6</v>
      </c>
      <c r="K1129" s="1346" t="s">
        <v>1514</v>
      </c>
      <c r="L1129" s="22"/>
      <c r="M1129" s="936"/>
      <c r="N1129" s="936"/>
      <c r="O1129" s="936"/>
      <c r="P1129" s="936"/>
      <c r="Q1129" s="937"/>
    </row>
    <row r="1130" spans="2:17" ht="29.25" customHeight="1" x14ac:dyDescent="0.2">
      <c r="B1130" s="935"/>
      <c r="C1130" s="696" t="s">
        <v>128</v>
      </c>
      <c r="D1130" s="213"/>
      <c r="E1130" s="940" t="s">
        <v>1515</v>
      </c>
      <c r="F1130" s="1547">
        <v>2745.1036252433896</v>
      </c>
      <c r="G1130" s="1676">
        <v>1905</v>
      </c>
      <c r="H1130" s="1676">
        <v>1905</v>
      </c>
      <c r="I1130" s="1547">
        <v>1905</v>
      </c>
      <c r="J1130" s="1547">
        <v>1905</v>
      </c>
      <c r="K1130" s="1346" t="s">
        <v>1512</v>
      </c>
      <c r="L1130" s="22"/>
      <c r="M1130" s="936">
        <v>28</v>
      </c>
      <c r="N1130" s="936">
        <v>20</v>
      </c>
      <c r="O1130" s="936">
        <v>16</v>
      </c>
      <c r="P1130" s="936">
        <v>12</v>
      </c>
      <c r="Q1130" s="937">
        <v>10</v>
      </c>
    </row>
    <row r="1131" spans="2:17" ht="29.25" customHeight="1" x14ac:dyDescent="0.2">
      <c r="B1131" s="935"/>
      <c r="C1131" s="696" t="s">
        <v>202</v>
      </c>
      <c r="D1131" s="213"/>
      <c r="E1131" s="940" t="s">
        <v>1516</v>
      </c>
      <c r="F1131" s="1547">
        <v>732.89223296524301</v>
      </c>
      <c r="G1131" s="1676">
        <v>508.6</v>
      </c>
      <c r="H1131" s="1676">
        <v>508.6</v>
      </c>
      <c r="I1131" s="1547">
        <v>508.6</v>
      </c>
      <c r="J1131" s="1547">
        <v>508.6</v>
      </c>
      <c r="K1131" s="1346" t="s">
        <v>1517</v>
      </c>
      <c r="L1131" s="22"/>
      <c r="M1131" s="22">
        <v>5</v>
      </c>
      <c r="N1131" s="22"/>
      <c r="O1131" s="22"/>
      <c r="P1131" s="22"/>
      <c r="Q1131" s="926"/>
    </row>
    <row r="1132" spans="2:17" ht="29.25" customHeight="1" x14ac:dyDescent="0.2">
      <c r="B1132" s="1089">
        <v>2</v>
      </c>
      <c r="C1132" s="1054"/>
      <c r="D1132" s="1054"/>
      <c r="E1132" s="127" t="s">
        <v>1518</v>
      </c>
      <c r="F1132" s="1561">
        <f>F1133+F1134</f>
        <v>31624.359499568614</v>
      </c>
      <c r="G1132" s="1561">
        <f t="shared" ref="G1132:J1132" si="48">G1133+G1134</f>
        <v>16956.599999999999</v>
      </c>
      <c r="H1132" s="1561">
        <f t="shared" si="48"/>
        <v>16956.599999999999</v>
      </c>
      <c r="I1132" s="1561">
        <f t="shared" si="48"/>
        <v>17502.899999999998</v>
      </c>
      <c r="J1132" s="1561">
        <f t="shared" si="48"/>
        <v>17780.3</v>
      </c>
      <c r="K1132" s="942"/>
      <c r="L1132" s="22"/>
      <c r="M1132" s="22"/>
      <c r="N1132" s="22"/>
      <c r="O1132" s="22"/>
      <c r="P1132" s="22"/>
      <c r="Q1132" s="926"/>
    </row>
    <row r="1133" spans="2:17" ht="29.25" customHeight="1" x14ac:dyDescent="0.2">
      <c r="B1133" s="935"/>
      <c r="C1133" s="223">
        <v>2</v>
      </c>
      <c r="D1133" s="213"/>
      <c r="E1133" s="40" t="s">
        <v>1519</v>
      </c>
      <c r="F1133" s="1547">
        <v>22657.9</v>
      </c>
      <c r="G1133" s="1676">
        <v>6430.2</v>
      </c>
      <c r="H1133" s="1547">
        <v>6430.2</v>
      </c>
      <c r="I1133" s="1547">
        <v>6703.2999999999993</v>
      </c>
      <c r="J1133" s="1547">
        <v>6842.0999999999995</v>
      </c>
      <c r="K1133" s="26" t="s">
        <v>1520</v>
      </c>
      <c r="L1133" s="22" t="s">
        <v>16</v>
      </c>
      <c r="M1133" s="245">
        <v>26</v>
      </c>
      <c r="N1133" s="245">
        <v>26</v>
      </c>
      <c r="O1133" s="245">
        <v>28</v>
      </c>
      <c r="P1133" s="245">
        <v>29</v>
      </c>
      <c r="Q1133" s="941">
        <v>30</v>
      </c>
    </row>
    <row r="1134" spans="2:17" ht="29.25" customHeight="1" x14ac:dyDescent="0.2">
      <c r="B1134" s="935"/>
      <c r="C1134" s="223">
        <v>3</v>
      </c>
      <c r="D1134" s="213"/>
      <c r="E1134" s="40" t="s">
        <v>1521</v>
      </c>
      <c r="F1134" s="1547">
        <v>8966.4594995686148</v>
      </c>
      <c r="G1134" s="1676">
        <v>10526.4</v>
      </c>
      <c r="H1134" s="1547">
        <v>10526.4</v>
      </c>
      <c r="I1134" s="1547">
        <v>10799.599999999999</v>
      </c>
      <c r="J1134" s="1547">
        <v>10938.199999999999</v>
      </c>
      <c r="K1134" s="26" t="s">
        <v>1522</v>
      </c>
      <c r="L1134" s="22" t="s">
        <v>122</v>
      </c>
      <c r="M1134" s="245">
        <v>26</v>
      </c>
      <c r="N1134" s="245">
        <v>26</v>
      </c>
      <c r="O1134" s="245">
        <v>26</v>
      </c>
      <c r="P1134" s="245">
        <v>26</v>
      </c>
      <c r="Q1134" s="941">
        <v>26</v>
      </c>
    </row>
    <row r="1135" spans="2:17" ht="29.25" customHeight="1" x14ac:dyDescent="0.2">
      <c r="B1135" s="1089">
        <v>3</v>
      </c>
      <c r="C1135" s="223"/>
      <c r="D1135" s="213"/>
      <c r="E1135" s="160" t="s">
        <v>687</v>
      </c>
      <c r="F1135" s="1561">
        <f t="shared" ref="F1135:G1135" si="49">F1136</f>
        <v>3491927.1</v>
      </c>
      <c r="G1135" s="1561">
        <f t="shared" si="49"/>
        <v>1221100</v>
      </c>
      <c r="H1135" s="1561">
        <f>H1136</f>
        <v>0</v>
      </c>
      <c r="I1135" s="1561">
        <f t="shared" ref="I1135:J1135" si="50">I1136</f>
        <v>959220.24</v>
      </c>
      <c r="J1135" s="1561">
        <f t="shared" si="50"/>
        <v>527396.93999999994</v>
      </c>
      <c r="K1135" s="942"/>
      <c r="L1135" s="22"/>
      <c r="M1135" s="245"/>
      <c r="N1135" s="245"/>
      <c r="O1135" s="245"/>
      <c r="P1135" s="245"/>
      <c r="Q1135" s="941"/>
    </row>
    <row r="1136" spans="2:17" ht="29.25" customHeight="1" x14ac:dyDescent="0.2">
      <c r="B1136" s="935"/>
      <c r="C1136" s="223">
        <v>1</v>
      </c>
      <c r="D1136" s="213"/>
      <c r="E1136" s="653" t="s">
        <v>688</v>
      </c>
      <c r="F1136" s="1340">
        <v>3491927.1</v>
      </c>
      <c r="G1136" s="1340">
        <v>1221100</v>
      </c>
      <c r="H1136" s="1547"/>
      <c r="I1136" s="1547">
        <f>2428.08+956792.16</f>
        <v>959220.24</v>
      </c>
      <c r="J1136" s="1547">
        <v>527396.93999999994</v>
      </c>
      <c r="K1136" s="942"/>
      <c r="L1136" s="22"/>
      <c r="M1136" s="245"/>
      <c r="N1136" s="245"/>
      <c r="O1136" s="245"/>
      <c r="P1136" s="245"/>
      <c r="Q1136" s="941"/>
    </row>
    <row r="1137" spans="2:17" ht="29.25" customHeight="1" x14ac:dyDescent="0.2">
      <c r="B1137" s="2025" t="s">
        <v>3104</v>
      </c>
      <c r="C1137" s="2026"/>
      <c r="D1137" s="2026"/>
      <c r="E1137" s="2026"/>
      <c r="F1137" s="1572">
        <f t="shared" ref="F1137:G1137" si="51">SUM(F1126:F1135)</f>
        <v>3571867.3459399678</v>
      </c>
      <c r="G1137" s="1572">
        <f t="shared" si="51"/>
        <v>1266596.5</v>
      </c>
      <c r="H1137" s="1572">
        <f>H1125+H1132</f>
        <v>28539.9</v>
      </c>
      <c r="I1137" s="1572">
        <f t="shared" ref="I1137:J1137" si="52">SUM(I1126:I1135)</f>
        <v>1005809.34</v>
      </c>
      <c r="J1137" s="1572">
        <f t="shared" si="52"/>
        <v>574540.84</v>
      </c>
      <c r="K1137" s="1345"/>
      <c r="L1137" s="1863"/>
      <c r="M1137" s="1863"/>
      <c r="N1137" s="1863"/>
      <c r="O1137" s="1863"/>
      <c r="P1137" s="1863"/>
      <c r="Q1137" s="1864"/>
    </row>
    <row r="1138" spans="2:17" ht="29.25" customHeight="1" x14ac:dyDescent="0.2">
      <c r="B1138" s="1872" t="s">
        <v>1523</v>
      </c>
      <c r="C1138" s="1873"/>
      <c r="D1138" s="1873"/>
      <c r="E1138" s="1873"/>
      <c r="F1138" s="1873"/>
      <c r="G1138" s="1873"/>
      <c r="H1138" s="1873"/>
      <c r="I1138" s="1873"/>
      <c r="J1138" s="1873"/>
      <c r="K1138" s="1873"/>
      <c r="L1138" s="1873"/>
      <c r="M1138" s="1873"/>
      <c r="N1138" s="1873"/>
      <c r="O1138" s="1873"/>
      <c r="P1138" s="943"/>
      <c r="Q1138" s="944"/>
    </row>
    <row r="1139" spans="2:17" ht="62.25" customHeight="1" x14ac:dyDescent="0.2">
      <c r="B1139" s="1453" t="s">
        <v>111</v>
      </c>
      <c r="C1139" s="590"/>
      <c r="D1139" s="596"/>
      <c r="E1139" s="160" t="s">
        <v>3062</v>
      </c>
      <c r="F1139" s="1571">
        <f t="shared" ref="F1139:J1139" si="53">F1140+F1141+F1142+F1143+F1144+F1145+F1146</f>
        <v>27256.899999999998</v>
      </c>
      <c r="G1139" s="1571">
        <f t="shared" si="53"/>
        <v>19256.899999999998</v>
      </c>
      <c r="H1139" s="1571">
        <f>H1140+H1141+H1142+H1143+H1144+H1145</f>
        <v>17256.899999999998</v>
      </c>
      <c r="I1139" s="1571">
        <f t="shared" si="53"/>
        <v>21026.6</v>
      </c>
      <c r="J1139" s="1571">
        <f t="shared" si="53"/>
        <v>22077.93</v>
      </c>
      <c r="K1139" s="1348" t="s">
        <v>1524</v>
      </c>
      <c r="L1139" s="591" t="s">
        <v>16</v>
      </c>
      <c r="M1139" s="40"/>
      <c r="N1139" s="40"/>
      <c r="O1139" s="40"/>
      <c r="P1139" s="40"/>
      <c r="Q1139" s="945"/>
    </row>
    <row r="1140" spans="2:17" ht="29.25" customHeight="1" x14ac:dyDescent="0.2">
      <c r="B1140" s="1454"/>
      <c r="C1140" s="596" t="s">
        <v>114</v>
      </c>
      <c r="D1140" s="596"/>
      <c r="E1140" s="600" t="s">
        <v>23</v>
      </c>
      <c r="F1140" s="1568">
        <v>3841.6000000000004</v>
      </c>
      <c r="G1140" s="1568">
        <v>3841.6000000000004</v>
      </c>
      <c r="H1140" s="1568">
        <v>3841.6000000000004</v>
      </c>
      <c r="I1140" s="1568">
        <v>4611.3</v>
      </c>
      <c r="J1140" s="1568">
        <f>(I1140)*5%+4611.3</f>
        <v>4841.8649999999998</v>
      </c>
      <c r="K1140" s="1349" t="s">
        <v>18</v>
      </c>
      <c r="L1140" s="668" t="s">
        <v>19</v>
      </c>
      <c r="M1140" s="40"/>
      <c r="N1140" s="40"/>
      <c r="O1140" s="40"/>
      <c r="P1140" s="40"/>
      <c r="Q1140" s="945"/>
    </row>
    <row r="1141" spans="2:17" ht="29.25" customHeight="1" x14ac:dyDescent="0.2">
      <c r="B1141" s="1454"/>
      <c r="C1141" s="596" t="s">
        <v>116</v>
      </c>
      <c r="D1141" s="596"/>
      <c r="E1141" s="600" t="s">
        <v>25</v>
      </c>
      <c r="F1141" s="1568">
        <v>3180</v>
      </c>
      <c r="G1141" s="1568">
        <v>3180</v>
      </c>
      <c r="H1141" s="1568">
        <v>3180</v>
      </c>
      <c r="I1141" s="1568">
        <v>3180</v>
      </c>
      <c r="J1141" s="1568">
        <f>I1141*5%+3180</f>
        <v>3339</v>
      </c>
      <c r="K1141" s="1349" t="s">
        <v>1525</v>
      </c>
      <c r="L1141" s="668" t="s">
        <v>16</v>
      </c>
      <c r="M1141" s="40">
        <v>100</v>
      </c>
      <c r="N1141" s="40">
        <v>100</v>
      </c>
      <c r="O1141" s="40">
        <v>100</v>
      </c>
      <c r="P1141" s="40">
        <v>100</v>
      </c>
      <c r="Q1141" s="945">
        <v>100</v>
      </c>
    </row>
    <row r="1142" spans="2:17" ht="29.25" customHeight="1" x14ac:dyDescent="0.2">
      <c r="B1142" s="1454"/>
      <c r="C1142" s="596" t="s">
        <v>119</v>
      </c>
      <c r="D1142" s="596"/>
      <c r="E1142" s="600" t="s">
        <v>1526</v>
      </c>
      <c r="F1142" s="1568">
        <v>5019.3999999999996</v>
      </c>
      <c r="G1142" s="1568">
        <v>5019.3999999999996</v>
      </c>
      <c r="H1142" s="1568">
        <v>5019.3999999999996</v>
      </c>
      <c r="I1142" s="1568">
        <v>5019.3999999999996</v>
      </c>
      <c r="J1142" s="1568">
        <f>I1142*5%+5019.4</f>
        <v>5270.37</v>
      </c>
      <c r="K1142" s="1349" t="s">
        <v>1527</v>
      </c>
      <c r="L1142" s="668" t="s">
        <v>16</v>
      </c>
      <c r="M1142" s="40">
        <v>100</v>
      </c>
      <c r="N1142" s="40">
        <v>100</v>
      </c>
      <c r="O1142" s="40">
        <v>100</v>
      </c>
      <c r="P1142" s="40">
        <v>100</v>
      </c>
      <c r="Q1142" s="945">
        <v>100</v>
      </c>
    </row>
    <row r="1143" spans="2:17" ht="29.25" customHeight="1" x14ac:dyDescent="0.2">
      <c r="B1143" s="1454"/>
      <c r="C1143" s="596" t="s">
        <v>124</v>
      </c>
      <c r="D1143" s="596"/>
      <c r="E1143" s="586" t="s">
        <v>1528</v>
      </c>
      <c r="F1143" s="1568">
        <v>1923.3</v>
      </c>
      <c r="G1143" s="1568">
        <v>1923.3</v>
      </c>
      <c r="H1143" s="1568">
        <v>1923.3</v>
      </c>
      <c r="I1143" s="1568">
        <v>1923.3</v>
      </c>
      <c r="J1143" s="1568">
        <f>I1143*5%+1923.3</f>
        <v>2019.4649999999999</v>
      </c>
      <c r="K1143" s="1349" t="s">
        <v>1529</v>
      </c>
      <c r="L1143" s="668" t="s">
        <v>1530</v>
      </c>
      <c r="M1143" s="40">
        <v>100</v>
      </c>
      <c r="N1143" s="40">
        <v>100</v>
      </c>
      <c r="O1143" s="40">
        <v>100</v>
      </c>
      <c r="P1143" s="40">
        <v>100</v>
      </c>
      <c r="Q1143" s="945">
        <v>100</v>
      </c>
    </row>
    <row r="1144" spans="2:17" ht="29.25" customHeight="1" x14ac:dyDescent="0.2">
      <c r="B1144" s="1454"/>
      <c r="C1144" s="596" t="s">
        <v>128</v>
      </c>
      <c r="D1144" s="596"/>
      <c r="E1144" s="586" t="s">
        <v>1531</v>
      </c>
      <c r="F1144" s="1568">
        <v>1878.3</v>
      </c>
      <c r="G1144" s="1568">
        <v>1878.3</v>
      </c>
      <c r="H1144" s="1568">
        <v>1878.3</v>
      </c>
      <c r="I1144" s="1568">
        <v>1878.3</v>
      </c>
      <c r="J1144" s="1568">
        <f>I1144*5%+1878.3</f>
        <v>1972.2149999999999</v>
      </c>
      <c r="K1144" s="1349" t="s">
        <v>1532</v>
      </c>
      <c r="L1144" s="668" t="s">
        <v>1533</v>
      </c>
      <c r="M1144" s="40">
        <v>15</v>
      </c>
      <c r="N1144" s="40">
        <v>15</v>
      </c>
      <c r="O1144" s="40">
        <v>15</v>
      </c>
      <c r="P1144" s="40">
        <v>15</v>
      </c>
      <c r="Q1144" s="945">
        <v>15</v>
      </c>
    </row>
    <row r="1145" spans="2:17" ht="58.5" customHeight="1" x14ac:dyDescent="0.2">
      <c r="B1145" s="1454"/>
      <c r="C1145" s="596" t="s">
        <v>803</v>
      </c>
      <c r="D1145" s="596"/>
      <c r="E1145" s="586" t="s">
        <v>1301</v>
      </c>
      <c r="F1145" s="1568">
        <v>1414.3</v>
      </c>
      <c r="G1145" s="1568">
        <v>1414.3</v>
      </c>
      <c r="H1145" s="1568">
        <v>1414.3</v>
      </c>
      <c r="I1145" s="1568">
        <v>1414.3</v>
      </c>
      <c r="J1145" s="1568">
        <f>I1145*5%+1414.3</f>
        <v>1485.0149999999999</v>
      </c>
      <c r="K1145" s="1349" t="s">
        <v>1534</v>
      </c>
      <c r="L1145" s="668" t="s">
        <v>16</v>
      </c>
      <c r="M1145" s="40">
        <v>15</v>
      </c>
      <c r="N1145" s="40">
        <v>15</v>
      </c>
      <c r="O1145" s="40">
        <v>15</v>
      </c>
      <c r="P1145" s="40">
        <v>15</v>
      </c>
      <c r="Q1145" s="945">
        <v>15</v>
      </c>
    </row>
    <row r="1146" spans="2:17" ht="29.25" customHeight="1" x14ac:dyDescent="0.2">
      <c r="B1146" s="1454"/>
      <c r="C1146" s="596" t="s">
        <v>804</v>
      </c>
      <c r="D1146" s="596"/>
      <c r="E1146" s="586" t="s">
        <v>1302</v>
      </c>
      <c r="F1146" s="1568">
        <v>10000</v>
      </c>
      <c r="G1146" s="1568">
        <v>2000</v>
      </c>
      <c r="H1146" s="1568"/>
      <c r="I1146" s="1568">
        <v>3000</v>
      </c>
      <c r="J1146" s="1568">
        <f>I1146*5%+3000</f>
        <v>3150</v>
      </c>
      <c r="K1146" s="1349" t="s">
        <v>1535</v>
      </c>
      <c r="L1146" s="668" t="s">
        <v>1533</v>
      </c>
      <c r="M1146" s="668" t="s">
        <v>1536</v>
      </c>
      <c r="N1146" s="668" t="s">
        <v>1536</v>
      </c>
      <c r="O1146" s="668" t="s">
        <v>1536</v>
      </c>
      <c r="P1146" s="40" t="s">
        <v>1298</v>
      </c>
      <c r="Q1146" s="945" t="s">
        <v>1298</v>
      </c>
    </row>
    <row r="1147" spans="2:17" ht="46.5" customHeight="1" x14ac:dyDescent="0.2">
      <c r="B1147" s="1453" t="s">
        <v>131</v>
      </c>
      <c r="C1147" s="590"/>
      <c r="D1147" s="590"/>
      <c r="E1147" s="160" t="s">
        <v>3063</v>
      </c>
      <c r="F1147" s="1571">
        <f t="shared" ref="F1147:J1147" si="54">F1148+F1150+F1157+F1162+F1165+F1169</f>
        <v>146283.5</v>
      </c>
      <c r="G1147" s="1571">
        <f t="shared" si="54"/>
        <v>143983.5</v>
      </c>
      <c r="H1147" s="1571">
        <f>H1148+H1150+H1157+H1162+H1165</f>
        <v>85576.4</v>
      </c>
      <c r="I1147" s="1571">
        <f t="shared" si="54"/>
        <v>144818.9</v>
      </c>
      <c r="J1147" s="1571">
        <f t="shared" si="54"/>
        <v>152059.845</v>
      </c>
      <c r="K1147" s="1348" t="s">
        <v>1537</v>
      </c>
      <c r="L1147" s="140" t="s">
        <v>809</v>
      </c>
      <c r="M1147" s="127">
        <v>99</v>
      </c>
      <c r="N1147" s="127">
        <v>71</v>
      </c>
      <c r="O1147" s="127">
        <v>71</v>
      </c>
      <c r="P1147" s="127">
        <v>71</v>
      </c>
      <c r="Q1147" s="947">
        <v>71</v>
      </c>
    </row>
    <row r="1148" spans="2:17" ht="54.75" customHeight="1" x14ac:dyDescent="0.2">
      <c r="B1148" s="2042"/>
      <c r="C1148" s="2043" t="s">
        <v>114</v>
      </c>
      <c r="D1148" s="2043"/>
      <c r="E1148" s="2041" t="s">
        <v>1538</v>
      </c>
      <c r="F1148" s="1818">
        <v>2078.8000000000002</v>
      </c>
      <c r="G1148" s="1818">
        <v>2278.8000000000002</v>
      </c>
      <c r="H1148" s="1818">
        <v>2478.8000000000002</v>
      </c>
      <c r="I1148" s="1818">
        <v>2978.8</v>
      </c>
      <c r="J1148" s="1818">
        <f>I1148*5%+2978.8</f>
        <v>3127.7400000000002</v>
      </c>
      <c r="K1148" s="1349" t="s">
        <v>1539</v>
      </c>
      <c r="L1148" s="668" t="s">
        <v>1533</v>
      </c>
      <c r="M1148" s="40">
        <v>3</v>
      </c>
      <c r="N1148" s="40">
        <v>3</v>
      </c>
      <c r="O1148" s="40">
        <v>3</v>
      </c>
      <c r="P1148" s="40">
        <v>3</v>
      </c>
      <c r="Q1148" s="945">
        <v>3</v>
      </c>
    </row>
    <row r="1149" spans="2:17" ht="57" customHeight="1" x14ac:dyDescent="0.2">
      <c r="B1149" s="2042"/>
      <c r="C1149" s="2043"/>
      <c r="D1149" s="2043"/>
      <c r="E1149" s="2041"/>
      <c r="F1149" s="1818"/>
      <c r="G1149" s="1818"/>
      <c r="H1149" s="1818"/>
      <c r="I1149" s="1818"/>
      <c r="J1149" s="1818"/>
      <c r="K1149" s="1349" t="s">
        <v>1540</v>
      </c>
      <c r="L1149" s="668" t="s">
        <v>1533</v>
      </c>
      <c r="M1149" s="40">
        <v>15</v>
      </c>
      <c r="N1149" s="40">
        <v>15</v>
      </c>
      <c r="O1149" s="40">
        <v>15</v>
      </c>
      <c r="P1149" s="40">
        <v>15</v>
      </c>
      <c r="Q1149" s="945">
        <v>15</v>
      </c>
    </row>
    <row r="1150" spans="2:17" ht="52.5" customHeight="1" x14ac:dyDescent="0.2">
      <c r="B1150" s="2042"/>
      <c r="C1150" s="2043" t="s">
        <v>116</v>
      </c>
      <c r="D1150" s="2043"/>
      <c r="E1150" s="2041" t="s">
        <v>1541</v>
      </c>
      <c r="F1150" s="1818">
        <v>4306.1000000000004</v>
      </c>
      <c r="G1150" s="1818">
        <v>4306.1000000000004</v>
      </c>
      <c r="H1150" s="1818">
        <v>4306.1000000000004</v>
      </c>
      <c r="I1150" s="1818">
        <v>4306.1000000000004</v>
      </c>
      <c r="J1150" s="1818">
        <f>I1150*5%+4306.1</f>
        <v>4521.4050000000007</v>
      </c>
      <c r="K1150" s="942" t="s">
        <v>1542</v>
      </c>
      <c r="L1150" s="668" t="s">
        <v>1533</v>
      </c>
      <c r="M1150" s="668" t="s">
        <v>1543</v>
      </c>
      <c r="N1150" s="668" t="s">
        <v>1543</v>
      </c>
      <c r="O1150" s="668" t="s">
        <v>1543</v>
      </c>
      <c r="P1150" s="668" t="s">
        <v>1543</v>
      </c>
      <c r="Q1150" s="668" t="s">
        <v>1543</v>
      </c>
    </row>
    <row r="1151" spans="2:17" ht="60" customHeight="1" x14ac:dyDescent="0.2">
      <c r="B1151" s="2042"/>
      <c r="C1151" s="2043"/>
      <c r="D1151" s="2043"/>
      <c r="E1151" s="2041"/>
      <c r="F1151" s="1818"/>
      <c r="G1151" s="1818"/>
      <c r="H1151" s="1818"/>
      <c r="I1151" s="1818"/>
      <c r="J1151" s="1818"/>
      <c r="K1151" s="942" t="s">
        <v>1542</v>
      </c>
      <c r="L1151" s="668" t="s">
        <v>1533</v>
      </c>
      <c r="M1151" s="668" t="s">
        <v>1544</v>
      </c>
      <c r="N1151" s="668" t="s">
        <v>1544</v>
      </c>
      <c r="O1151" s="668" t="s">
        <v>1544</v>
      </c>
      <c r="P1151" s="668" t="s">
        <v>1544</v>
      </c>
      <c r="Q1151" s="668" t="s">
        <v>1544</v>
      </c>
    </row>
    <row r="1152" spans="2:17" ht="48.75" customHeight="1" x14ac:dyDescent="0.2">
      <c r="B1152" s="2042"/>
      <c r="C1152" s="2043"/>
      <c r="D1152" s="2043"/>
      <c r="E1152" s="2041"/>
      <c r="F1152" s="1818"/>
      <c r="G1152" s="1818"/>
      <c r="H1152" s="1818"/>
      <c r="I1152" s="1818"/>
      <c r="J1152" s="1818"/>
      <c r="K1152" s="942" t="s">
        <v>1545</v>
      </c>
      <c r="L1152" s="668" t="s">
        <v>1533</v>
      </c>
      <c r="M1152" s="668" t="s">
        <v>1544</v>
      </c>
      <c r="N1152" s="668" t="s">
        <v>1544</v>
      </c>
      <c r="O1152" s="668" t="s">
        <v>1544</v>
      </c>
      <c r="P1152" s="668" t="s">
        <v>1544</v>
      </c>
      <c r="Q1152" s="668" t="s">
        <v>1544</v>
      </c>
    </row>
    <row r="1153" spans="2:17" ht="46.5" customHeight="1" x14ac:dyDescent="0.2">
      <c r="B1153" s="2042"/>
      <c r="C1153" s="2043"/>
      <c r="D1153" s="2043"/>
      <c r="E1153" s="2041"/>
      <c r="F1153" s="1818"/>
      <c r="G1153" s="1818"/>
      <c r="H1153" s="1818"/>
      <c r="I1153" s="1818"/>
      <c r="J1153" s="1818"/>
      <c r="K1153" s="942" t="s">
        <v>1546</v>
      </c>
      <c r="L1153" s="668" t="s">
        <v>1533</v>
      </c>
      <c r="M1153" s="668" t="s">
        <v>1544</v>
      </c>
      <c r="N1153" s="668" t="s">
        <v>1544</v>
      </c>
      <c r="O1153" s="668" t="s">
        <v>1544</v>
      </c>
      <c r="P1153" s="668" t="s">
        <v>1544</v>
      </c>
      <c r="Q1153" s="668" t="s">
        <v>1544</v>
      </c>
    </row>
    <row r="1154" spans="2:17" ht="52.5" customHeight="1" x14ac:dyDescent="0.2">
      <c r="B1154" s="2042"/>
      <c r="C1154" s="2043"/>
      <c r="D1154" s="2043"/>
      <c r="E1154" s="2041"/>
      <c r="F1154" s="1818"/>
      <c r="G1154" s="1818"/>
      <c r="H1154" s="1818"/>
      <c r="I1154" s="1818"/>
      <c r="J1154" s="1818"/>
      <c r="K1154" s="942" t="s">
        <v>1547</v>
      </c>
      <c r="L1154" s="668" t="s">
        <v>1533</v>
      </c>
      <c r="M1154" s="668" t="s">
        <v>1544</v>
      </c>
      <c r="N1154" s="668" t="s">
        <v>1544</v>
      </c>
      <c r="O1154" s="668" t="s">
        <v>1544</v>
      </c>
      <c r="P1154" s="668" t="s">
        <v>1544</v>
      </c>
      <c r="Q1154" s="668" t="s">
        <v>1544</v>
      </c>
    </row>
    <row r="1155" spans="2:17" ht="56.25" customHeight="1" x14ac:dyDescent="0.2">
      <c r="B1155" s="2042"/>
      <c r="C1155" s="2043"/>
      <c r="D1155" s="2043"/>
      <c r="E1155" s="2041"/>
      <c r="F1155" s="1818"/>
      <c r="G1155" s="1818"/>
      <c r="H1155" s="1818"/>
      <c r="I1155" s="1818"/>
      <c r="J1155" s="1818"/>
      <c r="K1155" s="942" t="s">
        <v>1548</v>
      </c>
      <c r="L1155" s="668"/>
      <c r="M1155" s="668" t="s">
        <v>1544</v>
      </c>
      <c r="N1155" s="668" t="s">
        <v>1544</v>
      </c>
      <c r="O1155" s="668" t="s">
        <v>1544</v>
      </c>
      <c r="P1155" s="668" t="s">
        <v>1544</v>
      </c>
      <c r="Q1155" s="668" t="s">
        <v>1544</v>
      </c>
    </row>
    <row r="1156" spans="2:17" ht="64.5" customHeight="1" x14ac:dyDescent="0.2">
      <c r="B1156" s="2042"/>
      <c r="C1156" s="2043"/>
      <c r="D1156" s="2043"/>
      <c r="E1156" s="2041"/>
      <c r="F1156" s="1818"/>
      <c r="G1156" s="1818"/>
      <c r="H1156" s="1818"/>
      <c r="I1156" s="1818"/>
      <c r="J1156" s="1818"/>
      <c r="K1156" s="942" t="s">
        <v>1549</v>
      </c>
      <c r="L1156" s="668"/>
      <c r="M1156" s="668" t="s">
        <v>1544</v>
      </c>
      <c r="N1156" s="668" t="s">
        <v>1544</v>
      </c>
      <c r="O1156" s="668" t="s">
        <v>1544</v>
      </c>
      <c r="P1156" s="668" t="s">
        <v>1544</v>
      </c>
      <c r="Q1156" s="945" t="s">
        <v>1299</v>
      </c>
    </row>
    <row r="1157" spans="2:17" ht="29.25" customHeight="1" x14ac:dyDescent="0.2">
      <c r="B1157" s="2042"/>
      <c r="C1157" s="2043" t="s">
        <v>119</v>
      </c>
      <c r="D1157" s="2043"/>
      <c r="E1157" s="2041" t="s">
        <v>1550</v>
      </c>
      <c r="F1157" s="1818">
        <v>78161.8</v>
      </c>
      <c r="G1157" s="1818">
        <v>78161.8</v>
      </c>
      <c r="H1157" s="1818">
        <f>68161.8+669.7</f>
        <v>68831.5</v>
      </c>
      <c r="I1157" s="1818">
        <v>78161.8</v>
      </c>
      <c r="J1157" s="1818">
        <f>I1157*5%+78161.8</f>
        <v>82069.89</v>
      </c>
      <c r="K1157" s="942" t="s">
        <v>1551</v>
      </c>
      <c r="L1157" s="668" t="s">
        <v>1533</v>
      </c>
      <c r="M1157" s="668" t="s">
        <v>1536</v>
      </c>
      <c r="N1157" s="668" t="s">
        <v>1536</v>
      </c>
      <c r="O1157" s="668" t="s">
        <v>1536</v>
      </c>
      <c r="P1157" s="668" t="s">
        <v>1536</v>
      </c>
      <c r="Q1157" s="668" t="s">
        <v>1536</v>
      </c>
    </row>
    <row r="1158" spans="2:17" ht="29.25" customHeight="1" x14ac:dyDescent="0.2">
      <c r="B1158" s="2042"/>
      <c r="C1158" s="2043"/>
      <c r="D1158" s="2043"/>
      <c r="E1158" s="2041"/>
      <c r="F1158" s="1818"/>
      <c r="G1158" s="1818"/>
      <c r="H1158" s="1818"/>
      <c r="I1158" s="1818"/>
      <c r="J1158" s="1818"/>
      <c r="K1158" s="942" t="s">
        <v>1552</v>
      </c>
      <c r="L1158" s="668" t="s">
        <v>1533</v>
      </c>
      <c r="M1158" s="668" t="s">
        <v>1536</v>
      </c>
      <c r="N1158" s="668" t="s">
        <v>1536</v>
      </c>
      <c r="O1158" s="668" t="s">
        <v>1536</v>
      </c>
      <c r="P1158" s="668" t="s">
        <v>1536</v>
      </c>
      <c r="Q1158" s="668" t="s">
        <v>1536</v>
      </c>
    </row>
    <row r="1159" spans="2:17" ht="29.25" customHeight="1" x14ac:dyDescent="0.2">
      <c r="B1159" s="2042"/>
      <c r="C1159" s="2043"/>
      <c r="D1159" s="2043"/>
      <c r="E1159" s="2041"/>
      <c r="F1159" s="1818"/>
      <c r="G1159" s="1818"/>
      <c r="H1159" s="1818"/>
      <c r="I1159" s="1818"/>
      <c r="J1159" s="1818"/>
      <c r="K1159" s="942" t="s">
        <v>1553</v>
      </c>
      <c r="L1159" s="668" t="s">
        <v>1533</v>
      </c>
      <c r="M1159" s="668" t="s">
        <v>1536</v>
      </c>
      <c r="N1159" s="668" t="s">
        <v>1536</v>
      </c>
      <c r="O1159" s="668" t="s">
        <v>1536</v>
      </c>
      <c r="P1159" s="668" t="s">
        <v>1536</v>
      </c>
      <c r="Q1159" s="668" t="s">
        <v>1536</v>
      </c>
    </row>
    <row r="1160" spans="2:17" ht="29.25" customHeight="1" x14ac:dyDescent="0.2">
      <c r="B1160" s="2042"/>
      <c r="C1160" s="2043"/>
      <c r="D1160" s="2043"/>
      <c r="E1160" s="2041"/>
      <c r="F1160" s="1818"/>
      <c r="G1160" s="1818"/>
      <c r="H1160" s="1818"/>
      <c r="I1160" s="1818"/>
      <c r="J1160" s="1818"/>
      <c r="K1160" s="942" t="s">
        <v>1554</v>
      </c>
      <c r="L1160" s="668" t="s">
        <v>1533</v>
      </c>
      <c r="M1160" s="40">
        <v>17</v>
      </c>
      <c r="N1160" s="40">
        <v>17</v>
      </c>
      <c r="O1160" s="40">
        <v>17</v>
      </c>
      <c r="P1160" s="40">
        <v>17</v>
      </c>
      <c r="Q1160" s="945">
        <v>17</v>
      </c>
    </row>
    <row r="1161" spans="2:17" ht="29.25" customHeight="1" x14ac:dyDescent="0.2">
      <c r="B1161" s="2042"/>
      <c r="C1161" s="2043"/>
      <c r="D1161" s="2043"/>
      <c r="E1161" s="2041"/>
      <c r="F1161" s="1818"/>
      <c r="G1161" s="1818"/>
      <c r="H1161" s="1818"/>
      <c r="I1161" s="1818"/>
      <c r="J1161" s="1818"/>
      <c r="K1161" s="942" t="s">
        <v>1555</v>
      </c>
      <c r="L1161" s="668" t="s">
        <v>1533</v>
      </c>
      <c r="M1161" s="40">
        <v>45</v>
      </c>
      <c r="N1161" s="40">
        <v>61</v>
      </c>
      <c r="O1161" s="40">
        <v>61</v>
      </c>
      <c r="P1161" s="40">
        <v>61</v>
      </c>
      <c r="Q1161" s="945">
        <v>61</v>
      </c>
    </row>
    <row r="1162" spans="2:17" ht="29.25" customHeight="1" x14ac:dyDescent="0.2">
      <c r="B1162" s="2042"/>
      <c r="C1162" s="2043" t="s">
        <v>124</v>
      </c>
      <c r="D1162" s="2043"/>
      <c r="E1162" s="2041" t="s">
        <v>1556</v>
      </c>
      <c r="F1162" s="1818">
        <v>7324.6</v>
      </c>
      <c r="G1162" s="1818">
        <v>7824.6</v>
      </c>
      <c r="H1162" s="1818">
        <v>7960</v>
      </c>
      <c r="I1162" s="1818">
        <v>7960</v>
      </c>
      <c r="J1162" s="1818">
        <f>I1162*5%+7960</f>
        <v>8358</v>
      </c>
      <c r="K1162" s="942" t="s">
        <v>1557</v>
      </c>
      <c r="L1162" s="668" t="s">
        <v>1178</v>
      </c>
      <c r="M1162" s="40">
        <v>1</v>
      </c>
      <c r="N1162" s="40">
        <v>1</v>
      </c>
      <c r="O1162" s="40">
        <v>1</v>
      </c>
      <c r="P1162" s="40">
        <v>1</v>
      </c>
      <c r="Q1162" s="945">
        <v>1</v>
      </c>
    </row>
    <row r="1163" spans="2:17" ht="29.25" customHeight="1" x14ac:dyDescent="0.2">
      <c r="B1163" s="2042"/>
      <c r="C1163" s="2043"/>
      <c r="D1163" s="2043"/>
      <c r="E1163" s="2041"/>
      <c r="F1163" s="1818"/>
      <c r="G1163" s="1818"/>
      <c r="H1163" s="1818"/>
      <c r="I1163" s="1818"/>
      <c r="J1163" s="1818"/>
      <c r="K1163" s="942" t="s">
        <v>1558</v>
      </c>
      <c r="L1163" s="668" t="s">
        <v>1178</v>
      </c>
      <c r="M1163" s="40">
        <v>2</v>
      </c>
      <c r="N1163" s="40">
        <v>2</v>
      </c>
      <c r="O1163" s="40">
        <v>2</v>
      </c>
      <c r="P1163" s="40">
        <v>2</v>
      </c>
      <c r="Q1163" s="945">
        <v>2</v>
      </c>
    </row>
    <row r="1164" spans="2:17" ht="29.25" customHeight="1" x14ac:dyDescent="0.2">
      <c r="B1164" s="2042"/>
      <c r="C1164" s="2043"/>
      <c r="D1164" s="2043"/>
      <c r="E1164" s="2041"/>
      <c r="F1164" s="1818"/>
      <c r="G1164" s="1818"/>
      <c r="H1164" s="1818"/>
      <c r="I1164" s="1818"/>
      <c r="J1164" s="1818"/>
      <c r="K1164" s="1350" t="s">
        <v>1559</v>
      </c>
      <c r="L1164" s="668" t="s">
        <v>1178</v>
      </c>
      <c r="M1164" s="40">
        <v>3</v>
      </c>
      <c r="N1164" s="40">
        <v>3</v>
      </c>
      <c r="O1164" s="40">
        <v>3</v>
      </c>
      <c r="P1164" s="40">
        <v>3</v>
      </c>
      <c r="Q1164" s="945">
        <v>3</v>
      </c>
    </row>
    <row r="1165" spans="2:17" ht="29.25" customHeight="1" x14ac:dyDescent="0.2">
      <c r="B1165" s="2042"/>
      <c r="C1165" s="2043" t="s">
        <v>128</v>
      </c>
      <c r="D1165" s="2043"/>
      <c r="E1165" s="2041" t="s">
        <v>1560</v>
      </c>
      <c r="F1165" s="1818">
        <v>5000</v>
      </c>
      <c r="G1165" s="1818">
        <v>2000</v>
      </c>
      <c r="H1165" s="1818">
        <v>2000</v>
      </c>
      <c r="I1165" s="1818">
        <v>2000</v>
      </c>
      <c r="J1165" s="1818">
        <f>I1165*5%+2000</f>
        <v>2100</v>
      </c>
      <c r="K1165" s="942" t="s">
        <v>1561</v>
      </c>
      <c r="L1165" s="668" t="s">
        <v>1178</v>
      </c>
      <c r="M1165" s="40">
        <v>100</v>
      </c>
      <c r="N1165" s="40">
        <v>100</v>
      </c>
      <c r="O1165" s="40">
        <v>100</v>
      </c>
      <c r="P1165" s="40">
        <v>100</v>
      </c>
      <c r="Q1165" s="945">
        <v>100</v>
      </c>
    </row>
    <row r="1166" spans="2:17" ht="29.25" customHeight="1" x14ac:dyDescent="0.2">
      <c r="B1166" s="2042"/>
      <c r="C1166" s="2043"/>
      <c r="D1166" s="2043"/>
      <c r="E1166" s="2041"/>
      <c r="F1166" s="1818"/>
      <c r="G1166" s="1818"/>
      <c r="H1166" s="1818"/>
      <c r="I1166" s="1818"/>
      <c r="J1166" s="1818"/>
      <c r="K1166" s="942" t="s">
        <v>1562</v>
      </c>
      <c r="L1166" s="668" t="s">
        <v>1178</v>
      </c>
      <c r="M1166" s="40">
        <v>5</v>
      </c>
      <c r="N1166" s="40">
        <v>5</v>
      </c>
      <c r="O1166" s="40">
        <v>5</v>
      </c>
      <c r="P1166" s="40">
        <v>5</v>
      </c>
      <c r="Q1166" s="945">
        <v>5</v>
      </c>
    </row>
    <row r="1167" spans="2:17" ht="29.25" customHeight="1" x14ac:dyDescent="0.2">
      <c r="B1167" s="2042"/>
      <c r="C1167" s="2043"/>
      <c r="D1167" s="2043"/>
      <c r="E1167" s="2041"/>
      <c r="F1167" s="1818"/>
      <c r="G1167" s="1818"/>
      <c r="H1167" s="1818"/>
      <c r="I1167" s="1818"/>
      <c r="J1167" s="1818"/>
      <c r="K1167" s="942" t="s">
        <v>1563</v>
      </c>
      <c r="L1167" s="591" t="s">
        <v>1303</v>
      </c>
      <c r="M1167" s="40">
        <v>33</v>
      </c>
      <c r="N1167" s="40">
        <v>33</v>
      </c>
      <c r="O1167" s="40">
        <v>33</v>
      </c>
      <c r="P1167" s="40">
        <v>33</v>
      </c>
      <c r="Q1167" s="945">
        <v>33</v>
      </c>
    </row>
    <row r="1168" spans="2:17" ht="29.25" customHeight="1" x14ac:dyDescent="0.2">
      <c r="B1168" s="2042"/>
      <c r="C1168" s="2043"/>
      <c r="D1168" s="2043"/>
      <c r="E1168" s="2041"/>
      <c r="F1168" s="1818"/>
      <c r="G1168" s="1818"/>
      <c r="H1168" s="1818"/>
      <c r="I1168" s="1818"/>
      <c r="J1168" s="1818"/>
      <c r="K1168" s="942" t="s">
        <v>1564</v>
      </c>
      <c r="L1168" s="668" t="s">
        <v>1178</v>
      </c>
      <c r="M1168" s="40">
        <v>30</v>
      </c>
      <c r="N1168" s="40">
        <v>30</v>
      </c>
      <c r="O1168" s="40">
        <v>30</v>
      </c>
      <c r="P1168" s="40">
        <v>30</v>
      </c>
      <c r="Q1168" s="945">
        <v>30</v>
      </c>
    </row>
    <row r="1169" spans="2:17" ht="29.25" customHeight="1" x14ac:dyDescent="0.2">
      <c r="B1169" s="1454"/>
      <c r="C1169" s="596" t="s">
        <v>202</v>
      </c>
      <c r="D1169" s="596"/>
      <c r="E1169" s="586" t="s">
        <v>1565</v>
      </c>
      <c r="F1169" s="1568">
        <v>49412.2</v>
      </c>
      <c r="G1169" s="1568">
        <v>49412.2</v>
      </c>
      <c r="H1169" s="1568"/>
      <c r="I1169" s="1568">
        <v>49412.2</v>
      </c>
      <c r="J1169" s="1568">
        <f>I1169*5%+49412.2</f>
        <v>51882.81</v>
      </c>
      <c r="K1169" s="942" t="s">
        <v>1566</v>
      </c>
      <c r="L1169" s="668" t="s">
        <v>1533</v>
      </c>
      <c r="M1169" s="668" t="s">
        <v>1536</v>
      </c>
      <c r="N1169" s="668" t="s">
        <v>1536</v>
      </c>
      <c r="O1169" s="668" t="s">
        <v>1536</v>
      </c>
      <c r="P1169" s="668" t="s">
        <v>1536</v>
      </c>
      <c r="Q1169" s="668" t="s">
        <v>1536</v>
      </c>
    </row>
    <row r="1170" spans="2:17" ht="29.25" customHeight="1" x14ac:dyDescent="0.2">
      <c r="B1170" s="1453" t="s">
        <v>155</v>
      </c>
      <c r="C1170" s="590"/>
      <c r="D1170" s="596"/>
      <c r="E1170" s="207" t="s">
        <v>3064</v>
      </c>
      <c r="F1170" s="1571">
        <f t="shared" ref="F1170:J1170" si="55">F1171+F1173+F1174+F1177+F1178+F1180+F1181+F1182</f>
        <v>332568.5</v>
      </c>
      <c r="G1170" s="1571">
        <f t="shared" si="55"/>
        <v>304868.5</v>
      </c>
      <c r="H1170" s="1571">
        <f>H1171+H1173+H1174+H1177+H1178+H1180+H1181</f>
        <v>249774.89999999997</v>
      </c>
      <c r="I1170" s="1571">
        <f t="shared" si="55"/>
        <v>310892.49999999994</v>
      </c>
      <c r="J1170" s="1571">
        <f t="shared" si="55"/>
        <v>326437.125</v>
      </c>
      <c r="K1170" s="1351" t="s">
        <v>1567</v>
      </c>
      <c r="L1170" s="140" t="s">
        <v>1245</v>
      </c>
      <c r="M1170" s="127">
        <v>768637</v>
      </c>
      <c r="N1170" s="127">
        <v>768637</v>
      </c>
      <c r="O1170" s="127">
        <v>768637</v>
      </c>
      <c r="P1170" s="127">
        <v>768637</v>
      </c>
      <c r="Q1170" s="947">
        <v>768637</v>
      </c>
    </row>
    <row r="1171" spans="2:17" ht="29.25" customHeight="1" x14ac:dyDescent="0.2">
      <c r="B1171" s="2042"/>
      <c r="C1171" s="2043" t="s">
        <v>114</v>
      </c>
      <c r="D1171" s="2043"/>
      <c r="E1171" s="2041" t="s">
        <v>1568</v>
      </c>
      <c r="F1171" s="1818">
        <v>185550</v>
      </c>
      <c r="G1171" s="1818">
        <v>187392.4</v>
      </c>
      <c r="H1171" s="1818">
        <f>177392.4+226.5</f>
        <v>177618.9</v>
      </c>
      <c r="I1171" s="1818">
        <v>187392.4</v>
      </c>
      <c r="J1171" s="1818">
        <f>I1171*5%+187392.4</f>
        <v>196762.02</v>
      </c>
      <c r="K1171" s="1351" t="s">
        <v>1569</v>
      </c>
      <c r="L1171" s="591" t="s">
        <v>1245</v>
      </c>
      <c r="M1171" s="40">
        <v>2546323</v>
      </c>
      <c r="N1171" s="40">
        <v>2546323</v>
      </c>
      <c r="O1171" s="40">
        <v>2546323</v>
      </c>
      <c r="P1171" s="40">
        <v>2546323</v>
      </c>
      <c r="Q1171" s="945">
        <v>2546323</v>
      </c>
    </row>
    <row r="1172" spans="2:17" ht="29.25" customHeight="1" x14ac:dyDescent="0.2">
      <c r="B1172" s="2042"/>
      <c r="C1172" s="2043"/>
      <c r="D1172" s="2043"/>
      <c r="E1172" s="2041"/>
      <c r="F1172" s="1818"/>
      <c r="G1172" s="1818"/>
      <c r="H1172" s="1818"/>
      <c r="I1172" s="1818"/>
      <c r="J1172" s="1818"/>
      <c r="K1172" s="1351" t="s">
        <v>1570</v>
      </c>
      <c r="L1172" s="591" t="s">
        <v>16</v>
      </c>
      <c r="M1172" s="40">
        <v>100</v>
      </c>
      <c r="N1172" s="40">
        <v>100</v>
      </c>
      <c r="O1172" s="40">
        <v>100</v>
      </c>
      <c r="P1172" s="40">
        <v>100</v>
      </c>
      <c r="Q1172" s="945">
        <v>100</v>
      </c>
    </row>
    <row r="1173" spans="2:17" ht="29.25" customHeight="1" x14ac:dyDescent="0.2">
      <c r="B1173" s="1454"/>
      <c r="C1173" s="596" t="s">
        <v>116</v>
      </c>
      <c r="D1173" s="596"/>
      <c r="E1173" s="586" t="s">
        <v>1571</v>
      </c>
      <c r="F1173" s="1568">
        <v>2806.5</v>
      </c>
      <c r="G1173" s="1568">
        <v>2833.8</v>
      </c>
      <c r="H1173" s="1568">
        <v>2833.8</v>
      </c>
      <c r="I1173" s="1568">
        <v>2833.8</v>
      </c>
      <c r="J1173" s="1568">
        <f>I1173*5%+2833.8</f>
        <v>2975.4900000000002</v>
      </c>
      <c r="K1173" s="942" t="s">
        <v>1572</v>
      </c>
      <c r="L1173" s="591" t="s">
        <v>16</v>
      </c>
      <c r="M1173" s="40">
        <v>100</v>
      </c>
      <c r="N1173" s="40">
        <v>100</v>
      </c>
      <c r="O1173" s="40">
        <v>100</v>
      </c>
      <c r="P1173" s="40">
        <v>100</v>
      </c>
      <c r="Q1173" s="945">
        <v>100</v>
      </c>
    </row>
    <row r="1174" spans="2:17" ht="29.25" customHeight="1" x14ac:dyDescent="0.2">
      <c r="B1174" s="2042"/>
      <c r="C1174" s="2043" t="s">
        <v>119</v>
      </c>
      <c r="D1174" s="2043"/>
      <c r="E1174" s="2041" t="s">
        <v>1573</v>
      </c>
      <c r="F1174" s="1818">
        <v>70289.2</v>
      </c>
      <c r="G1174" s="1818">
        <f>30183.8+225.6</f>
        <v>30409.399999999998</v>
      </c>
      <c r="H1174" s="1818">
        <v>30183.8</v>
      </c>
      <c r="I1174" s="1818">
        <v>30183.8</v>
      </c>
      <c r="J1174" s="1818">
        <f>I1174*5%+30183.8</f>
        <v>31692.989999999998</v>
      </c>
      <c r="K1174" s="942" t="s">
        <v>1574</v>
      </c>
      <c r="L1174" s="591" t="s">
        <v>16</v>
      </c>
      <c r="M1174" s="40">
        <v>61</v>
      </c>
      <c r="N1174" s="40">
        <v>62</v>
      </c>
      <c r="O1174" s="40">
        <v>62</v>
      </c>
      <c r="P1174" s="40">
        <v>62</v>
      </c>
      <c r="Q1174" s="945">
        <v>62</v>
      </c>
    </row>
    <row r="1175" spans="2:17" ht="29.25" customHeight="1" x14ac:dyDescent="0.2">
      <c r="B1175" s="2042"/>
      <c r="C1175" s="2043"/>
      <c r="D1175" s="2043"/>
      <c r="E1175" s="2041"/>
      <c r="F1175" s="1818"/>
      <c r="G1175" s="1818"/>
      <c r="H1175" s="1818"/>
      <c r="I1175" s="1818"/>
      <c r="J1175" s="1818"/>
      <c r="K1175" s="942" t="s">
        <v>1575</v>
      </c>
      <c r="L1175" s="591" t="s">
        <v>1245</v>
      </c>
      <c r="M1175" s="40">
        <v>1120</v>
      </c>
      <c r="N1175" s="40">
        <v>1130</v>
      </c>
      <c r="O1175" s="40">
        <v>1130</v>
      </c>
      <c r="P1175" s="40">
        <v>1130</v>
      </c>
      <c r="Q1175" s="945">
        <v>1130</v>
      </c>
    </row>
    <row r="1176" spans="2:17" ht="29.25" customHeight="1" x14ac:dyDescent="0.2">
      <c r="B1176" s="2042"/>
      <c r="C1176" s="2043"/>
      <c r="D1176" s="2043"/>
      <c r="E1176" s="2041"/>
      <c r="F1176" s="1818"/>
      <c r="G1176" s="1818"/>
      <c r="H1176" s="1818"/>
      <c r="I1176" s="1818"/>
      <c r="J1176" s="1818"/>
      <c r="K1176" s="942" t="s">
        <v>1576</v>
      </c>
      <c r="L1176" s="668" t="s">
        <v>1577</v>
      </c>
      <c r="M1176" s="40">
        <v>13</v>
      </c>
      <c r="N1176" s="40">
        <v>13</v>
      </c>
      <c r="O1176" s="40">
        <v>13</v>
      </c>
      <c r="P1176" s="40">
        <v>13</v>
      </c>
      <c r="Q1176" s="945">
        <v>13</v>
      </c>
    </row>
    <row r="1177" spans="2:17" ht="29.25" customHeight="1" x14ac:dyDescent="0.2">
      <c r="B1177" s="1454"/>
      <c r="C1177" s="596" t="s">
        <v>124</v>
      </c>
      <c r="D1177" s="596"/>
      <c r="E1177" s="586" t="s">
        <v>1578</v>
      </c>
      <c r="F1177" s="1568">
        <v>3097.5</v>
      </c>
      <c r="G1177" s="1568">
        <v>3185.8</v>
      </c>
      <c r="H1177" s="1568">
        <v>3281.3</v>
      </c>
      <c r="I1177" s="1568">
        <v>3281.3</v>
      </c>
      <c r="J1177" s="1568">
        <f>I1177*5%+3281.3</f>
        <v>3445.3650000000002</v>
      </c>
      <c r="K1177" s="942" t="s">
        <v>1579</v>
      </c>
      <c r="L1177" s="591" t="s">
        <v>1245</v>
      </c>
      <c r="M1177" s="40">
        <v>754</v>
      </c>
      <c r="N1177" s="40">
        <v>754</v>
      </c>
      <c r="O1177" s="40">
        <v>760</v>
      </c>
      <c r="P1177" s="40">
        <v>760</v>
      </c>
      <c r="Q1177" s="945">
        <v>760</v>
      </c>
    </row>
    <row r="1178" spans="2:17" ht="29.25" customHeight="1" x14ac:dyDescent="0.2">
      <c r="B1178" s="2042"/>
      <c r="C1178" s="2043" t="s">
        <v>128</v>
      </c>
      <c r="D1178" s="2043"/>
      <c r="E1178" s="2041" t="s">
        <v>1580</v>
      </c>
      <c r="F1178" s="1818">
        <v>1667.9</v>
      </c>
      <c r="G1178" s="1818">
        <v>1679.7</v>
      </c>
      <c r="H1178" s="1818">
        <v>1730.1</v>
      </c>
      <c r="I1178" s="1818">
        <v>1730.1</v>
      </c>
      <c r="J1178" s="1818">
        <f>I1178*5%+1730.1</f>
        <v>1816.605</v>
      </c>
      <c r="K1178" s="942" t="s">
        <v>1581</v>
      </c>
      <c r="L1178" s="668" t="s">
        <v>1582</v>
      </c>
      <c r="M1178" s="948">
        <v>5</v>
      </c>
      <c r="N1178" s="948">
        <v>10</v>
      </c>
      <c r="O1178" s="948">
        <v>15</v>
      </c>
      <c r="P1178" s="948">
        <v>15</v>
      </c>
      <c r="Q1178" s="949">
        <v>15</v>
      </c>
    </row>
    <row r="1179" spans="2:17" ht="29.25" customHeight="1" x14ac:dyDescent="0.2">
      <c r="B1179" s="2042"/>
      <c r="C1179" s="2043"/>
      <c r="D1179" s="2043"/>
      <c r="E1179" s="2041"/>
      <c r="F1179" s="1818"/>
      <c r="G1179" s="1818"/>
      <c r="H1179" s="1818"/>
      <c r="I1179" s="1818"/>
      <c r="J1179" s="1818"/>
      <c r="K1179" s="942" t="s">
        <v>1583</v>
      </c>
      <c r="L1179" s="668" t="s">
        <v>1582</v>
      </c>
      <c r="M1179" s="40">
        <v>1020</v>
      </c>
      <c r="N1179" s="40">
        <v>1030</v>
      </c>
      <c r="O1179" s="40">
        <v>1040</v>
      </c>
      <c r="P1179" s="40">
        <v>1040</v>
      </c>
      <c r="Q1179" s="945">
        <v>1040</v>
      </c>
    </row>
    <row r="1180" spans="2:17" ht="29.25" customHeight="1" x14ac:dyDescent="0.2">
      <c r="B1180" s="1454"/>
      <c r="C1180" s="596" t="s">
        <v>202</v>
      </c>
      <c r="D1180" s="596"/>
      <c r="E1180" s="586" t="s">
        <v>1584</v>
      </c>
      <c r="F1180" s="1568">
        <v>2867.3</v>
      </c>
      <c r="G1180" s="1568">
        <v>2887.6</v>
      </c>
      <c r="H1180" s="1568">
        <v>2974.3</v>
      </c>
      <c r="I1180" s="1568">
        <v>2974.3</v>
      </c>
      <c r="J1180" s="1568">
        <f>I1180*5%+2974.3</f>
        <v>3123.0150000000003</v>
      </c>
      <c r="K1180" s="942" t="s">
        <v>1585</v>
      </c>
      <c r="L1180" s="591" t="s">
        <v>16</v>
      </c>
      <c r="M1180" s="40">
        <v>0.7</v>
      </c>
      <c r="N1180" s="40">
        <v>0.7</v>
      </c>
      <c r="O1180" s="40">
        <v>0.7</v>
      </c>
      <c r="P1180" s="40">
        <v>0.7</v>
      </c>
      <c r="Q1180" s="945">
        <v>0.7</v>
      </c>
    </row>
    <row r="1181" spans="2:17" ht="29.25" customHeight="1" x14ac:dyDescent="0.2">
      <c r="B1181" s="1454"/>
      <c r="C1181" s="596" t="s">
        <v>149</v>
      </c>
      <c r="D1181" s="596"/>
      <c r="E1181" s="586" t="s">
        <v>1586</v>
      </c>
      <c r="F1181" s="1568">
        <v>21789.1</v>
      </c>
      <c r="G1181" s="1568">
        <v>31479.8</v>
      </c>
      <c r="H1181" s="1568">
        <v>31152.7</v>
      </c>
      <c r="I1181" s="1568">
        <v>37496.800000000003</v>
      </c>
      <c r="J1181" s="1568">
        <f>I1181*5%+37496.8</f>
        <v>39371.64</v>
      </c>
      <c r="K1181" s="942" t="s">
        <v>1587</v>
      </c>
      <c r="L1181" s="591" t="s">
        <v>16</v>
      </c>
      <c r="M1181" s="40">
        <v>29.6</v>
      </c>
      <c r="N1181" s="40">
        <v>29.6</v>
      </c>
      <c r="O1181" s="40">
        <v>29.6</v>
      </c>
      <c r="P1181" s="40">
        <v>29.6</v>
      </c>
      <c r="Q1181" s="945">
        <v>29.6</v>
      </c>
    </row>
    <row r="1182" spans="2:17" ht="29.25" customHeight="1" x14ac:dyDescent="0.2">
      <c r="B1182" s="1454"/>
      <c r="C1182" s="596" t="s">
        <v>152</v>
      </c>
      <c r="D1182" s="596"/>
      <c r="E1182" s="586" t="s">
        <v>1588</v>
      </c>
      <c r="F1182" s="1568">
        <v>44501</v>
      </c>
      <c r="G1182" s="1568">
        <v>45000</v>
      </c>
      <c r="H1182" s="1568"/>
      <c r="I1182" s="1568">
        <v>45000</v>
      </c>
      <c r="J1182" s="1568">
        <f>I1182*5%+45000</f>
        <v>47250</v>
      </c>
      <c r="K1182" s="942" t="s">
        <v>1566</v>
      </c>
      <c r="L1182" s="668" t="s">
        <v>1533</v>
      </c>
      <c r="M1182" s="668" t="s">
        <v>1536</v>
      </c>
      <c r="N1182" s="668" t="s">
        <v>1536</v>
      </c>
      <c r="O1182" s="668" t="s">
        <v>1536</v>
      </c>
      <c r="P1182" s="668" t="s">
        <v>1536</v>
      </c>
      <c r="Q1182" s="668" t="s">
        <v>1536</v>
      </c>
    </row>
    <row r="1183" spans="2:17" ht="138" customHeight="1" x14ac:dyDescent="0.2">
      <c r="B1183" s="1453" t="s">
        <v>164</v>
      </c>
      <c r="C1183" s="590"/>
      <c r="D1183" s="596"/>
      <c r="E1183" s="160" t="s">
        <v>3065</v>
      </c>
      <c r="F1183" s="1571">
        <f t="shared" ref="F1183:J1183" si="56">F1184+F1185+F1186+F1190+F1194+F1198</f>
        <v>49000</v>
      </c>
      <c r="G1183" s="1571">
        <f t="shared" si="56"/>
        <v>49000</v>
      </c>
      <c r="H1183" s="1571">
        <f>H1184+H1185+H1186+H1190+H1194+H1198</f>
        <v>44000</v>
      </c>
      <c r="I1183" s="1571">
        <f t="shared" si="56"/>
        <v>49000</v>
      </c>
      <c r="J1183" s="1571">
        <f t="shared" si="56"/>
        <v>51450</v>
      </c>
      <c r="K1183" s="1351" t="s">
        <v>1589</v>
      </c>
      <c r="L1183" s="862" t="s">
        <v>1590</v>
      </c>
      <c r="M1183" s="950">
        <v>3665.49</v>
      </c>
      <c r="N1183" s="950">
        <v>4641.8999999999996</v>
      </c>
      <c r="O1183" s="950">
        <v>4641.8999999999996</v>
      </c>
      <c r="P1183" s="950">
        <v>4641.8999999999996</v>
      </c>
      <c r="Q1183" s="951">
        <v>4641.8999999999996</v>
      </c>
    </row>
    <row r="1184" spans="2:17" ht="29.25" customHeight="1" x14ac:dyDescent="0.2">
      <c r="B1184" s="1454"/>
      <c r="C1184" s="596" t="s">
        <v>114</v>
      </c>
      <c r="D1184" s="596"/>
      <c r="E1184" s="604" t="s">
        <v>1591</v>
      </c>
      <c r="F1184" s="1568">
        <v>6980</v>
      </c>
      <c r="G1184" s="1568">
        <v>6980</v>
      </c>
      <c r="H1184" s="1568">
        <v>6980</v>
      </c>
      <c r="I1184" s="1568">
        <v>6980</v>
      </c>
      <c r="J1184" s="1568">
        <f>I1184*5%+6980</f>
        <v>7329</v>
      </c>
      <c r="K1184" s="942" t="s">
        <v>1592</v>
      </c>
      <c r="L1184" s="140" t="s">
        <v>16</v>
      </c>
      <c r="M1184" s="952"/>
      <c r="N1184" s="952"/>
      <c r="O1184" s="952"/>
      <c r="P1184" s="952"/>
      <c r="Q1184" s="953"/>
    </row>
    <row r="1185" spans="2:17" ht="29.25" customHeight="1" x14ac:dyDescent="0.2">
      <c r="B1185" s="1454"/>
      <c r="C1185" s="596" t="s">
        <v>116</v>
      </c>
      <c r="D1185" s="596"/>
      <c r="E1185" s="586" t="s">
        <v>1593</v>
      </c>
      <c r="F1185" s="1568">
        <v>10987</v>
      </c>
      <c r="G1185" s="1568">
        <v>10987</v>
      </c>
      <c r="H1185" s="1568">
        <v>10987</v>
      </c>
      <c r="I1185" s="1568">
        <v>10987</v>
      </c>
      <c r="J1185" s="1567">
        <f>I1185*5%+10987</f>
        <v>11536.35</v>
      </c>
      <c r="K1185" s="942" t="s">
        <v>1594</v>
      </c>
      <c r="L1185" s="591" t="s">
        <v>1241</v>
      </c>
      <c r="M1185" s="40">
        <v>558.29999999999995</v>
      </c>
      <c r="N1185" s="40">
        <v>1116.5999999999999</v>
      </c>
      <c r="O1185" s="40">
        <v>1116.5999999999999</v>
      </c>
      <c r="P1185" s="40">
        <v>1116.5999999999999</v>
      </c>
      <c r="Q1185" s="945">
        <v>1116.5999999999999</v>
      </c>
    </row>
    <row r="1186" spans="2:17" ht="29.25" customHeight="1" x14ac:dyDescent="0.2">
      <c r="B1186" s="2042"/>
      <c r="C1186" s="2043" t="s">
        <v>119</v>
      </c>
      <c r="D1186" s="2043"/>
      <c r="E1186" s="2041" t="s">
        <v>1595</v>
      </c>
      <c r="F1186" s="1818">
        <v>13325</v>
      </c>
      <c r="G1186" s="1818">
        <v>13325</v>
      </c>
      <c r="H1186" s="1818">
        <v>13325</v>
      </c>
      <c r="I1186" s="1818">
        <v>13325</v>
      </c>
      <c r="J1186" s="1818">
        <f>I1186*5%+13325</f>
        <v>13991.25</v>
      </c>
      <c r="K1186" s="942" t="s">
        <v>1596</v>
      </c>
      <c r="L1186" s="668" t="s">
        <v>1590</v>
      </c>
      <c r="M1186" s="40">
        <v>308.29000000000002</v>
      </c>
      <c r="N1186" s="40">
        <v>303.3</v>
      </c>
      <c r="O1186" s="40">
        <v>293.8</v>
      </c>
      <c r="P1186" s="40">
        <v>293.8</v>
      </c>
      <c r="Q1186" s="945">
        <v>293.8</v>
      </c>
    </row>
    <row r="1187" spans="2:17" ht="29.25" customHeight="1" x14ac:dyDescent="0.2">
      <c r="B1187" s="2042"/>
      <c r="C1187" s="2043"/>
      <c r="D1187" s="2043"/>
      <c r="E1187" s="2041"/>
      <c r="F1187" s="1818"/>
      <c r="G1187" s="1818"/>
      <c r="H1187" s="1818"/>
      <c r="I1187" s="1818"/>
      <c r="J1187" s="1818"/>
      <c r="K1187" s="942" t="s">
        <v>1597</v>
      </c>
      <c r="L1187" s="668" t="s">
        <v>1590</v>
      </c>
      <c r="M1187" s="40">
        <v>308.29000000000002</v>
      </c>
      <c r="N1187" s="40">
        <v>303.3</v>
      </c>
      <c r="O1187" s="40">
        <v>293.8</v>
      </c>
      <c r="P1187" s="40">
        <v>293.8</v>
      </c>
      <c r="Q1187" s="945">
        <v>293.8</v>
      </c>
    </row>
    <row r="1188" spans="2:17" ht="29.25" customHeight="1" x14ac:dyDescent="0.2">
      <c r="B1188" s="2042"/>
      <c r="C1188" s="2043"/>
      <c r="D1188" s="2043"/>
      <c r="E1188" s="2041"/>
      <c r="F1188" s="1818"/>
      <c r="G1188" s="1818"/>
      <c r="H1188" s="1818"/>
      <c r="I1188" s="1818"/>
      <c r="J1188" s="1818"/>
      <c r="K1188" s="942" t="s">
        <v>1598</v>
      </c>
      <c r="L1188" s="668" t="s">
        <v>1590</v>
      </c>
      <c r="M1188" s="40">
        <v>1769</v>
      </c>
      <c r="N1188" s="40">
        <v>1689</v>
      </c>
      <c r="O1188" s="40">
        <v>1451</v>
      </c>
      <c r="P1188" s="40">
        <v>1451</v>
      </c>
      <c r="Q1188" s="945">
        <v>1451</v>
      </c>
    </row>
    <row r="1189" spans="2:17" ht="29.25" customHeight="1" x14ac:dyDescent="0.2">
      <c r="B1189" s="2042"/>
      <c r="C1189" s="2043"/>
      <c r="D1189" s="2043"/>
      <c r="E1189" s="2041"/>
      <c r="F1189" s="1818"/>
      <c r="G1189" s="1818"/>
      <c r="H1189" s="1818"/>
      <c r="I1189" s="1818"/>
      <c r="J1189" s="1818"/>
      <c r="K1189" s="942" t="s">
        <v>1599</v>
      </c>
      <c r="L1189" s="668" t="s">
        <v>1590</v>
      </c>
      <c r="M1189" s="40">
        <v>12</v>
      </c>
      <c r="N1189" s="40">
        <v>14</v>
      </c>
      <c r="O1189" s="40">
        <v>7</v>
      </c>
      <c r="P1189" s="40">
        <v>7</v>
      </c>
      <c r="Q1189" s="945">
        <v>7</v>
      </c>
    </row>
    <row r="1190" spans="2:17" ht="29.25" customHeight="1" x14ac:dyDescent="0.2">
      <c r="B1190" s="2042"/>
      <c r="C1190" s="2043" t="s">
        <v>124</v>
      </c>
      <c r="D1190" s="2043"/>
      <c r="E1190" s="2041" t="s">
        <v>1600</v>
      </c>
      <c r="F1190" s="1818">
        <v>10093</v>
      </c>
      <c r="G1190" s="1818">
        <v>10093</v>
      </c>
      <c r="H1190" s="1818">
        <v>10093</v>
      </c>
      <c r="I1190" s="1818">
        <v>10093</v>
      </c>
      <c r="J1190" s="1818">
        <f>I1190*5%+10093</f>
        <v>10597.65</v>
      </c>
      <c r="K1190" s="942" t="s">
        <v>1601</v>
      </c>
      <c r="L1190" s="668" t="s">
        <v>1590</v>
      </c>
      <c r="M1190" s="40">
        <v>1274.5</v>
      </c>
      <c r="N1190" s="40">
        <v>1341.7</v>
      </c>
      <c r="O1190" s="40">
        <v>1000</v>
      </c>
      <c r="P1190" s="40">
        <v>1000</v>
      </c>
      <c r="Q1190" s="945">
        <v>1000</v>
      </c>
    </row>
    <row r="1191" spans="2:17" ht="29.25" customHeight="1" x14ac:dyDescent="0.2">
      <c r="B1191" s="2042"/>
      <c r="C1191" s="2043"/>
      <c r="D1191" s="2043"/>
      <c r="E1191" s="2041"/>
      <c r="F1191" s="1818"/>
      <c r="G1191" s="1818"/>
      <c r="H1191" s="1818"/>
      <c r="I1191" s="1818"/>
      <c r="J1191" s="1818"/>
      <c r="K1191" s="942" t="s">
        <v>1602</v>
      </c>
      <c r="L1191" s="668" t="s">
        <v>1178</v>
      </c>
      <c r="M1191" s="40">
        <v>350</v>
      </c>
      <c r="N1191" s="40">
        <v>365</v>
      </c>
      <c r="O1191" s="40">
        <v>317</v>
      </c>
      <c r="P1191" s="40">
        <v>317</v>
      </c>
      <c r="Q1191" s="945">
        <v>317</v>
      </c>
    </row>
    <row r="1192" spans="2:17" ht="29.25" customHeight="1" x14ac:dyDescent="0.2">
      <c r="B1192" s="2042"/>
      <c r="C1192" s="2043"/>
      <c r="D1192" s="2043"/>
      <c r="E1192" s="2041"/>
      <c r="F1192" s="1818"/>
      <c r="G1192" s="1818"/>
      <c r="H1192" s="1818"/>
      <c r="I1192" s="1818"/>
      <c r="J1192" s="1818"/>
      <c r="K1192" s="942" t="s">
        <v>1603</v>
      </c>
      <c r="L1192" s="591" t="s">
        <v>1305</v>
      </c>
      <c r="M1192" s="40">
        <v>1800</v>
      </c>
      <c r="N1192" s="40">
        <v>2100</v>
      </c>
      <c r="O1192" s="40">
        <v>1650</v>
      </c>
      <c r="P1192" s="40">
        <v>1650</v>
      </c>
      <c r="Q1192" s="945">
        <v>1650</v>
      </c>
    </row>
    <row r="1193" spans="2:17" ht="29.25" customHeight="1" x14ac:dyDescent="0.2">
      <c r="B1193" s="2042"/>
      <c r="C1193" s="2043"/>
      <c r="D1193" s="2043"/>
      <c r="E1193" s="2041"/>
      <c r="F1193" s="1818"/>
      <c r="G1193" s="1818"/>
      <c r="H1193" s="1818"/>
      <c r="I1193" s="1818"/>
      <c r="J1193" s="1818"/>
      <c r="K1193" s="942" t="s">
        <v>1604</v>
      </c>
      <c r="L1193" s="668" t="s">
        <v>1178</v>
      </c>
      <c r="M1193" s="40">
        <v>2</v>
      </c>
      <c r="N1193" s="40">
        <v>1</v>
      </c>
      <c r="O1193" s="40">
        <v>1</v>
      </c>
      <c r="P1193" s="40">
        <v>1</v>
      </c>
      <c r="Q1193" s="945">
        <v>1</v>
      </c>
    </row>
    <row r="1194" spans="2:17" ht="29.25" customHeight="1" x14ac:dyDescent="0.2">
      <c r="B1194" s="2042"/>
      <c r="C1194" s="2043" t="s">
        <v>128</v>
      </c>
      <c r="D1194" s="2043"/>
      <c r="E1194" s="2041" t="s">
        <v>1605</v>
      </c>
      <c r="F1194" s="1818">
        <v>2615</v>
      </c>
      <c r="G1194" s="1818">
        <v>2615</v>
      </c>
      <c r="H1194" s="1818">
        <v>2615</v>
      </c>
      <c r="I1194" s="1818">
        <v>2615</v>
      </c>
      <c r="J1194" s="1818">
        <f>I1194*5%+2615</f>
        <v>2745.75</v>
      </c>
      <c r="K1194" s="942" t="s">
        <v>1306</v>
      </c>
      <c r="L1194" s="668" t="s">
        <v>1590</v>
      </c>
      <c r="M1194" s="40">
        <v>2141.1</v>
      </c>
      <c r="N1194" s="40">
        <v>2761.6</v>
      </c>
      <c r="O1194" s="40">
        <v>1293.8</v>
      </c>
      <c r="P1194" s="40">
        <v>1293.8</v>
      </c>
      <c r="Q1194" s="945">
        <v>1293.8</v>
      </c>
    </row>
    <row r="1195" spans="2:17" ht="29.25" customHeight="1" x14ac:dyDescent="0.2">
      <c r="B1195" s="2042"/>
      <c r="C1195" s="2043"/>
      <c r="D1195" s="2043"/>
      <c r="E1195" s="2041"/>
      <c r="F1195" s="1818"/>
      <c r="G1195" s="1818"/>
      <c r="H1195" s="1818"/>
      <c r="I1195" s="1818"/>
      <c r="J1195" s="1818"/>
      <c r="K1195" s="942" t="s">
        <v>1307</v>
      </c>
      <c r="L1195" s="668" t="s">
        <v>1178</v>
      </c>
      <c r="M1195" s="40">
        <v>34345</v>
      </c>
      <c r="N1195" s="40">
        <v>34556</v>
      </c>
      <c r="O1195" s="40">
        <v>17859</v>
      </c>
      <c r="P1195" s="40">
        <v>17859</v>
      </c>
      <c r="Q1195" s="945">
        <v>17859</v>
      </c>
    </row>
    <row r="1196" spans="2:17" ht="29.25" customHeight="1" x14ac:dyDescent="0.2">
      <c r="B1196" s="2042"/>
      <c r="C1196" s="2043"/>
      <c r="D1196" s="2043"/>
      <c r="E1196" s="2041"/>
      <c r="F1196" s="1818"/>
      <c r="G1196" s="1818"/>
      <c r="H1196" s="1818"/>
      <c r="I1196" s="1818"/>
      <c r="J1196" s="1818"/>
      <c r="K1196" s="942" t="s">
        <v>1308</v>
      </c>
      <c r="L1196" s="668" t="s">
        <v>1178</v>
      </c>
      <c r="M1196" s="40">
        <v>154</v>
      </c>
      <c r="N1196" s="40">
        <v>182</v>
      </c>
      <c r="O1196" s="40">
        <v>91</v>
      </c>
      <c r="P1196" s="40">
        <v>91</v>
      </c>
      <c r="Q1196" s="945">
        <v>91</v>
      </c>
    </row>
    <row r="1197" spans="2:17" ht="29.25" customHeight="1" x14ac:dyDescent="0.2">
      <c r="B1197" s="2042"/>
      <c r="C1197" s="2043"/>
      <c r="D1197" s="2043"/>
      <c r="E1197" s="2041"/>
      <c r="F1197" s="1818"/>
      <c r="G1197" s="1818"/>
      <c r="H1197" s="1818"/>
      <c r="I1197" s="1818"/>
      <c r="J1197" s="1818"/>
      <c r="K1197" s="942" t="s">
        <v>1309</v>
      </c>
      <c r="L1197" s="668" t="s">
        <v>1178</v>
      </c>
      <c r="M1197" s="40">
        <v>264</v>
      </c>
      <c r="N1197" s="40">
        <v>282</v>
      </c>
      <c r="O1197" s="40">
        <v>148</v>
      </c>
      <c r="P1197" s="40">
        <v>148</v>
      </c>
      <c r="Q1197" s="945">
        <v>148</v>
      </c>
    </row>
    <row r="1198" spans="2:17" ht="29.25" customHeight="1" x14ac:dyDescent="0.2">
      <c r="B1198" s="1454"/>
      <c r="C1198" s="596" t="s">
        <v>202</v>
      </c>
      <c r="D1198" s="596"/>
      <c r="E1198" s="586" t="s">
        <v>1606</v>
      </c>
      <c r="F1198" s="1568">
        <v>5000</v>
      </c>
      <c r="G1198" s="1568">
        <v>5000</v>
      </c>
      <c r="H1198" s="1568"/>
      <c r="I1198" s="1568">
        <v>5000</v>
      </c>
      <c r="J1198" s="1568">
        <f>I1198*5%+5000</f>
        <v>5250</v>
      </c>
      <c r="K1198" s="942" t="s">
        <v>2885</v>
      </c>
      <c r="L1198" s="668" t="s">
        <v>1533</v>
      </c>
      <c r="M1198" s="668" t="s">
        <v>1536</v>
      </c>
      <c r="N1198" s="668" t="s">
        <v>1536</v>
      </c>
      <c r="O1198" s="668" t="s">
        <v>1536</v>
      </c>
      <c r="P1198" s="668" t="s">
        <v>1536</v>
      </c>
      <c r="Q1198" s="668" t="s">
        <v>1536</v>
      </c>
    </row>
    <row r="1199" spans="2:17" ht="29.25" customHeight="1" x14ac:dyDescent="0.2">
      <c r="B1199" s="2434">
        <v>5</v>
      </c>
      <c r="C1199" s="2434"/>
      <c r="D1199" s="2038"/>
      <c r="E1199" s="2425" t="s">
        <v>3066</v>
      </c>
      <c r="F1199" s="1874">
        <f>F1202+F1208+F1213+F1214+F1218+F1222+F1229</f>
        <v>228791.30000000002</v>
      </c>
      <c r="G1199" s="1874">
        <f>G1202+G1208+G1213+G1214+G1218+G1222+G1229</f>
        <v>223791.30000000002</v>
      </c>
      <c r="H1199" s="1874">
        <f>H1202+H1208+H1213+H1214+H1218+H1222+H1229</f>
        <v>189171.40000000002</v>
      </c>
      <c r="I1199" s="1874">
        <f>I1202+I1208+I1213+I1214+I1218+I1222+I1229</f>
        <v>217109.1</v>
      </c>
      <c r="J1199" s="1874">
        <f>J1202+J1208+J1213+J1214+J1218+J1222+J1229</f>
        <v>227964.55499999999</v>
      </c>
      <c r="K1199" s="942" t="s">
        <v>1607</v>
      </c>
      <c r="L1199" s="668" t="s">
        <v>1533</v>
      </c>
      <c r="M1199" s="40">
        <v>58</v>
      </c>
      <c r="N1199" s="40">
        <v>58</v>
      </c>
      <c r="O1199" s="40">
        <v>58</v>
      </c>
      <c r="P1199" s="40">
        <v>58</v>
      </c>
      <c r="Q1199" s="945">
        <v>58</v>
      </c>
    </row>
    <row r="1200" spans="2:17" ht="29.25" customHeight="1" x14ac:dyDescent="0.2">
      <c r="B1200" s="2435"/>
      <c r="C1200" s="2435"/>
      <c r="D1200" s="2039"/>
      <c r="E1200" s="2425"/>
      <c r="F1200" s="1875"/>
      <c r="G1200" s="1875"/>
      <c r="H1200" s="1875"/>
      <c r="I1200" s="1875"/>
      <c r="J1200" s="1875"/>
      <c r="K1200" s="942" t="s">
        <v>1608</v>
      </c>
      <c r="L1200" s="668" t="s">
        <v>1533</v>
      </c>
      <c r="M1200" s="40">
        <v>57</v>
      </c>
      <c r="N1200" s="40">
        <v>57</v>
      </c>
      <c r="O1200" s="40">
        <v>57</v>
      </c>
      <c r="P1200" s="40">
        <v>57</v>
      </c>
      <c r="Q1200" s="945">
        <v>57</v>
      </c>
    </row>
    <row r="1201" spans="2:17" ht="29.25" customHeight="1" x14ac:dyDescent="0.2">
      <c r="B1201" s="2436"/>
      <c r="C1201" s="2436"/>
      <c r="D1201" s="2040"/>
      <c r="E1201" s="2425"/>
      <c r="F1201" s="1876"/>
      <c r="G1201" s="1876"/>
      <c r="H1201" s="1876"/>
      <c r="I1201" s="1876"/>
      <c r="J1201" s="1876"/>
      <c r="K1201" s="1351" t="s">
        <v>1609</v>
      </c>
      <c r="L1201" s="668" t="s">
        <v>1533</v>
      </c>
      <c r="M1201" s="40">
        <v>85</v>
      </c>
      <c r="N1201" s="40">
        <v>85</v>
      </c>
      <c r="O1201" s="40">
        <v>85</v>
      </c>
      <c r="P1201" s="40">
        <v>85</v>
      </c>
      <c r="Q1201" s="945">
        <v>85</v>
      </c>
    </row>
    <row r="1202" spans="2:17" ht="69.75" customHeight="1" x14ac:dyDescent="0.2">
      <c r="B1202" s="2035"/>
      <c r="C1202" s="2038" t="s">
        <v>114</v>
      </c>
      <c r="D1202" s="2038"/>
      <c r="E1202" s="2041" t="s">
        <v>1610</v>
      </c>
      <c r="F1202" s="1868">
        <v>96007.3</v>
      </c>
      <c r="G1202" s="1868">
        <v>96007.3</v>
      </c>
      <c r="H1202" s="1868">
        <v>87150.399999999994</v>
      </c>
      <c r="I1202" s="1868">
        <v>96007.3</v>
      </c>
      <c r="J1202" s="1868">
        <f>I1202*5%+96007.3</f>
        <v>100807.66500000001</v>
      </c>
      <c r="K1202" s="1349" t="s">
        <v>1592</v>
      </c>
      <c r="L1202" s="140" t="s">
        <v>16</v>
      </c>
      <c r="M1202" s="952"/>
      <c r="N1202" s="952"/>
      <c r="O1202" s="952"/>
      <c r="P1202" s="952"/>
      <c r="Q1202" s="953"/>
    </row>
    <row r="1203" spans="2:17" ht="29.25" customHeight="1" x14ac:dyDescent="0.2">
      <c r="B1203" s="2036"/>
      <c r="C1203" s="2039"/>
      <c r="D1203" s="2039"/>
      <c r="E1203" s="2041"/>
      <c r="F1203" s="1869"/>
      <c r="G1203" s="1869"/>
      <c r="H1203" s="1869"/>
      <c r="I1203" s="1869"/>
      <c r="J1203" s="1869"/>
      <c r="K1203" s="1349" t="s">
        <v>1611</v>
      </c>
      <c r="L1203" s="668" t="s">
        <v>1533</v>
      </c>
      <c r="M1203" s="40">
        <v>20</v>
      </c>
      <c r="N1203" s="40">
        <v>22</v>
      </c>
      <c r="O1203" s="40">
        <v>22</v>
      </c>
      <c r="P1203" s="40">
        <v>22</v>
      </c>
      <c r="Q1203" s="945">
        <v>22</v>
      </c>
    </row>
    <row r="1204" spans="2:17" ht="29.25" customHeight="1" x14ac:dyDescent="0.2">
      <c r="B1204" s="2036"/>
      <c r="C1204" s="2039"/>
      <c r="D1204" s="2039"/>
      <c r="E1204" s="2041"/>
      <c r="F1204" s="1869"/>
      <c r="G1204" s="1869"/>
      <c r="H1204" s="1869"/>
      <c r="I1204" s="1869"/>
      <c r="J1204" s="1869"/>
      <c r="K1204" s="1349" t="s">
        <v>1612</v>
      </c>
      <c r="L1204" s="591" t="s">
        <v>1310</v>
      </c>
      <c r="M1204" s="40">
        <v>7.6</v>
      </c>
      <c r="N1204" s="40">
        <v>8</v>
      </c>
      <c r="O1204" s="40">
        <v>10</v>
      </c>
      <c r="P1204" s="40">
        <v>10</v>
      </c>
      <c r="Q1204" s="945">
        <v>10</v>
      </c>
    </row>
    <row r="1205" spans="2:17" ht="29.25" customHeight="1" x14ac:dyDescent="0.2">
      <c r="B1205" s="2036"/>
      <c r="C1205" s="2039"/>
      <c r="D1205" s="2039"/>
      <c r="E1205" s="2041"/>
      <c r="F1205" s="1869"/>
      <c r="G1205" s="1869"/>
      <c r="H1205" s="1869"/>
      <c r="I1205" s="1869"/>
      <c r="J1205" s="1869"/>
      <c r="K1205" s="1349" t="s">
        <v>1613</v>
      </c>
      <c r="L1205" s="668" t="s">
        <v>1590</v>
      </c>
      <c r="M1205" s="462">
        <v>1516121.6</v>
      </c>
      <c r="N1205" s="462">
        <v>1616121.6</v>
      </c>
      <c r="O1205" s="40"/>
      <c r="P1205" s="40"/>
      <c r="Q1205" s="945"/>
    </row>
    <row r="1206" spans="2:17" ht="29.25" customHeight="1" x14ac:dyDescent="0.2">
      <c r="B1206" s="2036"/>
      <c r="C1206" s="2039"/>
      <c r="D1206" s="2039"/>
      <c r="E1206" s="2041"/>
      <c r="F1206" s="1869"/>
      <c r="G1206" s="1869"/>
      <c r="H1206" s="1869"/>
      <c r="I1206" s="1869"/>
      <c r="J1206" s="1869"/>
      <c r="K1206" s="1349" t="s">
        <v>1614</v>
      </c>
      <c r="L1206" s="668" t="s">
        <v>1533</v>
      </c>
      <c r="M1206" s="40">
        <v>1</v>
      </c>
      <c r="N1206" s="40">
        <v>5</v>
      </c>
      <c r="O1206" s="40">
        <v>6</v>
      </c>
      <c r="P1206" s="40">
        <v>6</v>
      </c>
      <c r="Q1206" s="945">
        <v>6</v>
      </c>
    </row>
    <row r="1207" spans="2:17" ht="29.25" customHeight="1" x14ac:dyDescent="0.2">
      <c r="B1207" s="2037"/>
      <c r="C1207" s="2040"/>
      <c r="D1207" s="2040"/>
      <c r="E1207" s="2041"/>
      <c r="F1207" s="1870"/>
      <c r="G1207" s="1870"/>
      <c r="H1207" s="1870"/>
      <c r="I1207" s="1870"/>
      <c r="J1207" s="1870"/>
      <c r="K1207" s="1349" t="s">
        <v>1615</v>
      </c>
      <c r="L1207" s="668" t="s">
        <v>1533</v>
      </c>
      <c r="M1207" s="40"/>
      <c r="N1207" s="40"/>
      <c r="O1207" s="40"/>
      <c r="P1207" s="40"/>
      <c r="Q1207" s="945"/>
    </row>
    <row r="1208" spans="2:17" ht="29.25" customHeight="1" x14ac:dyDescent="0.2">
      <c r="B1208" s="2035"/>
      <c r="C1208" s="2038" t="s">
        <v>116</v>
      </c>
      <c r="D1208" s="2038"/>
      <c r="E1208" s="2041" t="s">
        <v>1616</v>
      </c>
      <c r="F1208" s="1868">
        <v>39139</v>
      </c>
      <c r="G1208" s="1868">
        <v>39139</v>
      </c>
      <c r="H1208" s="1868">
        <v>30139</v>
      </c>
      <c r="I1208" s="1868">
        <v>39139</v>
      </c>
      <c r="J1208" s="1868">
        <f>I1208*5%+39139</f>
        <v>41095.949999999997</v>
      </c>
      <c r="K1208" s="1349" t="s">
        <v>1617</v>
      </c>
      <c r="L1208" s="668" t="s">
        <v>1533</v>
      </c>
      <c r="M1208" s="40"/>
      <c r="N1208" s="40"/>
      <c r="O1208" s="40"/>
      <c r="P1208" s="40"/>
      <c r="Q1208" s="945"/>
    </row>
    <row r="1209" spans="2:17" ht="29.25" customHeight="1" x14ac:dyDescent="0.2">
      <c r="B1209" s="2036"/>
      <c r="C1209" s="2039"/>
      <c r="D1209" s="2039"/>
      <c r="E1209" s="2041"/>
      <c r="F1209" s="1869"/>
      <c r="G1209" s="1869"/>
      <c r="H1209" s="1869"/>
      <c r="I1209" s="1869"/>
      <c r="J1209" s="1869"/>
      <c r="K1209" s="1349" t="s">
        <v>1618</v>
      </c>
      <c r="L1209" s="668" t="s">
        <v>1533</v>
      </c>
      <c r="M1209" s="40"/>
      <c r="N1209" s="40"/>
      <c r="O1209" s="40"/>
      <c r="P1209" s="40"/>
      <c r="Q1209" s="945"/>
    </row>
    <row r="1210" spans="2:17" ht="29.25" customHeight="1" x14ac:dyDescent="0.2">
      <c r="B1210" s="2036"/>
      <c r="C1210" s="2039"/>
      <c r="D1210" s="2039"/>
      <c r="E1210" s="2041"/>
      <c r="F1210" s="1869"/>
      <c r="G1210" s="1869"/>
      <c r="H1210" s="1869"/>
      <c r="I1210" s="1869"/>
      <c r="J1210" s="1869"/>
      <c r="K1210" s="1349" t="s">
        <v>1619</v>
      </c>
      <c r="L1210" s="668" t="s">
        <v>1533</v>
      </c>
      <c r="M1210" s="40"/>
      <c r="N1210" s="40"/>
      <c r="O1210" s="40"/>
      <c r="P1210" s="40"/>
      <c r="Q1210" s="945"/>
    </row>
    <row r="1211" spans="2:17" ht="29.25" customHeight="1" x14ac:dyDescent="0.2">
      <c r="B1211" s="2036"/>
      <c r="C1211" s="2039"/>
      <c r="D1211" s="2039"/>
      <c r="E1211" s="2041"/>
      <c r="F1211" s="1869"/>
      <c r="G1211" s="1869"/>
      <c r="H1211" s="1869"/>
      <c r="I1211" s="1869"/>
      <c r="J1211" s="1869"/>
      <c r="K1211" s="1349" t="s">
        <v>1620</v>
      </c>
      <c r="L1211" s="591" t="s">
        <v>16</v>
      </c>
      <c r="M1211" s="40"/>
      <c r="N1211" s="40"/>
      <c r="O1211" s="40"/>
      <c r="P1211" s="40"/>
      <c r="Q1211" s="945"/>
    </row>
    <row r="1212" spans="2:17" ht="29.25" customHeight="1" x14ac:dyDescent="0.2">
      <c r="B1212" s="2037"/>
      <c r="C1212" s="2040"/>
      <c r="D1212" s="2040"/>
      <c r="E1212" s="2041"/>
      <c r="F1212" s="1870"/>
      <c r="G1212" s="1870"/>
      <c r="H1212" s="1870"/>
      <c r="I1212" s="1870"/>
      <c r="J1212" s="1870"/>
      <c r="K1212" s="1349" t="s">
        <v>1621</v>
      </c>
      <c r="L1212" s="668" t="s">
        <v>1533</v>
      </c>
      <c r="M1212" s="40">
        <v>10</v>
      </c>
      <c r="N1212" s="40">
        <v>5</v>
      </c>
      <c r="O1212" s="40"/>
      <c r="P1212" s="40"/>
      <c r="Q1212" s="945"/>
    </row>
    <row r="1213" spans="2:17" ht="29.25" customHeight="1" x14ac:dyDescent="0.2">
      <c r="B1213" s="946"/>
      <c r="C1213" s="596" t="s">
        <v>119</v>
      </c>
      <c r="D1213" s="596"/>
      <c r="E1213" s="586" t="s">
        <v>1622</v>
      </c>
      <c r="F1213" s="1568">
        <v>10000</v>
      </c>
      <c r="G1213" s="1568">
        <v>10000</v>
      </c>
      <c r="H1213" s="1568">
        <v>3237</v>
      </c>
      <c r="I1213" s="1568">
        <v>4000</v>
      </c>
      <c r="J1213" s="1568">
        <f>I1213*5%+4000</f>
        <v>4200</v>
      </c>
      <c r="K1213" s="942" t="s">
        <v>1623</v>
      </c>
      <c r="L1213" s="668" t="s">
        <v>1533</v>
      </c>
      <c r="M1213" s="40"/>
      <c r="N1213" s="40"/>
      <c r="O1213" s="40"/>
      <c r="P1213" s="40"/>
      <c r="Q1213" s="945"/>
    </row>
    <row r="1214" spans="2:17" ht="29.25" customHeight="1" x14ac:dyDescent="0.2">
      <c r="B1214" s="2035"/>
      <c r="C1214" s="2038" t="s">
        <v>124</v>
      </c>
      <c r="D1214" s="2038"/>
      <c r="E1214" s="2041" t="s">
        <v>1624</v>
      </c>
      <c r="F1214" s="1868">
        <v>26681.600000000002</v>
      </c>
      <c r="G1214" s="1868">
        <v>26681.600000000002</v>
      </c>
      <c r="H1214" s="1868">
        <v>26681.600000000002</v>
      </c>
      <c r="I1214" s="1868">
        <v>26681.599999999999</v>
      </c>
      <c r="J1214" s="1868">
        <f>I1214*5%+26681.6</f>
        <v>28015.68</v>
      </c>
      <c r="K1214" s="942" t="s">
        <v>1625</v>
      </c>
      <c r="L1214" s="668" t="s">
        <v>1533</v>
      </c>
      <c r="M1214" s="40">
        <v>14</v>
      </c>
      <c r="N1214" s="40">
        <v>15</v>
      </c>
      <c r="O1214" s="40">
        <v>15</v>
      </c>
      <c r="P1214" s="40">
        <v>15</v>
      </c>
      <c r="Q1214" s="945">
        <v>15</v>
      </c>
    </row>
    <row r="1215" spans="2:17" ht="29.25" customHeight="1" x14ac:dyDescent="0.2">
      <c r="B1215" s="2036"/>
      <c r="C1215" s="2039"/>
      <c r="D1215" s="2039"/>
      <c r="E1215" s="2041"/>
      <c r="F1215" s="1869"/>
      <c r="G1215" s="1869"/>
      <c r="H1215" s="1869"/>
      <c r="I1215" s="1869"/>
      <c r="J1215" s="1869"/>
      <c r="K1215" s="942" t="s">
        <v>1626</v>
      </c>
      <c r="L1215" s="668" t="s">
        <v>1533</v>
      </c>
      <c r="M1215" s="40">
        <v>12</v>
      </c>
      <c r="N1215" s="40">
        <v>14</v>
      </c>
      <c r="O1215" s="40">
        <v>15</v>
      </c>
      <c r="P1215" s="40">
        <v>15</v>
      </c>
      <c r="Q1215" s="945">
        <v>15</v>
      </c>
    </row>
    <row r="1216" spans="2:17" ht="29.25" customHeight="1" x14ac:dyDescent="0.2">
      <c r="B1216" s="2036"/>
      <c r="C1216" s="2039"/>
      <c r="D1216" s="2039"/>
      <c r="E1216" s="2041"/>
      <c r="F1216" s="1869"/>
      <c r="G1216" s="1869"/>
      <c r="H1216" s="1869"/>
      <c r="I1216" s="1869"/>
      <c r="J1216" s="1869"/>
      <c r="K1216" s="942" t="s">
        <v>1627</v>
      </c>
      <c r="L1216" s="668" t="s">
        <v>1533</v>
      </c>
      <c r="M1216" s="40">
        <v>0</v>
      </c>
      <c r="N1216" s="40">
        <v>2</v>
      </c>
      <c r="O1216" s="40">
        <v>5</v>
      </c>
      <c r="P1216" s="40">
        <v>5</v>
      </c>
      <c r="Q1216" s="945">
        <v>5</v>
      </c>
    </row>
    <row r="1217" spans="2:17" ht="29.25" customHeight="1" x14ac:dyDescent="0.2">
      <c r="B1217" s="2037"/>
      <c r="C1217" s="2040"/>
      <c r="D1217" s="2040"/>
      <c r="E1217" s="2041"/>
      <c r="F1217" s="1870"/>
      <c r="G1217" s="1870"/>
      <c r="H1217" s="1870"/>
      <c r="I1217" s="1870"/>
      <c r="J1217" s="1870"/>
      <c r="K1217" s="942" t="s">
        <v>1628</v>
      </c>
      <c r="L1217" s="668" t="s">
        <v>1533</v>
      </c>
      <c r="M1217" s="40">
        <v>26</v>
      </c>
      <c r="N1217" s="40">
        <v>29</v>
      </c>
      <c r="O1217" s="40">
        <v>30</v>
      </c>
      <c r="P1217" s="40">
        <v>30</v>
      </c>
      <c r="Q1217" s="945">
        <v>30</v>
      </c>
    </row>
    <row r="1218" spans="2:17" ht="29.25" customHeight="1" x14ac:dyDescent="0.2">
      <c r="B1218" s="2035"/>
      <c r="C1218" s="2038" t="s">
        <v>128</v>
      </c>
      <c r="D1218" s="2038"/>
      <c r="E1218" s="2041" t="s">
        <v>1629</v>
      </c>
      <c r="F1218" s="1868">
        <v>20981.7</v>
      </c>
      <c r="G1218" s="1868">
        <v>20981.7</v>
      </c>
      <c r="H1218" s="1868">
        <v>20981.7</v>
      </c>
      <c r="I1218" s="1868">
        <v>20981.7</v>
      </c>
      <c r="J1218" s="1868">
        <f>I1218*5%+20981.7</f>
        <v>22030.785</v>
      </c>
      <c r="K1218" s="942" t="s">
        <v>1630</v>
      </c>
      <c r="L1218" s="668" t="s">
        <v>1533</v>
      </c>
      <c r="M1218" s="40">
        <v>1200</v>
      </c>
      <c r="N1218" s="40">
        <v>1100</v>
      </c>
      <c r="O1218" s="40">
        <v>1000</v>
      </c>
      <c r="P1218" s="40">
        <v>1000</v>
      </c>
      <c r="Q1218" s="945">
        <v>1000</v>
      </c>
    </row>
    <row r="1219" spans="2:17" ht="29.25" customHeight="1" x14ac:dyDescent="0.2">
      <c r="B1219" s="2036"/>
      <c r="C1219" s="2039"/>
      <c r="D1219" s="2039"/>
      <c r="E1219" s="2041"/>
      <c r="F1219" s="1869"/>
      <c r="G1219" s="1869"/>
      <c r="H1219" s="1869"/>
      <c r="I1219" s="1869"/>
      <c r="J1219" s="1869"/>
      <c r="K1219" s="942" t="s">
        <v>1631</v>
      </c>
      <c r="L1219" s="668" t="s">
        <v>1533</v>
      </c>
      <c r="M1219" s="40">
        <v>85</v>
      </c>
      <c r="N1219" s="40">
        <v>85</v>
      </c>
      <c r="O1219" s="40">
        <v>85</v>
      </c>
      <c r="P1219" s="40">
        <v>85</v>
      </c>
      <c r="Q1219" s="945">
        <v>85</v>
      </c>
    </row>
    <row r="1220" spans="2:17" ht="29.25" customHeight="1" x14ac:dyDescent="0.2">
      <c r="B1220" s="2036"/>
      <c r="C1220" s="2039"/>
      <c r="D1220" s="2039"/>
      <c r="E1220" s="2041"/>
      <c r="F1220" s="1869"/>
      <c r="G1220" s="1869"/>
      <c r="H1220" s="1869"/>
      <c r="I1220" s="1869"/>
      <c r="J1220" s="1869"/>
      <c r="K1220" s="942" t="s">
        <v>1632</v>
      </c>
      <c r="L1220" s="668" t="s">
        <v>1533</v>
      </c>
      <c r="M1220" s="40">
        <v>273</v>
      </c>
      <c r="N1220" s="40">
        <v>277</v>
      </c>
      <c r="O1220" s="40">
        <v>279</v>
      </c>
      <c r="P1220" s="40">
        <v>279</v>
      </c>
      <c r="Q1220" s="945">
        <v>279</v>
      </c>
    </row>
    <row r="1221" spans="2:17" ht="29.25" customHeight="1" x14ac:dyDescent="0.2">
      <c r="B1221" s="2037"/>
      <c r="C1221" s="2040"/>
      <c r="D1221" s="2040"/>
      <c r="E1221" s="2041"/>
      <c r="F1221" s="1870"/>
      <c r="G1221" s="1870"/>
      <c r="H1221" s="1870"/>
      <c r="I1221" s="1870"/>
      <c r="J1221" s="1870"/>
      <c r="K1221" s="942" t="s">
        <v>1633</v>
      </c>
      <c r="L1221" s="668" t="s">
        <v>1533</v>
      </c>
      <c r="M1221" s="40">
        <v>2</v>
      </c>
      <c r="N1221" s="40">
        <v>4</v>
      </c>
      <c r="O1221" s="40">
        <v>6</v>
      </c>
      <c r="P1221" s="40">
        <v>6</v>
      </c>
      <c r="Q1221" s="945">
        <v>6</v>
      </c>
    </row>
    <row r="1222" spans="2:17" ht="29.25" customHeight="1" x14ac:dyDescent="0.2">
      <c r="B1222" s="2408"/>
      <c r="C1222" s="2038" t="s">
        <v>202</v>
      </c>
      <c r="D1222" s="2043"/>
      <c r="E1222" s="2041" t="s">
        <v>1634</v>
      </c>
      <c r="F1222" s="1868">
        <v>20981.7</v>
      </c>
      <c r="G1222" s="1868">
        <v>20981.7</v>
      </c>
      <c r="H1222" s="1868">
        <v>20981.7</v>
      </c>
      <c r="I1222" s="1868">
        <v>20981.7</v>
      </c>
      <c r="J1222" s="1868">
        <f>I1222*5%+20981.7</f>
        <v>22030.785</v>
      </c>
      <c r="K1222" s="942" t="s">
        <v>1635</v>
      </c>
      <c r="L1222" s="668" t="s">
        <v>1533</v>
      </c>
      <c r="M1222" s="591" t="s">
        <v>1312</v>
      </c>
      <c r="N1222" s="591" t="s">
        <v>1313</v>
      </c>
      <c r="O1222" s="591" t="s">
        <v>1313</v>
      </c>
      <c r="P1222" s="591" t="s">
        <v>1314</v>
      </c>
      <c r="Q1222" s="453" t="s">
        <v>1304</v>
      </c>
    </row>
    <row r="1223" spans="2:17" ht="29.25" customHeight="1" x14ac:dyDescent="0.2">
      <c r="B1223" s="2408"/>
      <c r="C1223" s="2039"/>
      <c r="D1223" s="2043"/>
      <c r="E1223" s="2041"/>
      <c r="F1223" s="1869"/>
      <c r="G1223" s="1869"/>
      <c r="H1223" s="1869"/>
      <c r="I1223" s="1869"/>
      <c r="J1223" s="1869"/>
      <c r="K1223" s="942" t="s">
        <v>1636</v>
      </c>
      <c r="L1223" s="668" t="s">
        <v>1533</v>
      </c>
      <c r="M1223" s="40">
        <v>420</v>
      </c>
      <c r="N1223" s="40">
        <v>415</v>
      </c>
      <c r="O1223" s="40">
        <v>410</v>
      </c>
      <c r="P1223" s="40">
        <v>410</v>
      </c>
      <c r="Q1223" s="945">
        <v>410</v>
      </c>
    </row>
    <row r="1224" spans="2:17" ht="29.25" customHeight="1" x14ac:dyDescent="0.2">
      <c r="B1224" s="2408"/>
      <c r="C1224" s="2039"/>
      <c r="D1224" s="2043"/>
      <c r="E1224" s="2041"/>
      <c r="F1224" s="1869"/>
      <c r="G1224" s="1869"/>
      <c r="H1224" s="1869"/>
      <c r="I1224" s="1869"/>
      <c r="J1224" s="1869"/>
      <c r="K1224" s="942" t="s">
        <v>1637</v>
      </c>
      <c r="L1224" s="591" t="s">
        <v>16</v>
      </c>
      <c r="M1224" s="40">
        <v>90</v>
      </c>
      <c r="N1224" s="40">
        <v>90</v>
      </c>
      <c r="O1224" s="40">
        <v>90</v>
      </c>
      <c r="P1224" s="40">
        <v>90</v>
      </c>
      <c r="Q1224" s="945">
        <v>90</v>
      </c>
    </row>
    <row r="1225" spans="2:17" ht="29.25" customHeight="1" x14ac:dyDescent="0.2">
      <c r="B1225" s="2408"/>
      <c r="C1225" s="2039"/>
      <c r="D1225" s="2043"/>
      <c r="E1225" s="2041"/>
      <c r="F1225" s="1869"/>
      <c r="G1225" s="1869"/>
      <c r="H1225" s="1869"/>
      <c r="I1225" s="1869"/>
      <c r="J1225" s="1869"/>
      <c r="K1225" s="942" t="s">
        <v>1638</v>
      </c>
      <c r="L1225" s="668" t="s">
        <v>1590</v>
      </c>
      <c r="M1225" s="40">
        <v>9264.2000000000007</v>
      </c>
      <c r="N1225" s="40">
        <v>9727.4</v>
      </c>
      <c r="O1225" s="40">
        <v>10190.6</v>
      </c>
      <c r="P1225" s="40">
        <v>10190.6</v>
      </c>
      <c r="Q1225" s="945">
        <v>10190.6</v>
      </c>
    </row>
    <row r="1226" spans="2:17" ht="29.25" customHeight="1" x14ac:dyDescent="0.2">
      <c r="B1226" s="2408"/>
      <c r="C1226" s="2039"/>
      <c r="D1226" s="2043"/>
      <c r="E1226" s="2041"/>
      <c r="F1226" s="1869"/>
      <c r="G1226" s="1869"/>
      <c r="H1226" s="1869"/>
      <c r="I1226" s="1869"/>
      <c r="J1226" s="1869"/>
      <c r="K1226" s="942" t="s">
        <v>1639</v>
      </c>
      <c r="L1226" s="668" t="s">
        <v>1533</v>
      </c>
      <c r="M1226" s="40">
        <v>9</v>
      </c>
      <c r="N1226" s="40">
        <v>9</v>
      </c>
      <c r="O1226" s="40">
        <v>9</v>
      </c>
      <c r="P1226" s="40">
        <v>9</v>
      </c>
      <c r="Q1226" s="945">
        <v>9</v>
      </c>
    </row>
    <row r="1227" spans="2:17" ht="84" customHeight="1" x14ac:dyDescent="0.2">
      <c r="B1227" s="2408"/>
      <c r="C1227" s="2039"/>
      <c r="D1227" s="2043"/>
      <c r="E1227" s="2041"/>
      <c r="F1227" s="1869"/>
      <c r="G1227" s="1869"/>
      <c r="H1227" s="1869"/>
      <c r="I1227" s="1869"/>
      <c r="J1227" s="1869"/>
      <c r="K1227" s="942" t="s">
        <v>1640</v>
      </c>
      <c r="L1227" s="668" t="s">
        <v>1641</v>
      </c>
      <c r="M1227" s="40">
        <v>62</v>
      </c>
      <c r="N1227" s="40">
        <v>70</v>
      </c>
      <c r="O1227" s="40">
        <v>75</v>
      </c>
      <c r="P1227" s="40">
        <v>75</v>
      </c>
      <c r="Q1227" s="945">
        <v>75</v>
      </c>
    </row>
    <row r="1228" spans="2:17" ht="29.25" customHeight="1" x14ac:dyDescent="0.2">
      <c r="B1228" s="2408"/>
      <c r="C1228" s="2040"/>
      <c r="D1228" s="2043"/>
      <c r="E1228" s="2041"/>
      <c r="F1228" s="1870"/>
      <c r="G1228" s="1870"/>
      <c r="H1228" s="1870"/>
      <c r="I1228" s="1870"/>
      <c r="J1228" s="1870"/>
      <c r="K1228" s="942" t="s">
        <v>1642</v>
      </c>
      <c r="L1228" s="668" t="s">
        <v>1533</v>
      </c>
      <c r="M1228" s="40">
        <v>19000</v>
      </c>
      <c r="N1228" s="40">
        <v>20000</v>
      </c>
      <c r="O1228" s="40">
        <v>21000</v>
      </c>
      <c r="P1228" s="40">
        <v>21000</v>
      </c>
      <c r="Q1228" s="945">
        <v>21000</v>
      </c>
    </row>
    <row r="1229" spans="2:17" ht="29.25" customHeight="1" x14ac:dyDescent="0.2">
      <c r="B1229" s="596"/>
      <c r="C1229" s="596" t="s">
        <v>149</v>
      </c>
      <c r="D1229" s="596"/>
      <c r="E1229" s="539" t="s">
        <v>1588</v>
      </c>
      <c r="F1229" s="1568">
        <v>15000</v>
      </c>
      <c r="G1229" s="1568">
        <v>10000</v>
      </c>
      <c r="H1229" s="1568"/>
      <c r="I1229" s="1568">
        <v>9317.7999999999993</v>
      </c>
      <c r="J1229" s="1568">
        <f>I1229*5%+9317.8</f>
        <v>9783.6899999999987</v>
      </c>
      <c r="K1229" s="942" t="s">
        <v>2886</v>
      </c>
      <c r="L1229" s="668" t="s">
        <v>1533</v>
      </c>
      <c r="M1229" s="668" t="s">
        <v>1536</v>
      </c>
      <c r="N1229" s="668" t="s">
        <v>1536</v>
      </c>
      <c r="O1229" s="668" t="s">
        <v>1536</v>
      </c>
      <c r="P1229" s="668" t="s">
        <v>1536</v>
      </c>
      <c r="Q1229" s="668" t="s">
        <v>1536</v>
      </c>
    </row>
    <row r="1230" spans="2:17" ht="29.25" customHeight="1" x14ac:dyDescent="0.2">
      <c r="B1230" s="1453" t="s">
        <v>2887</v>
      </c>
      <c r="C1230" s="590" t="s">
        <v>114</v>
      </c>
      <c r="D1230" s="590"/>
      <c r="E1230" s="586" t="s">
        <v>1643</v>
      </c>
      <c r="F1230" s="1568">
        <v>139600</v>
      </c>
      <c r="G1230" s="1568">
        <v>282000</v>
      </c>
      <c r="H1230" s="1568">
        <v>354450</v>
      </c>
      <c r="I1230" s="1568">
        <v>132725.29999999999</v>
      </c>
      <c r="J1230" s="1568"/>
      <c r="K1230" s="942"/>
      <c r="L1230" s="591"/>
      <c r="M1230" s="40"/>
      <c r="N1230" s="40"/>
      <c r="O1230" s="40"/>
      <c r="P1230" s="40"/>
      <c r="Q1230" s="945"/>
    </row>
    <row r="1231" spans="2:17" ht="29.25" customHeight="1" x14ac:dyDescent="0.2">
      <c r="B1231" s="2025" t="s">
        <v>3104</v>
      </c>
      <c r="C1231" s="2026"/>
      <c r="D1231" s="2026"/>
      <c r="E1231" s="2026"/>
      <c r="F1231" s="1572">
        <f>F1199+F1183+F1170+F1147+F1139+F1230</f>
        <v>923500.20000000007</v>
      </c>
      <c r="G1231" s="1572">
        <f>G1199+G1183+G1170+G1147+G1139+G1230</f>
        <v>1022900.2000000001</v>
      </c>
      <c r="H1231" s="1572">
        <f>H1199+H1183+H1170+H1147+H1139+H1230</f>
        <v>940229.6</v>
      </c>
      <c r="I1231" s="1572">
        <f>I1199+I1183+I1170+I1147+I1139+I1230</f>
        <v>875572.39999999991</v>
      </c>
      <c r="J1231" s="1572">
        <f>J1199+J1183+J1170+J1147+J1139+J1230</f>
        <v>779989.45499999996</v>
      </c>
      <c r="K1231" s="704"/>
      <c r="L1231" s="1863"/>
      <c r="M1231" s="1863"/>
      <c r="N1231" s="1863"/>
      <c r="O1231" s="1863"/>
      <c r="P1231" s="1863"/>
      <c r="Q1231" s="1864"/>
    </row>
    <row r="1232" spans="2:17" ht="29.25" customHeight="1" x14ac:dyDescent="0.2">
      <c r="B1232" s="1865" t="s">
        <v>1644</v>
      </c>
      <c r="C1232" s="1866"/>
      <c r="D1232" s="1866"/>
      <c r="E1232" s="1866"/>
      <c r="F1232" s="1866"/>
      <c r="G1232" s="1866"/>
      <c r="H1232" s="1866"/>
      <c r="I1232" s="1866"/>
      <c r="J1232" s="1866"/>
      <c r="K1232" s="1866"/>
      <c r="L1232" s="1866"/>
      <c r="M1232" s="1866"/>
      <c r="N1232" s="1866"/>
      <c r="O1232" s="1866"/>
      <c r="P1232" s="1866"/>
      <c r="Q1232" s="1867"/>
    </row>
    <row r="1233" spans="2:17" ht="29.25" customHeight="1" x14ac:dyDescent="0.2">
      <c r="B1233" s="954">
        <v>1</v>
      </c>
      <c r="C1233" s="749"/>
      <c r="D1233" s="206"/>
      <c r="E1233" s="955" t="s">
        <v>2541</v>
      </c>
      <c r="F1233" s="1588">
        <v>326651.69999999995</v>
      </c>
      <c r="G1233" s="1588">
        <f>G1234+G1235+G1236+G1237+G1238+G1239+G1240</f>
        <v>208360.7</v>
      </c>
      <c r="H1233" s="1588">
        <f>H1234+H1235+H1236+H1237+H1238+H1239+H1240</f>
        <v>305211.03512337781</v>
      </c>
      <c r="I1233" s="1588">
        <f>I1234+I1235+I1236+I1237+I1238+I1239+I1240</f>
        <v>304690.31163726479</v>
      </c>
      <c r="J1233" s="1588">
        <f t="shared" ref="J1233" si="57">J1234+J1235+J1236+J1237+J1238+J1239+J1240</f>
        <v>310426.53332027263</v>
      </c>
      <c r="K1233" s="160" t="s">
        <v>1645</v>
      </c>
      <c r="L1233" s="521" t="s">
        <v>16</v>
      </c>
      <c r="M1233" s="521"/>
      <c r="N1233" s="521"/>
      <c r="O1233" s="521"/>
      <c r="P1233" s="521"/>
      <c r="Q1233" s="521"/>
    </row>
    <row r="1234" spans="2:17" ht="29.25" customHeight="1" x14ac:dyDescent="0.2">
      <c r="B1234" s="935"/>
      <c r="C1234" s="598">
        <v>1</v>
      </c>
      <c r="D1234" s="213"/>
      <c r="E1234" s="586" t="s">
        <v>182</v>
      </c>
      <c r="F1234" s="1547">
        <v>10084.9</v>
      </c>
      <c r="G1234" s="1547">
        <v>11252.400000000001</v>
      </c>
      <c r="H1234" s="1547">
        <v>10852.490357886689</v>
      </c>
      <c r="I1234" s="1538">
        <v>11156.885348440839</v>
      </c>
      <c r="J1234" s="1538">
        <v>11366.929334764725</v>
      </c>
      <c r="K1234" s="586" t="s">
        <v>1646</v>
      </c>
      <c r="L1234" s="22" t="s">
        <v>19</v>
      </c>
      <c r="M1234" s="22">
        <v>33.799999999999997</v>
      </c>
      <c r="N1234" s="418">
        <v>35.6</v>
      </c>
      <c r="O1234" s="22">
        <v>34</v>
      </c>
      <c r="P1234" s="22" t="s">
        <v>1316</v>
      </c>
      <c r="Q1234" s="22">
        <v>35</v>
      </c>
    </row>
    <row r="1235" spans="2:17" ht="29.25" customHeight="1" x14ac:dyDescent="0.2">
      <c r="B1235" s="935"/>
      <c r="C1235" s="598">
        <v>2</v>
      </c>
      <c r="D1235" s="213"/>
      <c r="E1235" s="586" t="s">
        <v>1647</v>
      </c>
      <c r="F1235" s="1547">
        <v>7266.7</v>
      </c>
      <c r="G1235" s="1547">
        <v>8335.2000000000007</v>
      </c>
      <c r="H1235" s="1547">
        <v>8071.5558004113263</v>
      </c>
      <c r="I1235" s="1538">
        <v>8297.9500261235844</v>
      </c>
      <c r="J1235" s="1538">
        <v>8454.1705524953977</v>
      </c>
      <c r="K1235" s="586" t="s">
        <v>1648</v>
      </c>
      <c r="L1235" s="22" t="s">
        <v>16</v>
      </c>
      <c r="M1235" s="95">
        <v>78.7</v>
      </c>
      <c r="N1235" s="95">
        <v>85</v>
      </c>
      <c r="O1235" s="22">
        <v>90</v>
      </c>
      <c r="P1235" s="22">
        <v>90</v>
      </c>
      <c r="Q1235" s="22">
        <v>90</v>
      </c>
    </row>
    <row r="1236" spans="2:17" ht="29.25" customHeight="1" x14ac:dyDescent="0.2">
      <c r="B1236" s="935"/>
      <c r="C1236" s="598">
        <v>3</v>
      </c>
      <c r="D1236" s="213"/>
      <c r="E1236" s="586" t="s">
        <v>117</v>
      </c>
      <c r="F1236" s="1547">
        <v>5343.8</v>
      </c>
      <c r="G1236" s="1547">
        <v>6269.5999999999995</v>
      </c>
      <c r="H1236" s="1547">
        <v>6126.7327449127988</v>
      </c>
      <c r="I1236" s="1538">
        <v>6298.5777956352113</v>
      </c>
      <c r="J1236" s="1538">
        <v>6417.1573406469579</v>
      </c>
      <c r="K1236" s="586" t="s">
        <v>1649</v>
      </c>
      <c r="L1236" s="22" t="s">
        <v>16</v>
      </c>
      <c r="M1236" s="22">
        <v>72.7</v>
      </c>
      <c r="N1236" s="668" t="s">
        <v>1536</v>
      </c>
      <c r="O1236" s="668" t="s">
        <v>1536</v>
      </c>
      <c r="P1236" s="668" t="s">
        <v>1536</v>
      </c>
      <c r="Q1236" s="668" t="s">
        <v>1536</v>
      </c>
    </row>
    <row r="1237" spans="2:17" ht="84.75" customHeight="1" x14ac:dyDescent="0.2">
      <c r="B1237" s="935"/>
      <c r="C1237" s="598">
        <v>4</v>
      </c>
      <c r="D1237" s="213"/>
      <c r="E1237" s="586" t="s">
        <v>25</v>
      </c>
      <c r="F1237" s="1547">
        <v>5500.7</v>
      </c>
      <c r="G1237" s="1547">
        <v>6273.5999999999995</v>
      </c>
      <c r="H1237" s="1547">
        <v>6412.8613136541117</v>
      </c>
      <c r="I1237" s="1538">
        <v>6592.7318129240084</v>
      </c>
      <c r="J1237" s="1538">
        <v>6716.8492191268415</v>
      </c>
      <c r="K1237" s="586" t="s">
        <v>1650</v>
      </c>
      <c r="L1237" s="22" t="s">
        <v>1651</v>
      </c>
      <c r="M1237" s="22" t="s">
        <v>1317</v>
      </c>
      <c r="N1237" s="668" t="s">
        <v>1536</v>
      </c>
      <c r="O1237" s="668" t="s">
        <v>1536</v>
      </c>
      <c r="P1237" s="668" t="s">
        <v>1536</v>
      </c>
      <c r="Q1237" s="668" t="s">
        <v>1536</v>
      </c>
    </row>
    <row r="1238" spans="2:17" ht="29.25" customHeight="1" x14ac:dyDescent="0.2">
      <c r="B1238" s="935"/>
      <c r="C1238" s="598">
        <v>5</v>
      </c>
      <c r="D1238" s="213"/>
      <c r="E1238" s="586" t="s">
        <v>1652</v>
      </c>
      <c r="F1238" s="1547">
        <v>5032.8999999999996</v>
      </c>
      <c r="G1238" s="1547">
        <v>6271.4</v>
      </c>
      <c r="H1238" s="1547">
        <v>6088.6275435537264</v>
      </c>
      <c r="I1238" s="1538">
        <v>6259.4038043463388</v>
      </c>
      <c r="J1238" s="1538">
        <v>6377.2458441284853</v>
      </c>
      <c r="K1238" s="586" t="s">
        <v>2888</v>
      </c>
      <c r="L1238" s="22" t="s">
        <v>122</v>
      </c>
      <c r="M1238" s="22">
        <v>359</v>
      </c>
      <c r="N1238" s="22">
        <v>180</v>
      </c>
      <c r="O1238" s="22">
        <v>185</v>
      </c>
      <c r="P1238" s="22">
        <v>190</v>
      </c>
      <c r="Q1238" s="22">
        <v>195</v>
      </c>
    </row>
    <row r="1239" spans="2:17" ht="29.25" customHeight="1" x14ac:dyDescent="0.2">
      <c r="B1239" s="935"/>
      <c r="C1239" s="598">
        <v>6</v>
      </c>
      <c r="D1239" s="213"/>
      <c r="E1239" s="586" t="s">
        <v>571</v>
      </c>
      <c r="F1239" s="1547">
        <v>284691.09999999998</v>
      </c>
      <c r="G1239" s="1547">
        <v>158851</v>
      </c>
      <c r="H1239" s="1547">
        <f>248102.6+1504.5+150.7+4493.2+2685.2</f>
        <v>256936.20000000004</v>
      </c>
      <c r="I1239" s="1538">
        <v>255061.44462841246</v>
      </c>
      <c r="J1239" s="1538">
        <v>259863.3334095648</v>
      </c>
      <c r="K1239" s="586" t="s">
        <v>1653</v>
      </c>
      <c r="L1239" s="22" t="s">
        <v>16</v>
      </c>
      <c r="M1239" s="22">
        <v>34</v>
      </c>
      <c r="N1239" s="22">
        <v>31.8</v>
      </c>
      <c r="O1239" s="22">
        <v>31.8</v>
      </c>
      <c r="P1239" s="22">
        <v>31.8</v>
      </c>
      <c r="Q1239" s="22">
        <v>31.8</v>
      </c>
    </row>
    <row r="1240" spans="2:17" ht="29.25" customHeight="1" x14ac:dyDescent="0.2">
      <c r="B1240" s="935"/>
      <c r="C1240" s="598">
        <v>7</v>
      </c>
      <c r="D1240" s="599"/>
      <c r="E1240" s="586" t="s">
        <v>1654</v>
      </c>
      <c r="F1240" s="1547">
        <v>8731.6</v>
      </c>
      <c r="G1240" s="1547">
        <v>11107.5</v>
      </c>
      <c r="H1240" s="1547">
        <v>10722.567362959133</v>
      </c>
      <c r="I1240" s="1538">
        <v>11023.318221382357</v>
      </c>
      <c r="J1240" s="1538">
        <v>11230.84761954539</v>
      </c>
      <c r="K1240" s="586" t="s">
        <v>1655</v>
      </c>
      <c r="L1240" s="22" t="s">
        <v>16</v>
      </c>
      <c r="M1240" s="22">
        <v>80</v>
      </c>
      <c r="N1240" s="22">
        <v>39.6</v>
      </c>
      <c r="O1240" s="22">
        <v>26.4</v>
      </c>
      <c r="P1240" s="22">
        <v>0</v>
      </c>
      <c r="Q1240" s="22">
        <v>0</v>
      </c>
    </row>
    <row r="1241" spans="2:17" ht="29.25" customHeight="1" x14ac:dyDescent="0.2">
      <c r="B1241" s="720" t="s">
        <v>131</v>
      </c>
      <c r="C1241" s="957"/>
      <c r="D1241" s="487"/>
      <c r="E1241" s="160" t="s">
        <v>1656</v>
      </c>
      <c r="F1241" s="1588">
        <v>272645.31</v>
      </c>
      <c r="G1241" s="1588">
        <f>G1242+G1243</f>
        <v>277847.69999999995</v>
      </c>
      <c r="H1241" s="1588">
        <v>320137.40000000002</v>
      </c>
      <c r="I1241" s="1588">
        <v>328016.52467100002</v>
      </c>
      <c r="J1241" s="1588">
        <v>334051.5293242163</v>
      </c>
      <c r="K1241" s="160" t="s">
        <v>1657</v>
      </c>
      <c r="L1241" s="22"/>
      <c r="M1241" s="108"/>
      <c r="N1241" s="728"/>
      <c r="O1241" s="728"/>
      <c r="P1241" s="728"/>
      <c r="Q1241" s="728"/>
    </row>
    <row r="1242" spans="2:17" ht="29.25" customHeight="1" x14ac:dyDescent="0.2">
      <c r="B1242" s="958"/>
      <c r="C1242" s="696" t="s">
        <v>114</v>
      </c>
      <c r="D1242" s="427"/>
      <c r="E1242" s="586" t="s">
        <v>1658</v>
      </c>
      <c r="F1242" s="1547">
        <v>190851.72999999998</v>
      </c>
      <c r="G1242" s="1547">
        <v>194493.38999999998</v>
      </c>
      <c r="H1242" s="1547">
        <f>H1241*70%</f>
        <v>224096.18</v>
      </c>
      <c r="I1242" s="1538">
        <f>I1241*70%</f>
        <v>229611.5672697</v>
      </c>
      <c r="J1242" s="1538">
        <f>J1241*70%</f>
        <v>233836.0705269514</v>
      </c>
      <c r="K1242" s="586" t="s">
        <v>1659</v>
      </c>
      <c r="L1242" s="22" t="s">
        <v>1660</v>
      </c>
      <c r="M1242" s="695">
        <v>1061.05</v>
      </c>
      <c r="N1242" s="695">
        <v>1220.21</v>
      </c>
      <c r="O1242" s="695">
        <v>1260.53</v>
      </c>
      <c r="P1242" s="695">
        <v>1323.56</v>
      </c>
      <c r="Q1242" s="695">
        <v>1389.74</v>
      </c>
    </row>
    <row r="1243" spans="2:17" ht="29.25" customHeight="1" x14ac:dyDescent="0.2">
      <c r="B1243" s="958"/>
      <c r="C1243" s="696" t="s">
        <v>116</v>
      </c>
      <c r="D1243" s="427"/>
      <c r="E1243" s="586" t="s">
        <v>1661</v>
      </c>
      <c r="F1243" s="1547">
        <v>81793.58</v>
      </c>
      <c r="G1243" s="1547">
        <v>83354.31</v>
      </c>
      <c r="H1243" s="1547">
        <f>H1241*30%</f>
        <v>96041.22</v>
      </c>
      <c r="I1243" s="1538">
        <f>I1241*30%</f>
        <v>98404.957401300009</v>
      </c>
      <c r="J1243" s="1538">
        <f>J1241*30%</f>
        <v>100215.45879726489</v>
      </c>
      <c r="K1243" s="586" t="s">
        <v>1662</v>
      </c>
      <c r="L1243" s="22" t="s">
        <v>1660</v>
      </c>
      <c r="M1243" s="695">
        <v>365.9</v>
      </c>
      <c r="N1243" s="695">
        <v>401.66</v>
      </c>
      <c r="O1243" s="695">
        <v>442.74</v>
      </c>
      <c r="P1243" s="695">
        <v>464.88</v>
      </c>
      <c r="Q1243" s="695">
        <v>488.1</v>
      </c>
    </row>
    <row r="1244" spans="2:17" ht="29.25" customHeight="1" x14ac:dyDescent="0.2">
      <c r="B1244" s="959" t="s">
        <v>155</v>
      </c>
      <c r="C1244" s="957"/>
      <c r="D1244" s="487"/>
      <c r="E1244" s="659" t="s">
        <v>1663</v>
      </c>
      <c r="F1244" s="1588">
        <f>F1245+F1246</f>
        <v>101046.8</v>
      </c>
      <c r="G1244" s="1588">
        <f t="shared" ref="G1244" si="58">G1245+G1246</f>
        <v>295091.29999999993</v>
      </c>
      <c r="H1244" s="1588">
        <v>190025.4</v>
      </c>
      <c r="I1244" s="1588">
        <v>195713.13712795</v>
      </c>
      <c r="J1244" s="1588">
        <v>199510.86840710888</v>
      </c>
      <c r="K1244" s="160" t="s">
        <v>1657</v>
      </c>
      <c r="L1244" s="108"/>
      <c r="M1244" s="108"/>
      <c r="N1244" s="728"/>
      <c r="O1244" s="728"/>
      <c r="P1244" s="728"/>
      <c r="Q1244" s="728"/>
    </row>
    <row r="1245" spans="2:17" ht="29.25" customHeight="1" x14ac:dyDescent="0.2">
      <c r="B1245" s="958"/>
      <c r="C1245" s="696" t="s">
        <v>114</v>
      </c>
      <c r="D1245" s="427"/>
      <c r="E1245" s="41" t="s">
        <v>1664</v>
      </c>
      <c r="F1245" s="1547">
        <v>47492</v>
      </c>
      <c r="G1245" s="1538">
        <v>138692.90800673122</v>
      </c>
      <c r="H1245" s="1538">
        <v>89311.937999999995</v>
      </c>
      <c r="I1245" s="1538">
        <f>I1244*47%</f>
        <v>91985.174450136503</v>
      </c>
      <c r="J1245" s="1538">
        <f>J1244*47%</f>
        <v>93770.108151341163</v>
      </c>
      <c r="K1245" s="586" t="s">
        <v>1665</v>
      </c>
      <c r="L1245" s="22" t="s">
        <v>122</v>
      </c>
      <c r="M1245" s="808">
        <v>317226</v>
      </c>
      <c r="N1245" s="960">
        <v>196808</v>
      </c>
      <c r="O1245" s="808">
        <v>221803</v>
      </c>
      <c r="P1245" s="808">
        <v>226239</v>
      </c>
      <c r="Q1245" s="808">
        <v>230764</v>
      </c>
    </row>
    <row r="1246" spans="2:17" ht="29.25" customHeight="1" x14ac:dyDescent="0.2">
      <c r="B1246" s="958"/>
      <c r="C1246" s="696" t="s">
        <v>116</v>
      </c>
      <c r="D1246" s="427"/>
      <c r="E1246" s="41" t="s">
        <v>1666</v>
      </c>
      <c r="F1246" s="1547">
        <v>53554.8</v>
      </c>
      <c r="G1246" s="1538">
        <v>156398.39199326874</v>
      </c>
      <c r="H1246" s="1538">
        <v>100713.462</v>
      </c>
      <c r="I1246" s="1538">
        <f>I1244*53%</f>
        <v>103727.9626778135</v>
      </c>
      <c r="J1246" s="1538">
        <f>J1244*53%</f>
        <v>105740.76025576772</v>
      </c>
      <c r="K1246" s="586" t="s">
        <v>1667</v>
      </c>
      <c r="L1246" s="22" t="s">
        <v>1178</v>
      </c>
      <c r="M1246" s="41">
        <v>110970</v>
      </c>
      <c r="N1246" s="960">
        <v>157592</v>
      </c>
      <c r="O1246" s="808">
        <v>185764</v>
      </c>
      <c r="P1246" s="808">
        <v>189479</v>
      </c>
      <c r="Q1246" s="808">
        <v>193268</v>
      </c>
    </row>
    <row r="1247" spans="2:17" ht="60" customHeight="1" x14ac:dyDescent="0.2">
      <c r="B1247" s="959" t="s">
        <v>253</v>
      </c>
      <c r="C1247" s="749"/>
      <c r="D1247" s="487"/>
      <c r="E1247" s="961" t="s">
        <v>1668</v>
      </c>
      <c r="F1247" s="1588">
        <f>F1248++F1249+F1250</f>
        <v>231334.39999999999</v>
      </c>
      <c r="G1247" s="1588">
        <f t="shared" ref="G1247:J1247" si="59">G1248++G1249+G1250</f>
        <v>231630.2</v>
      </c>
      <c r="H1247" s="1588">
        <f t="shared" si="59"/>
        <v>229198.6</v>
      </c>
      <c r="I1247" s="1588">
        <f t="shared" si="59"/>
        <v>233061.7</v>
      </c>
      <c r="J1247" s="1588">
        <f t="shared" si="59"/>
        <v>233418.60000000003</v>
      </c>
      <c r="K1247" s="160" t="s">
        <v>1669</v>
      </c>
      <c r="L1247" s="22" t="s">
        <v>1670</v>
      </c>
      <c r="M1247" s="95">
        <v>20878</v>
      </c>
      <c r="N1247" s="491">
        <v>20733</v>
      </c>
      <c r="O1247" s="491">
        <v>20733</v>
      </c>
      <c r="P1247" s="491">
        <v>20111</v>
      </c>
      <c r="Q1247" s="491">
        <v>20891</v>
      </c>
    </row>
    <row r="1248" spans="2:17" ht="71.25" customHeight="1" x14ac:dyDescent="0.2">
      <c r="B1248" s="1964"/>
      <c r="C1248" s="1746" t="s">
        <v>114</v>
      </c>
      <c r="D1248" s="1746"/>
      <c r="E1248" s="962" t="s">
        <v>1671</v>
      </c>
      <c r="F1248" s="1547">
        <f>219768</f>
        <v>219768</v>
      </c>
      <c r="G1248" s="1538">
        <f>220049.2</f>
        <v>220049.2</v>
      </c>
      <c r="H1248" s="1538">
        <v>217738</v>
      </c>
      <c r="I1248" s="1538">
        <f>221408.6</f>
        <v>221408.6</v>
      </c>
      <c r="J1248" s="1538">
        <f>221747.7</f>
        <v>221747.7</v>
      </c>
      <c r="K1248" s="586" t="s">
        <v>1672</v>
      </c>
      <c r="L1248" s="22" t="s">
        <v>1670</v>
      </c>
      <c r="M1248" s="460">
        <v>53509</v>
      </c>
      <c r="N1248" s="460">
        <f>85614.4*84/100</f>
        <v>71916.09599999999</v>
      </c>
      <c r="O1248" s="460">
        <f t="shared" ref="O1248:Q1248" si="60">85614.4*84/100</f>
        <v>71916.09599999999</v>
      </c>
      <c r="P1248" s="460">
        <f t="shared" si="60"/>
        <v>71916.09599999999</v>
      </c>
      <c r="Q1248" s="460">
        <f t="shared" si="60"/>
        <v>71916.09599999999</v>
      </c>
    </row>
    <row r="1249" spans="2:17" ht="29.25" customHeight="1" x14ac:dyDescent="0.2">
      <c r="B1249" s="1964"/>
      <c r="C1249" s="1746"/>
      <c r="D1249" s="1746"/>
      <c r="E1249" s="41" t="s">
        <v>2889</v>
      </c>
      <c r="F1249" s="1547">
        <v>9253.4</v>
      </c>
      <c r="G1249" s="1538">
        <f>9265</f>
        <v>9265</v>
      </c>
      <c r="H1249" s="1538">
        <f>9168+1</f>
        <v>9169</v>
      </c>
      <c r="I1249" s="1538">
        <f>9322.5</f>
        <v>9322.5</v>
      </c>
      <c r="J1249" s="1538">
        <f>9336.7</f>
        <v>9336.7000000000007</v>
      </c>
      <c r="K1249" s="41" t="s">
        <v>2889</v>
      </c>
      <c r="L1249" s="22" t="s">
        <v>1673</v>
      </c>
      <c r="M1249" s="460">
        <v>75850</v>
      </c>
      <c r="N1249" s="460">
        <f>87227*99/100</f>
        <v>86354.73</v>
      </c>
      <c r="O1249" s="460">
        <f t="shared" ref="O1249:Q1249" si="61">87227*99/100</f>
        <v>86354.73</v>
      </c>
      <c r="P1249" s="460">
        <f t="shared" si="61"/>
        <v>86354.73</v>
      </c>
      <c r="Q1249" s="460">
        <f t="shared" si="61"/>
        <v>86354.73</v>
      </c>
    </row>
    <row r="1250" spans="2:17" ht="29.25" customHeight="1" x14ac:dyDescent="0.2">
      <c r="B1250" s="958"/>
      <c r="C1250" s="696" t="s">
        <v>116</v>
      </c>
      <c r="D1250" s="696"/>
      <c r="E1250" s="41" t="s">
        <v>1674</v>
      </c>
      <c r="F1250" s="1547">
        <v>2313</v>
      </c>
      <c r="G1250" s="1538">
        <f>2316</f>
        <v>2316</v>
      </c>
      <c r="H1250" s="1538">
        <v>2291.6</v>
      </c>
      <c r="I1250" s="1538">
        <f>2330.6</f>
        <v>2330.6</v>
      </c>
      <c r="J1250" s="1538">
        <f>2334.8-0.6</f>
        <v>2334.2000000000003</v>
      </c>
      <c r="K1250" s="41" t="s">
        <v>2890</v>
      </c>
      <c r="L1250" s="22" t="s">
        <v>1670</v>
      </c>
      <c r="M1250" s="460">
        <v>4754</v>
      </c>
      <c r="N1250" s="460">
        <f>8462*2</f>
        <v>16924</v>
      </c>
      <c r="O1250" s="460">
        <f t="shared" ref="O1250:Q1250" si="62">8462*2</f>
        <v>16924</v>
      </c>
      <c r="P1250" s="460">
        <f t="shared" si="62"/>
        <v>16924</v>
      </c>
      <c r="Q1250" s="460">
        <f t="shared" si="62"/>
        <v>16924</v>
      </c>
    </row>
    <row r="1251" spans="2:17" ht="91.5" customHeight="1" x14ac:dyDescent="0.2">
      <c r="B1251" s="720" t="s">
        <v>146</v>
      </c>
      <c r="C1251" s="749" t="s">
        <v>114</v>
      </c>
      <c r="D1251" s="487"/>
      <c r="E1251" s="659" t="s">
        <v>1675</v>
      </c>
      <c r="F1251" s="1588">
        <v>2400</v>
      </c>
      <c r="G1251" s="1588">
        <v>2400</v>
      </c>
      <c r="H1251" s="1588">
        <v>0</v>
      </c>
      <c r="I1251" s="1588">
        <v>0</v>
      </c>
      <c r="J1251" s="1588">
        <v>0</v>
      </c>
      <c r="K1251" s="160" t="s">
        <v>1676</v>
      </c>
      <c r="L1251" s="22" t="s">
        <v>1677</v>
      </c>
      <c r="M1251" s="95" t="s">
        <v>1318</v>
      </c>
      <c r="N1251" s="963" t="s">
        <v>1319</v>
      </c>
      <c r="O1251" s="963" t="s">
        <v>1320</v>
      </c>
      <c r="P1251" s="963" t="s">
        <v>1321</v>
      </c>
      <c r="Q1251" s="963" t="s">
        <v>1311</v>
      </c>
    </row>
    <row r="1252" spans="2:17" ht="29.25" customHeight="1" x14ac:dyDescent="0.2">
      <c r="B1252" s="1964"/>
      <c r="C1252" s="1746" t="s">
        <v>114</v>
      </c>
      <c r="D1252" s="1746"/>
      <c r="E1252" s="41" t="s">
        <v>1678</v>
      </c>
      <c r="F1252" s="1773">
        <v>1200</v>
      </c>
      <c r="G1252" s="1740">
        <v>1200</v>
      </c>
      <c r="H1252" s="1740">
        <v>0</v>
      </c>
      <c r="I1252" s="1740">
        <v>0</v>
      </c>
      <c r="J1252" s="1740">
        <v>0</v>
      </c>
      <c r="K1252" s="586" t="s">
        <v>1679</v>
      </c>
      <c r="L1252" s="22" t="s">
        <v>1680</v>
      </c>
      <c r="M1252" s="22">
        <v>1450</v>
      </c>
      <c r="N1252" s="22">
        <v>1500</v>
      </c>
      <c r="O1252" s="22">
        <v>1500</v>
      </c>
      <c r="P1252" s="22">
        <v>1500</v>
      </c>
      <c r="Q1252" s="22">
        <v>1500</v>
      </c>
    </row>
    <row r="1253" spans="2:17" ht="29.25" customHeight="1" x14ac:dyDescent="0.2">
      <c r="B1253" s="1964"/>
      <c r="C1253" s="1746"/>
      <c r="D1253" s="1746"/>
      <c r="E1253" s="41" t="s">
        <v>1681</v>
      </c>
      <c r="F1253" s="1773"/>
      <c r="G1253" s="1740"/>
      <c r="H1253" s="1740"/>
      <c r="I1253" s="1740"/>
      <c r="J1253" s="1740"/>
      <c r="K1253" s="41" t="s">
        <v>1682</v>
      </c>
      <c r="L1253" s="22" t="s">
        <v>1677</v>
      </c>
      <c r="M1253" s="22">
        <v>152</v>
      </c>
      <c r="N1253" s="22">
        <v>170</v>
      </c>
      <c r="O1253" s="22">
        <v>170</v>
      </c>
      <c r="P1253" s="22">
        <v>170</v>
      </c>
      <c r="Q1253" s="22">
        <v>170</v>
      </c>
    </row>
    <row r="1254" spans="2:17" ht="29.25" customHeight="1" x14ac:dyDescent="0.2">
      <c r="B1254" s="1964"/>
      <c r="C1254" s="1746" t="s">
        <v>116</v>
      </c>
      <c r="D1254" s="1746"/>
      <c r="E1254" s="1847" t="s">
        <v>1681</v>
      </c>
      <c r="F1254" s="1773">
        <v>1200</v>
      </c>
      <c r="G1254" s="1740">
        <v>1200</v>
      </c>
      <c r="H1254" s="1740">
        <v>0</v>
      </c>
      <c r="I1254" s="1740">
        <v>0</v>
      </c>
      <c r="J1254" s="1740">
        <v>0</v>
      </c>
      <c r="K1254" s="586" t="s">
        <v>1679</v>
      </c>
      <c r="L1254" s="22" t="s">
        <v>1680</v>
      </c>
      <c r="M1254" s="965">
        <v>1450</v>
      </c>
      <c r="N1254" s="965">
        <v>1450</v>
      </c>
      <c r="O1254" s="965">
        <v>1450</v>
      </c>
      <c r="P1254" s="965">
        <v>1450</v>
      </c>
      <c r="Q1254" s="436">
        <v>1450</v>
      </c>
    </row>
    <row r="1255" spans="2:17" ht="29.25" customHeight="1" x14ac:dyDescent="0.2">
      <c r="B1255" s="1964"/>
      <c r="C1255" s="1746"/>
      <c r="D1255" s="1746"/>
      <c r="E1255" s="1847"/>
      <c r="F1255" s="1773"/>
      <c r="G1255" s="1740"/>
      <c r="H1255" s="1740"/>
      <c r="I1255" s="1740"/>
      <c r="J1255" s="1740"/>
      <c r="K1255" s="41" t="s">
        <v>1682</v>
      </c>
      <c r="L1255" s="22" t="s">
        <v>1677</v>
      </c>
      <c r="M1255" s="965">
        <v>152</v>
      </c>
      <c r="N1255" s="965">
        <v>152</v>
      </c>
      <c r="O1255" s="965">
        <v>152</v>
      </c>
      <c r="P1255" s="965">
        <v>152</v>
      </c>
      <c r="Q1255" s="436">
        <v>152</v>
      </c>
    </row>
    <row r="1256" spans="2:17" ht="29.25" customHeight="1" x14ac:dyDescent="0.2">
      <c r="B1256" s="966">
        <v>992</v>
      </c>
      <c r="C1256" s="967"/>
      <c r="D1256" s="968"/>
      <c r="E1256" s="523" t="s">
        <v>1683</v>
      </c>
      <c r="F1256" s="1343">
        <f>F1257+F1258</f>
        <v>51081.061000000002</v>
      </c>
      <c r="G1256" s="1343">
        <f>G1257+G1258</f>
        <v>115170</v>
      </c>
      <c r="H1256" s="1343">
        <f>H1257+H1258</f>
        <v>75225</v>
      </c>
      <c r="I1256" s="1343">
        <f t="shared" ref="I1256:J1256" si="63">I1257+I1258</f>
        <v>0</v>
      </c>
      <c r="J1256" s="1343">
        <f t="shared" si="63"/>
        <v>0</v>
      </c>
      <c r="K1256" s="108"/>
      <c r="L1256" s="108"/>
      <c r="M1256" s="963"/>
      <c r="N1256" s="963"/>
      <c r="O1256" s="963"/>
      <c r="P1256" s="963"/>
      <c r="Q1256" s="474"/>
    </row>
    <row r="1257" spans="2:17" ht="29.25" customHeight="1" x14ac:dyDescent="0.2">
      <c r="B1257" s="966"/>
      <c r="C1257" s="967"/>
      <c r="D1257" s="968"/>
      <c r="E1257" s="41" t="s">
        <v>1684</v>
      </c>
      <c r="F1257" s="1340">
        <v>51081.061000000002</v>
      </c>
      <c r="G1257" s="1340">
        <v>52350</v>
      </c>
      <c r="H1257" s="1340">
        <f>27186+5517-30</f>
        <v>32673</v>
      </c>
      <c r="I1257" s="1538"/>
      <c r="J1257" s="1538"/>
      <c r="K1257" s="41"/>
      <c r="L1257" s="41"/>
      <c r="M1257" s="965"/>
      <c r="N1257" s="965"/>
      <c r="O1257" s="965"/>
      <c r="P1257" s="965"/>
      <c r="Q1257" s="436"/>
    </row>
    <row r="1258" spans="2:17" ht="29.25" customHeight="1" x14ac:dyDescent="0.2">
      <c r="B1258" s="966"/>
      <c r="C1258" s="967"/>
      <c r="D1258" s="968"/>
      <c r="E1258" s="41" t="s">
        <v>1685</v>
      </c>
      <c r="F1258" s="1340"/>
      <c r="G1258" s="1340">
        <v>62820</v>
      </c>
      <c r="H1258" s="1340">
        <v>42552</v>
      </c>
      <c r="I1258" s="1538"/>
      <c r="J1258" s="1538"/>
      <c r="K1258" s="41"/>
      <c r="L1258" s="41"/>
      <c r="M1258" s="965"/>
      <c r="N1258" s="965"/>
      <c r="O1258" s="965"/>
      <c r="P1258" s="965"/>
      <c r="Q1258" s="436"/>
    </row>
    <row r="1259" spans="2:17" ht="29.25" customHeight="1" x14ac:dyDescent="0.2">
      <c r="B1259" s="2025" t="s">
        <v>3104</v>
      </c>
      <c r="C1259" s="2026"/>
      <c r="D1259" s="2026"/>
      <c r="E1259" s="2026"/>
      <c r="F1259" s="1572">
        <f>F1233+F1241+F1244+F1247+F1251+F1256</f>
        <v>985159.27100000007</v>
      </c>
      <c r="G1259" s="1572">
        <f t="shared" ref="G1259:J1259" si="64">G1233+G1241+G1244+G1247+G1251+G1256</f>
        <v>1130499.8999999999</v>
      </c>
      <c r="H1259" s="1572">
        <f>H1233+H1241+H1244+H1247+H1251+H1256</f>
        <v>1119797.4351233779</v>
      </c>
      <c r="I1259" s="1572">
        <f t="shared" si="64"/>
        <v>1061481.6734362149</v>
      </c>
      <c r="J1259" s="1572">
        <f t="shared" si="64"/>
        <v>1077407.5310515978</v>
      </c>
      <c r="K1259" s="704"/>
      <c r="L1259" s="1863"/>
      <c r="M1259" s="1863"/>
      <c r="N1259" s="1863"/>
      <c r="O1259" s="1863"/>
      <c r="P1259" s="1863"/>
      <c r="Q1259" s="969"/>
    </row>
    <row r="1260" spans="2:17" ht="29.25" customHeight="1" x14ac:dyDescent="0.2">
      <c r="B1260" s="1865" t="s">
        <v>1686</v>
      </c>
      <c r="C1260" s="1866"/>
      <c r="D1260" s="1866"/>
      <c r="E1260" s="1866"/>
      <c r="F1260" s="1866"/>
      <c r="G1260" s="1866"/>
      <c r="H1260" s="1866"/>
      <c r="I1260" s="1866"/>
      <c r="J1260" s="1866"/>
      <c r="K1260" s="1866"/>
      <c r="L1260" s="1866"/>
      <c r="M1260" s="1866"/>
      <c r="N1260" s="1866"/>
      <c r="O1260" s="1866"/>
      <c r="P1260" s="1866"/>
      <c r="Q1260" s="1867"/>
    </row>
    <row r="1261" spans="2:17" ht="81" customHeight="1" x14ac:dyDescent="0.2">
      <c r="B1261" s="1455">
        <v>1</v>
      </c>
      <c r="C1261" s="971"/>
      <c r="D1261" s="971"/>
      <c r="E1261" s="972" t="s">
        <v>3067</v>
      </c>
      <c r="F1261" s="1566">
        <v>85496.936245110817</v>
      </c>
      <c r="G1261" s="1566">
        <v>98981.746874999997</v>
      </c>
      <c r="H1261" s="1643">
        <f>H1262+H1263+H1264+H1265+H1267+H1268+H1271+H1272+H1273</f>
        <v>79787</v>
      </c>
      <c r="I1261" s="1566">
        <v>74011.282031249997</v>
      </c>
      <c r="J1261" s="1566">
        <v>74619.573046874997</v>
      </c>
      <c r="K1261" s="973" t="s">
        <v>2891</v>
      </c>
      <c r="L1261" s="974" t="s">
        <v>16</v>
      </c>
      <c r="M1261" s="975">
        <v>0.315</v>
      </c>
      <c r="N1261" s="975">
        <v>0.316</v>
      </c>
      <c r="O1261" s="975">
        <v>0.316</v>
      </c>
      <c r="P1261" s="975">
        <v>0.316</v>
      </c>
      <c r="Q1261" s="976">
        <v>0.316</v>
      </c>
    </row>
    <row r="1262" spans="2:17" ht="29.25" customHeight="1" x14ac:dyDescent="0.2">
      <c r="B1262" s="970"/>
      <c r="C1262" s="977">
        <v>1</v>
      </c>
      <c r="D1262" s="978"/>
      <c r="E1262" s="979" t="s">
        <v>257</v>
      </c>
      <c r="F1262" s="1559">
        <v>20054.836897001303</v>
      </c>
      <c r="G1262" s="1559">
        <v>23217.940624999999</v>
      </c>
      <c r="H1262" s="1639">
        <f>16734.8+224.6+49.8+7.4+342.9</f>
        <v>17359.5</v>
      </c>
      <c r="I1262" s="1559">
        <v>17360.671093749999</v>
      </c>
      <c r="J1262" s="1559">
        <v>17503.356640624999</v>
      </c>
      <c r="K1262" s="980" t="s">
        <v>1687</v>
      </c>
      <c r="L1262" s="981" t="s">
        <v>19</v>
      </c>
      <c r="M1262" s="982">
        <v>0.40699999999999997</v>
      </c>
      <c r="N1262" s="983">
        <v>0.44</v>
      </c>
      <c r="O1262" s="983">
        <v>0.49</v>
      </c>
      <c r="P1262" s="983">
        <v>0.53</v>
      </c>
      <c r="Q1262" s="984">
        <v>0.56999999999999995</v>
      </c>
    </row>
    <row r="1263" spans="2:17" ht="29.25" customHeight="1" x14ac:dyDescent="0.2">
      <c r="B1263" s="985"/>
      <c r="C1263" s="986">
        <v>2</v>
      </c>
      <c r="D1263" s="987"/>
      <c r="E1263" s="988" t="s">
        <v>1688</v>
      </c>
      <c r="F1263" s="1678">
        <v>3518.3924380704043</v>
      </c>
      <c r="G1263" s="1678">
        <v>4073.3229166666665</v>
      </c>
      <c r="H1263" s="1639">
        <f>3462.7+320.9</f>
        <v>3783.6</v>
      </c>
      <c r="I1263" s="1678">
        <v>3045.7317708333335</v>
      </c>
      <c r="J1263" s="1678">
        <v>3070.7643229166665</v>
      </c>
      <c r="K1263" s="980" t="s">
        <v>1689</v>
      </c>
      <c r="L1263" s="981" t="s">
        <v>16</v>
      </c>
      <c r="M1263" s="982">
        <v>0.95199999999999996</v>
      </c>
      <c r="N1263" s="982">
        <v>0.98</v>
      </c>
      <c r="O1263" s="982">
        <v>0.99</v>
      </c>
      <c r="P1263" s="982">
        <v>0.99</v>
      </c>
      <c r="Q1263" s="989">
        <v>1</v>
      </c>
    </row>
    <row r="1264" spans="2:17" ht="66" customHeight="1" x14ac:dyDescent="0.2">
      <c r="B1264" s="985"/>
      <c r="C1264" s="986">
        <v>3</v>
      </c>
      <c r="D1264" s="987"/>
      <c r="E1264" s="586" t="s">
        <v>117</v>
      </c>
      <c r="F1264" s="1678">
        <v>2462.8747066492829</v>
      </c>
      <c r="G1264" s="1678">
        <v>2851.3260416666667</v>
      </c>
      <c r="H1264" s="1639">
        <f>2423.9+224.6</f>
        <v>2648.5</v>
      </c>
      <c r="I1264" s="1678">
        <v>2132.0122395833332</v>
      </c>
      <c r="J1264" s="1678">
        <v>2149.5350260416667</v>
      </c>
      <c r="K1264" s="990" t="s">
        <v>2892</v>
      </c>
      <c r="L1264" s="981" t="s">
        <v>16</v>
      </c>
      <c r="M1264" s="982">
        <v>0.85</v>
      </c>
      <c r="N1264" s="982">
        <v>0.85</v>
      </c>
      <c r="O1264" s="982">
        <v>0.9</v>
      </c>
      <c r="P1264" s="982">
        <v>0.9</v>
      </c>
      <c r="Q1264" s="989">
        <v>0.9</v>
      </c>
    </row>
    <row r="1265" spans="2:17" ht="12.75" x14ac:dyDescent="0.2">
      <c r="B1265" s="2027"/>
      <c r="C1265" s="2028">
        <v>4</v>
      </c>
      <c r="D1265" s="2017"/>
      <c r="E1265" s="2029" t="s">
        <v>25</v>
      </c>
      <c r="F1265" s="2031">
        <v>4925.7494132985657</v>
      </c>
      <c r="G1265" s="2031">
        <v>5702.6520833333334</v>
      </c>
      <c r="H1265" s="2031">
        <f>4721.9+352.9+5.9+0.9+65.3</f>
        <v>5146.8999999999987</v>
      </c>
      <c r="I1265" s="2031">
        <v>4264.0244791666664</v>
      </c>
      <c r="J1265" s="2031">
        <v>4299.0700520833334</v>
      </c>
      <c r="K1265" s="991" t="s">
        <v>1690</v>
      </c>
      <c r="L1265" s="992" t="s">
        <v>122</v>
      </c>
      <c r="M1265" s="993">
        <v>10</v>
      </c>
      <c r="N1265" s="992">
        <v>15</v>
      </c>
      <c r="O1265" s="992">
        <v>20</v>
      </c>
      <c r="P1265" s="992">
        <v>25</v>
      </c>
      <c r="Q1265" s="994">
        <v>30</v>
      </c>
    </row>
    <row r="1266" spans="2:17" ht="12.75" x14ac:dyDescent="0.2">
      <c r="B1266" s="2027"/>
      <c r="C1266" s="2028"/>
      <c r="D1266" s="2017"/>
      <c r="E1266" s="2030"/>
      <c r="F1266" s="2031"/>
      <c r="G1266" s="2031"/>
      <c r="H1266" s="2031"/>
      <c r="I1266" s="2031"/>
      <c r="J1266" s="2031"/>
      <c r="K1266" s="991" t="s">
        <v>2893</v>
      </c>
      <c r="L1266" s="992" t="s">
        <v>122</v>
      </c>
      <c r="M1266" s="992" t="s">
        <v>1322</v>
      </c>
      <c r="N1266" s="992" t="s">
        <v>1323</v>
      </c>
      <c r="O1266" s="992" t="s">
        <v>1324</v>
      </c>
      <c r="P1266" s="992" t="s">
        <v>1325</v>
      </c>
      <c r="Q1266" s="994" t="s">
        <v>1315</v>
      </c>
    </row>
    <row r="1267" spans="2:17" ht="12.75" x14ac:dyDescent="0.2">
      <c r="B1267" s="995"/>
      <c r="C1267" s="996">
        <v>5</v>
      </c>
      <c r="D1267" s="997"/>
      <c r="E1267" s="664" t="s">
        <v>1691</v>
      </c>
      <c r="F1267" s="1639">
        <v>1407.3569752281617</v>
      </c>
      <c r="G1267" s="1639">
        <v>1629.3291666666667</v>
      </c>
      <c r="H1267" s="1639">
        <f>1385.1+128.4</f>
        <v>1513.5</v>
      </c>
      <c r="I1267" s="1639">
        <v>1218.2927083333334</v>
      </c>
      <c r="J1267" s="1639">
        <v>1228.3057291666667</v>
      </c>
      <c r="K1267" s="998" t="s">
        <v>1692</v>
      </c>
      <c r="L1267" s="992" t="s">
        <v>235</v>
      </c>
      <c r="M1267" s="992">
        <v>12.4</v>
      </c>
      <c r="N1267" s="992">
        <v>14</v>
      </c>
      <c r="O1267" s="992">
        <v>15</v>
      </c>
      <c r="P1267" s="992">
        <v>16</v>
      </c>
      <c r="Q1267" s="994">
        <v>17</v>
      </c>
    </row>
    <row r="1268" spans="2:17" ht="12.75" x14ac:dyDescent="0.2">
      <c r="B1268" s="2032"/>
      <c r="C1268" s="2028">
        <v>6</v>
      </c>
      <c r="D1268" s="2033"/>
      <c r="E1268" s="2029" t="s">
        <v>2894</v>
      </c>
      <c r="F1268" s="2031">
        <v>351.83924380704042</v>
      </c>
      <c r="G1268" s="2031">
        <v>407.33229166666666</v>
      </c>
      <c r="H1268" s="2031">
        <f>346.3</f>
        <v>346.3</v>
      </c>
      <c r="I1268" s="2031">
        <v>304.57317708333335</v>
      </c>
      <c r="J1268" s="2031">
        <v>307.07643229166666</v>
      </c>
      <c r="K1268" s="991" t="s">
        <v>1693</v>
      </c>
      <c r="L1268" s="992" t="s">
        <v>122</v>
      </c>
      <c r="M1268" s="992">
        <v>15</v>
      </c>
      <c r="N1268" s="992">
        <v>17</v>
      </c>
      <c r="O1268" s="992">
        <v>19</v>
      </c>
      <c r="P1268" s="992">
        <v>21</v>
      </c>
      <c r="Q1268" s="994">
        <v>25</v>
      </c>
    </row>
    <row r="1269" spans="2:17" ht="25.5" x14ac:dyDescent="0.2">
      <c r="B1269" s="2032"/>
      <c r="C1269" s="2028"/>
      <c r="D1269" s="2033"/>
      <c r="E1269" s="2034"/>
      <c r="F1269" s="2031"/>
      <c r="G1269" s="2031"/>
      <c r="H1269" s="2031"/>
      <c r="I1269" s="2031"/>
      <c r="J1269" s="2031"/>
      <c r="K1269" s="991" t="s">
        <v>2895</v>
      </c>
      <c r="L1269" s="992" t="s">
        <v>122</v>
      </c>
      <c r="M1269" s="992">
        <v>100</v>
      </c>
      <c r="N1269" s="992">
        <v>106</v>
      </c>
      <c r="O1269" s="992">
        <v>109</v>
      </c>
      <c r="P1269" s="992">
        <v>111</v>
      </c>
      <c r="Q1269" s="994">
        <v>115</v>
      </c>
    </row>
    <row r="1270" spans="2:17" ht="38.25" x14ac:dyDescent="0.2">
      <c r="B1270" s="2032"/>
      <c r="C1270" s="2028"/>
      <c r="D1270" s="2033"/>
      <c r="E1270" s="2034"/>
      <c r="F1270" s="2031"/>
      <c r="G1270" s="2031"/>
      <c r="H1270" s="2031"/>
      <c r="I1270" s="2031"/>
      <c r="J1270" s="2031"/>
      <c r="K1270" s="991" t="s">
        <v>1694</v>
      </c>
      <c r="L1270" s="992" t="s">
        <v>122</v>
      </c>
      <c r="M1270" s="992">
        <v>75</v>
      </c>
      <c r="N1270" s="992">
        <v>81</v>
      </c>
      <c r="O1270" s="992">
        <v>88</v>
      </c>
      <c r="P1270" s="992">
        <v>91</v>
      </c>
      <c r="Q1270" s="994">
        <v>99</v>
      </c>
    </row>
    <row r="1271" spans="2:17" ht="29.25" customHeight="1" x14ac:dyDescent="0.2">
      <c r="B1271" s="2032"/>
      <c r="C1271" s="2028"/>
      <c r="D1271" s="2033"/>
      <c r="E1271" s="2030"/>
      <c r="F1271" s="1639">
        <v>703.67848761408084</v>
      </c>
      <c r="G1271" s="1639">
        <v>1221.996875</v>
      </c>
      <c r="H1271" s="1639">
        <v>1038.8</v>
      </c>
      <c r="I1271" s="1639">
        <v>913.71953125000005</v>
      </c>
      <c r="J1271" s="1639">
        <v>921.22929687500005</v>
      </c>
      <c r="K1271" s="991" t="s">
        <v>2896</v>
      </c>
      <c r="L1271" s="992" t="s">
        <v>122</v>
      </c>
      <c r="M1271" s="992">
        <v>0</v>
      </c>
      <c r="N1271" s="992">
        <v>1</v>
      </c>
      <c r="O1271" s="992">
        <v>1</v>
      </c>
      <c r="P1271" s="992">
        <v>0</v>
      </c>
      <c r="Q1271" s="994">
        <v>0</v>
      </c>
    </row>
    <row r="1272" spans="2:17" ht="66" customHeight="1" x14ac:dyDescent="0.2">
      <c r="B1272" s="999"/>
      <c r="C1272" s="996">
        <v>6</v>
      </c>
      <c r="D1272" s="1000"/>
      <c r="E1272" s="1001" t="s">
        <v>1695</v>
      </c>
      <c r="F1272" s="1639">
        <v>46794.619426336372</v>
      </c>
      <c r="G1272" s="1639">
        <v>53767.862500000003</v>
      </c>
      <c r="H1272" s="1639">
        <f>40516.1+1540.1+81.9+12.1+563.3</f>
        <v>42713.5</v>
      </c>
      <c r="I1272" s="1639">
        <v>40203.659375000003</v>
      </c>
      <c r="J1272" s="1639">
        <v>40534.089062500003</v>
      </c>
      <c r="K1272" s="991" t="s">
        <v>1696</v>
      </c>
      <c r="L1272" s="992" t="s">
        <v>16</v>
      </c>
      <c r="M1272" s="1002">
        <v>0.17</v>
      </c>
      <c r="N1272" s="1002">
        <v>0.17</v>
      </c>
      <c r="O1272" s="1002">
        <v>0.17</v>
      </c>
      <c r="P1272" s="1002">
        <v>0.17</v>
      </c>
      <c r="Q1272" s="1003">
        <v>0.17</v>
      </c>
    </row>
    <row r="1273" spans="2:17" ht="129" customHeight="1" x14ac:dyDescent="0.2">
      <c r="B1273" s="1004"/>
      <c r="C1273" s="986">
        <v>7</v>
      </c>
      <c r="D1273" s="1005"/>
      <c r="E1273" s="1001" t="s">
        <v>1697</v>
      </c>
      <c r="F1273" s="1678">
        <v>5277.5886571056062</v>
      </c>
      <c r="G1273" s="1678">
        <v>6109.984375</v>
      </c>
      <c r="H1273" s="1639">
        <f>4954.6+224.6+7.1+1.1+49</f>
        <v>5236.4000000000015</v>
      </c>
      <c r="I1273" s="1678">
        <v>4568.59765625</v>
      </c>
      <c r="J1273" s="1678">
        <v>4606.146484375</v>
      </c>
      <c r="K1273" s="991" t="s">
        <v>2897</v>
      </c>
      <c r="L1273" s="981" t="s">
        <v>235</v>
      </c>
      <c r="M1273" s="981">
        <v>82.6</v>
      </c>
      <c r="N1273" s="981">
        <v>100</v>
      </c>
      <c r="O1273" s="981">
        <v>100</v>
      </c>
      <c r="P1273" s="981">
        <v>100</v>
      </c>
      <c r="Q1273" s="1006">
        <v>100</v>
      </c>
    </row>
    <row r="1274" spans="2:17" ht="71.25" customHeight="1" x14ac:dyDescent="0.2">
      <c r="B1274" s="1456">
        <v>3</v>
      </c>
      <c r="C1274" s="1008"/>
      <c r="D1274" s="1008"/>
      <c r="E1274" s="1009" t="s">
        <v>3068</v>
      </c>
      <c r="F1274" s="1679">
        <v>64738.42086049544</v>
      </c>
      <c r="G1274" s="1679">
        <v>74949.141666666663</v>
      </c>
      <c r="H1274" s="1643">
        <f>H1275+H1279+H1282+H1283</f>
        <v>51935.899999999994</v>
      </c>
      <c r="I1274" s="1679">
        <v>56041.464583333334</v>
      </c>
      <c r="J1274" s="1679">
        <v>56502.063541666663</v>
      </c>
      <c r="K1274" s="1009" t="s">
        <v>1698</v>
      </c>
      <c r="L1274" s="974" t="s">
        <v>2179</v>
      </c>
      <c r="M1274" s="974">
        <v>99</v>
      </c>
      <c r="N1274" s="974">
        <v>51</v>
      </c>
      <c r="O1274" s="974">
        <v>51</v>
      </c>
      <c r="P1274" s="974">
        <v>40</v>
      </c>
      <c r="Q1274" s="1010">
        <v>40</v>
      </c>
    </row>
    <row r="1275" spans="2:17" ht="74.25" customHeight="1" x14ac:dyDescent="0.2">
      <c r="B1275" s="2409"/>
      <c r="C1275" s="2410" t="s">
        <v>114</v>
      </c>
      <c r="D1275" s="2413"/>
      <c r="E1275" s="2414" t="s">
        <v>1699</v>
      </c>
      <c r="F1275" s="1861">
        <v>36591.281355932202</v>
      </c>
      <c r="G1275" s="1861">
        <v>42362.558333333334</v>
      </c>
      <c r="H1275" s="2031">
        <f>27897.7+288.8+102.1+15.1+693.9</f>
        <v>28997.599999999999</v>
      </c>
      <c r="I1275" s="1861">
        <v>31675.61041666667</v>
      </c>
      <c r="J1275" s="1861">
        <v>31935.948958333334</v>
      </c>
      <c r="K1275" s="1011" t="s">
        <v>1700</v>
      </c>
      <c r="L1275" s="992" t="s">
        <v>122</v>
      </c>
      <c r="M1275" s="981">
        <v>323</v>
      </c>
      <c r="N1275" s="981">
        <v>350</v>
      </c>
      <c r="O1275" s="981">
        <v>355</v>
      </c>
      <c r="P1275" s="981">
        <v>356</v>
      </c>
      <c r="Q1275" s="1006">
        <v>358</v>
      </c>
    </row>
    <row r="1276" spans="2:17" ht="29.25" customHeight="1" x14ac:dyDescent="0.2">
      <c r="B1276" s="2409"/>
      <c r="C1276" s="2411"/>
      <c r="D1276" s="2413"/>
      <c r="E1276" s="2415"/>
      <c r="F1276" s="1861"/>
      <c r="G1276" s="1861"/>
      <c r="H1276" s="2031"/>
      <c r="I1276" s="1861"/>
      <c r="J1276" s="1861"/>
      <c r="K1276" s="1012" t="s">
        <v>1701</v>
      </c>
      <c r="L1276" s="981" t="s">
        <v>1245</v>
      </c>
      <c r="M1276" s="1013">
        <v>506</v>
      </c>
      <c r="N1276" s="1013">
        <v>500</v>
      </c>
      <c r="O1276" s="1013">
        <v>500</v>
      </c>
      <c r="P1276" s="1013">
        <v>499</v>
      </c>
      <c r="Q1276" s="1014">
        <v>499</v>
      </c>
    </row>
    <row r="1277" spans="2:17" ht="29.25" customHeight="1" x14ac:dyDescent="0.2">
      <c r="B1277" s="2409"/>
      <c r="C1277" s="2411"/>
      <c r="D1277" s="2413"/>
      <c r="E1277" s="2415"/>
      <c r="F1277" s="1861"/>
      <c r="G1277" s="1861"/>
      <c r="H1277" s="2031"/>
      <c r="I1277" s="1861"/>
      <c r="J1277" s="1861"/>
      <c r="K1277" s="1015" t="s">
        <v>1702</v>
      </c>
      <c r="L1277" s="992" t="s">
        <v>122</v>
      </c>
      <c r="M1277" s="1013">
        <v>56</v>
      </c>
      <c r="N1277" s="1013">
        <v>58</v>
      </c>
      <c r="O1277" s="1013">
        <v>59</v>
      </c>
      <c r="P1277" s="1013">
        <v>60</v>
      </c>
      <c r="Q1277" s="1014">
        <v>61</v>
      </c>
    </row>
    <row r="1278" spans="2:17" ht="29.25" customHeight="1" x14ac:dyDescent="0.2">
      <c r="B1278" s="2409"/>
      <c r="C1278" s="2412"/>
      <c r="D1278" s="2413"/>
      <c r="E1278" s="2415"/>
      <c r="F1278" s="1861"/>
      <c r="G1278" s="1861"/>
      <c r="H1278" s="2031"/>
      <c r="I1278" s="1861"/>
      <c r="J1278" s="1861"/>
      <c r="K1278" s="1016" t="s">
        <v>1703</v>
      </c>
      <c r="L1278" s="981" t="s">
        <v>16</v>
      </c>
      <c r="M1278" s="982">
        <v>5.6000000000000001E-2</v>
      </c>
      <c r="N1278" s="982">
        <v>5.6000000000000001E-2</v>
      </c>
      <c r="O1278" s="982">
        <v>5.7000000000000002E-2</v>
      </c>
      <c r="P1278" s="982">
        <v>5.7000000000000002E-2</v>
      </c>
      <c r="Q1278" s="989">
        <v>5.7000000000000002E-2</v>
      </c>
    </row>
    <row r="1279" spans="2:17" ht="56.25" customHeight="1" x14ac:dyDescent="0.2">
      <c r="B1279" s="2416"/>
      <c r="C1279" s="2417" t="s">
        <v>116</v>
      </c>
      <c r="D1279" s="2420"/>
      <c r="E1279" s="2414" t="s">
        <v>1704</v>
      </c>
      <c r="F1279" s="1861">
        <v>7740.4633637548895</v>
      </c>
      <c r="G1279" s="1861">
        <v>8961.3104166666672</v>
      </c>
      <c r="H1279" s="2031">
        <f>5914+224.6+17.8+2.6+122.4</f>
        <v>6281.4000000000005</v>
      </c>
      <c r="I1279" s="1861">
        <v>6700.6098958333332</v>
      </c>
      <c r="J1279" s="1861">
        <v>6755.6815104166662</v>
      </c>
      <c r="K1279" s="991" t="s">
        <v>1705</v>
      </c>
      <c r="L1279" s="992" t="s">
        <v>122</v>
      </c>
      <c r="M1279" s="981">
        <v>517</v>
      </c>
      <c r="N1279" s="981">
        <v>450</v>
      </c>
      <c r="O1279" s="981">
        <v>460</v>
      </c>
      <c r="P1279" s="981">
        <v>550</v>
      </c>
      <c r="Q1279" s="1006">
        <v>500</v>
      </c>
    </row>
    <row r="1280" spans="2:17" ht="57" customHeight="1" x14ac:dyDescent="0.2">
      <c r="B1280" s="2416"/>
      <c r="C1280" s="2418"/>
      <c r="D1280" s="2420"/>
      <c r="E1280" s="2415"/>
      <c r="F1280" s="1861"/>
      <c r="G1280" s="1861"/>
      <c r="H1280" s="2031"/>
      <c r="I1280" s="1861"/>
      <c r="J1280" s="1861"/>
      <c r="K1280" s="991" t="s">
        <v>2898</v>
      </c>
      <c r="L1280" s="992" t="s">
        <v>122</v>
      </c>
      <c r="M1280" s="981">
        <v>2024</v>
      </c>
      <c r="N1280" s="981">
        <v>1599</v>
      </c>
      <c r="O1280" s="981">
        <v>1665</v>
      </c>
      <c r="P1280" s="981">
        <v>1980</v>
      </c>
      <c r="Q1280" s="1006">
        <v>1800</v>
      </c>
    </row>
    <row r="1281" spans="2:17" ht="79.5" customHeight="1" x14ac:dyDescent="0.2">
      <c r="B1281" s="2416"/>
      <c r="C1281" s="2419"/>
      <c r="D1281" s="2420"/>
      <c r="E1281" s="2415"/>
      <c r="F1281" s="1861"/>
      <c r="G1281" s="1861"/>
      <c r="H1281" s="2031"/>
      <c r="I1281" s="1861"/>
      <c r="J1281" s="1861"/>
      <c r="K1281" s="991" t="s">
        <v>2899</v>
      </c>
      <c r="L1281" s="992" t="s">
        <v>122</v>
      </c>
      <c r="M1281" s="1017">
        <v>44</v>
      </c>
      <c r="N1281" s="1017">
        <v>52</v>
      </c>
      <c r="O1281" s="1017">
        <v>78</v>
      </c>
      <c r="P1281" s="1017">
        <v>125</v>
      </c>
      <c r="Q1281" s="1018">
        <v>156</v>
      </c>
    </row>
    <row r="1282" spans="2:17" ht="29.25" customHeight="1" x14ac:dyDescent="0.2">
      <c r="B1282" s="1007"/>
      <c r="C1282" s="1457" t="s">
        <v>119</v>
      </c>
      <c r="D1282" s="1458"/>
      <c r="E1282" s="998" t="s">
        <v>1706</v>
      </c>
      <c r="F1282" s="1678">
        <v>17591.96219035202</v>
      </c>
      <c r="G1282" s="1678">
        <v>20366.614583333332</v>
      </c>
      <c r="H1282" s="1639">
        <f>13205.6+160.4+49.8+7.4+342.9</f>
        <v>13766.099999999999</v>
      </c>
      <c r="I1282" s="1678">
        <v>15228.658854166668</v>
      </c>
      <c r="J1282" s="1678">
        <v>15353.821614583334</v>
      </c>
      <c r="K1282" s="991" t="s">
        <v>2900</v>
      </c>
      <c r="L1282" s="981" t="s">
        <v>16</v>
      </c>
      <c r="M1282" s="982">
        <v>0.18</v>
      </c>
      <c r="N1282" s="982">
        <v>0.25</v>
      </c>
      <c r="O1282" s="982">
        <v>0.32</v>
      </c>
      <c r="P1282" s="982">
        <v>0.36</v>
      </c>
      <c r="Q1282" s="989">
        <v>0.42</v>
      </c>
    </row>
    <row r="1283" spans="2:17" ht="54.75" customHeight="1" x14ac:dyDescent="0.2">
      <c r="B1283" s="1019"/>
      <c r="C1283" s="1459" t="s">
        <v>124</v>
      </c>
      <c r="D1283" s="1020"/>
      <c r="E1283" s="1021" t="s">
        <v>1707</v>
      </c>
      <c r="F1283" s="1563">
        <v>2814.7139504563233</v>
      </c>
      <c r="G1283" s="1563">
        <v>3258.6583333333333</v>
      </c>
      <c r="H1283" s="1563">
        <f>2656.6+224.6+1.2+0.2+8.2</f>
        <v>2890.7999999999993</v>
      </c>
      <c r="I1283" s="1563">
        <v>2436.5854166666668</v>
      </c>
      <c r="J1283" s="1563">
        <v>2456.6114583333333</v>
      </c>
      <c r="K1283" s="1022" t="s">
        <v>2901</v>
      </c>
      <c r="L1283" s="1023" t="s">
        <v>16</v>
      </c>
      <c r="M1283" s="1024">
        <v>0.42</v>
      </c>
      <c r="N1283" s="1024">
        <v>0.46</v>
      </c>
      <c r="O1283" s="1024">
        <v>0.5</v>
      </c>
      <c r="P1283" s="1024">
        <v>0.52</v>
      </c>
      <c r="Q1283" s="1025">
        <v>0.56000000000000005</v>
      </c>
    </row>
    <row r="1284" spans="2:17" ht="54" customHeight="1" x14ac:dyDescent="0.2">
      <c r="B1284" s="1456">
        <v>4</v>
      </c>
      <c r="C1284" s="1460"/>
      <c r="D1284" s="1026"/>
      <c r="E1284" s="1009" t="s">
        <v>3069</v>
      </c>
      <c r="F1284" s="1680">
        <v>119625.34289439375</v>
      </c>
      <c r="G1284" s="1680">
        <v>138900.31145833334</v>
      </c>
      <c r="H1284" s="1681">
        <f>H1285+H1288+H1289+H1293+H1296+H1298+H1299+H1302</f>
        <v>108329.99999999999</v>
      </c>
      <c r="I1284" s="1680">
        <v>103859.45338541667</v>
      </c>
      <c r="J1284" s="1680">
        <v>104713.06341145834</v>
      </c>
      <c r="K1284" s="991" t="s">
        <v>2902</v>
      </c>
      <c r="L1284" s="1027" t="s">
        <v>115</v>
      </c>
      <c r="M1284" s="1028">
        <v>31</v>
      </c>
      <c r="N1284" s="1029" t="s">
        <v>1708</v>
      </c>
      <c r="O1284" s="1029" t="s">
        <v>1708</v>
      </c>
      <c r="P1284" s="1029" t="s">
        <v>1708</v>
      </c>
      <c r="Q1284" s="1029" t="s">
        <v>1708</v>
      </c>
    </row>
    <row r="1285" spans="2:17" ht="76.5" customHeight="1" x14ac:dyDescent="0.2">
      <c r="B1285" s="2018"/>
      <c r="C1285" s="2019" t="s">
        <v>114</v>
      </c>
      <c r="D1285" s="2022"/>
      <c r="E1285" s="2023" t="s">
        <v>1709</v>
      </c>
      <c r="F1285" s="1862">
        <v>10875.031172217614</v>
      </c>
      <c r="G1285" s="1862">
        <v>12627.301041666666</v>
      </c>
      <c r="H1285" s="1818">
        <f>9454.1+160.4+24.9+3.7+171.4</f>
        <v>9814.5</v>
      </c>
      <c r="I1285" s="1862">
        <v>9441.7684895833336</v>
      </c>
      <c r="J1285" s="1862">
        <v>9519.3694010416657</v>
      </c>
      <c r="K1285" s="1012" t="s">
        <v>2903</v>
      </c>
      <c r="L1285" s="1030" t="s">
        <v>575</v>
      </c>
      <c r="M1285" s="1030">
        <v>77</v>
      </c>
      <c r="N1285" s="1029" t="s">
        <v>1708</v>
      </c>
      <c r="O1285" s="1029" t="s">
        <v>1708</v>
      </c>
      <c r="P1285" s="1029" t="s">
        <v>1708</v>
      </c>
      <c r="Q1285" s="1029" t="s">
        <v>1708</v>
      </c>
    </row>
    <row r="1286" spans="2:17" ht="73.5" customHeight="1" x14ac:dyDescent="0.2">
      <c r="B1286" s="2018"/>
      <c r="C1286" s="2020"/>
      <c r="D1286" s="2022"/>
      <c r="E1286" s="2024"/>
      <c r="F1286" s="1862"/>
      <c r="G1286" s="1862"/>
      <c r="H1286" s="1818"/>
      <c r="I1286" s="1862"/>
      <c r="J1286" s="1862"/>
      <c r="K1286" s="1012" t="s">
        <v>2904</v>
      </c>
      <c r="L1286" s="1030" t="s">
        <v>575</v>
      </c>
      <c r="M1286" s="1030">
        <v>169</v>
      </c>
      <c r="N1286" s="1029" t="s">
        <v>1708</v>
      </c>
      <c r="O1286" s="1029" t="s">
        <v>1708</v>
      </c>
      <c r="P1286" s="1029" t="s">
        <v>1708</v>
      </c>
      <c r="Q1286" s="1029" t="s">
        <v>1708</v>
      </c>
    </row>
    <row r="1287" spans="2:17" ht="63.75" customHeight="1" x14ac:dyDescent="0.2">
      <c r="B1287" s="2018"/>
      <c r="C1287" s="2021"/>
      <c r="D1287" s="2022"/>
      <c r="E1287" s="2024"/>
      <c r="F1287" s="1862"/>
      <c r="G1287" s="1862"/>
      <c r="H1287" s="1818"/>
      <c r="I1287" s="1862"/>
      <c r="J1287" s="1862"/>
      <c r="K1287" s="1012" t="s">
        <v>1710</v>
      </c>
      <c r="L1287" s="1030" t="s">
        <v>575</v>
      </c>
      <c r="M1287" s="1030">
        <v>82</v>
      </c>
      <c r="N1287" s="1029" t="s">
        <v>1708</v>
      </c>
      <c r="O1287" s="1029" t="s">
        <v>1708</v>
      </c>
      <c r="P1287" s="1029" t="s">
        <v>1708</v>
      </c>
      <c r="Q1287" s="1029" t="s">
        <v>1708</v>
      </c>
    </row>
    <row r="1288" spans="2:17" ht="29.25" customHeight="1" x14ac:dyDescent="0.2">
      <c r="B1288" s="1031"/>
      <c r="C1288" s="1461" t="s">
        <v>116</v>
      </c>
      <c r="D1288" s="997"/>
      <c r="E1288" s="1032" t="s">
        <v>1711</v>
      </c>
      <c r="F1288" s="1568">
        <v>5612.919314692962</v>
      </c>
      <c r="G1288" s="1568">
        <v>6109.984375</v>
      </c>
      <c r="H1288" s="1568">
        <f>4948.4+417.1+33.2+4.9+220.4</f>
        <v>5623.9999999999991</v>
      </c>
      <c r="I1288" s="1568">
        <v>4568.59765625</v>
      </c>
      <c r="J1288" s="1568">
        <v>4606.146484375</v>
      </c>
      <c r="K1288" s="991" t="s">
        <v>2905</v>
      </c>
      <c r="L1288" s="992" t="s">
        <v>16</v>
      </c>
      <c r="M1288" s="1033">
        <v>0.05</v>
      </c>
      <c r="N1288" s="1033">
        <v>0.05</v>
      </c>
      <c r="O1288" s="1033">
        <v>0.1</v>
      </c>
      <c r="P1288" s="1033">
        <v>0.15</v>
      </c>
      <c r="Q1288" s="1034">
        <v>0.2</v>
      </c>
    </row>
    <row r="1289" spans="2:17" ht="29.25" customHeight="1" x14ac:dyDescent="0.2">
      <c r="B1289" s="2014"/>
      <c r="C1289" s="2015" t="s">
        <v>119</v>
      </c>
      <c r="D1289" s="2017"/>
      <c r="E1289" s="2013" t="s">
        <v>1712</v>
      </c>
      <c r="F1289" s="1818">
        <v>10173.416257880994</v>
      </c>
      <c r="G1289" s="1818">
        <v>12219.96875</v>
      </c>
      <c r="H1289" s="1818">
        <f>8337.2</f>
        <v>8337.2000000000007</v>
      </c>
      <c r="I1289" s="1818">
        <v>9137.1953125</v>
      </c>
      <c r="J1289" s="1818">
        <v>9212.29296875</v>
      </c>
      <c r="K1289" s="991" t="s">
        <v>2906</v>
      </c>
      <c r="L1289" s="992" t="s">
        <v>122</v>
      </c>
      <c r="M1289" s="1035">
        <v>17</v>
      </c>
      <c r="N1289" s="1035">
        <v>16</v>
      </c>
      <c r="O1289" s="1035">
        <v>15</v>
      </c>
      <c r="P1289" s="1035">
        <v>14</v>
      </c>
      <c r="Q1289" s="1036">
        <v>13</v>
      </c>
    </row>
    <row r="1290" spans="2:17" ht="29.25" customHeight="1" x14ac:dyDescent="0.2">
      <c r="B1290" s="2014"/>
      <c r="C1290" s="2421"/>
      <c r="D1290" s="2017"/>
      <c r="E1290" s="2013"/>
      <c r="F1290" s="1818"/>
      <c r="G1290" s="1818"/>
      <c r="H1290" s="1818"/>
      <c r="I1290" s="1818"/>
      <c r="J1290" s="1818"/>
      <c r="K1290" s="991" t="s">
        <v>2907</v>
      </c>
      <c r="L1290" s="992" t="s">
        <v>122</v>
      </c>
      <c r="M1290" s="1037">
        <v>2659</v>
      </c>
      <c r="N1290" s="1037">
        <v>2400</v>
      </c>
      <c r="O1290" s="1037">
        <v>2200</v>
      </c>
      <c r="P1290" s="1037">
        <v>2000</v>
      </c>
      <c r="Q1290" s="1038">
        <v>1800</v>
      </c>
    </row>
    <row r="1291" spans="2:17" ht="29.25" customHeight="1" x14ac:dyDescent="0.2">
      <c r="B1291" s="2014"/>
      <c r="C1291" s="2421"/>
      <c r="D1291" s="2017"/>
      <c r="E1291" s="2013" t="s">
        <v>1713</v>
      </c>
      <c r="F1291" s="1818"/>
      <c r="G1291" s="1818"/>
      <c r="H1291" s="1818"/>
      <c r="I1291" s="1818"/>
      <c r="J1291" s="1818"/>
      <c r="K1291" s="991" t="s">
        <v>2908</v>
      </c>
      <c r="L1291" s="992" t="s">
        <v>122</v>
      </c>
      <c r="M1291" s="1037">
        <v>75</v>
      </c>
      <c r="N1291" s="1037">
        <v>70</v>
      </c>
      <c r="O1291" s="1037">
        <v>65</v>
      </c>
      <c r="P1291" s="1037">
        <v>60</v>
      </c>
      <c r="Q1291" s="1038">
        <v>55</v>
      </c>
    </row>
    <row r="1292" spans="2:17" ht="29.25" customHeight="1" x14ac:dyDescent="0.2">
      <c r="B1292" s="2014"/>
      <c r="C1292" s="2016"/>
      <c r="D1292" s="2017"/>
      <c r="E1292" s="2013"/>
      <c r="F1292" s="1818"/>
      <c r="G1292" s="1818"/>
      <c r="H1292" s="1818"/>
      <c r="I1292" s="1818"/>
      <c r="J1292" s="1818"/>
      <c r="K1292" s="991" t="s">
        <v>2909</v>
      </c>
      <c r="L1292" s="992" t="s">
        <v>122</v>
      </c>
      <c r="M1292" s="1037">
        <v>61</v>
      </c>
      <c r="N1292" s="1037">
        <v>60</v>
      </c>
      <c r="O1292" s="1037">
        <v>58</v>
      </c>
      <c r="P1292" s="1037">
        <v>55</v>
      </c>
      <c r="Q1292" s="1038">
        <v>53</v>
      </c>
    </row>
    <row r="1293" spans="2:17" ht="29.25" customHeight="1" x14ac:dyDescent="0.2">
      <c r="B1293" s="2014"/>
      <c r="C1293" s="2015" t="s">
        <v>119</v>
      </c>
      <c r="D1293" s="2017"/>
      <c r="E1293" s="2013" t="s">
        <v>1714</v>
      </c>
      <c r="F1293" s="1818">
        <v>32625.09351665284</v>
      </c>
      <c r="G1293" s="1818">
        <v>38289.235416666663</v>
      </c>
      <c r="H1293" s="1818">
        <f>29921.3+288.8+76+11.2+506.1</f>
        <v>30803.399999999998</v>
      </c>
      <c r="I1293" s="1818">
        <v>28629.878645833334</v>
      </c>
      <c r="J1293" s="1818">
        <v>28865.184635416666</v>
      </c>
      <c r="K1293" s="991" t="s">
        <v>2910</v>
      </c>
      <c r="L1293" s="1037" t="s">
        <v>16</v>
      </c>
      <c r="M1293" s="1039">
        <v>0.05</v>
      </c>
      <c r="N1293" s="1040">
        <v>4.4999999999999998E-2</v>
      </c>
      <c r="O1293" s="1039">
        <v>0.04</v>
      </c>
      <c r="P1293" s="1040">
        <v>3.5000000000000003E-2</v>
      </c>
      <c r="Q1293" s="1041">
        <v>0.03</v>
      </c>
    </row>
    <row r="1294" spans="2:17" ht="75" customHeight="1" x14ac:dyDescent="0.2">
      <c r="B1294" s="2014"/>
      <c r="C1294" s="2421"/>
      <c r="D1294" s="2017"/>
      <c r="E1294" s="2013"/>
      <c r="F1294" s="1818"/>
      <c r="G1294" s="1818"/>
      <c r="H1294" s="1818"/>
      <c r="I1294" s="1818"/>
      <c r="J1294" s="1818"/>
      <c r="K1294" s="991" t="s">
        <v>2911</v>
      </c>
      <c r="L1294" s="1037" t="s">
        <v>16</v>
      </c>
      <c r="M1294" s="1039">
        <v>0.9</v>
      </c>
      <c r="N1294" s="1039">
        <v>0.91</v>
      </c>
      <c r="O1294" s="1039">
        <v>0.93</v>
      </c>
      <c r="P1294" s="1039">
        <v>0.95</v>
      </c>
      <c r="Q1294" s="1041">
        <v>0.98</v>
      </c>
    </row>
    <row r="1295" spans="2:17" ht="69.75" customHeight="1" x14ac:dyDescent="0.2">
      <c r="B1295" s="2014"/>
      <c r="C1295" s="2016"/>
      <c r="D1295" s="2017"/>
      <c r="E1295" s="2013"/>
      <c r="F1295" s="1818"/>
      <c r="G1295" s="1818"/>
      <c r="H1295" s="1818"/>
      <c r="I1295" s="1818"/>
      <c r="J1295" s="1818"/>
      <c r="K1295" s="1001" t="s">
        <v>2912</v>
      </c>
      <c r="L1295" s="1037" t="s">
        <v>16</v>
      </c>
      <c r="M1295" s="1039">
        <v>0.5</v>
      </c>
      <c r="N1295" s="1039">
        <v>0.6</v>
      </c>
      <c r="O1295" s="1039">
        <v>0.7</v>
      </c>
      <c r="P1295" s="1039">
        <v>0.75</v>
      </c>
      <c r="Q1295" s="1041">
        <v>0.8</v>
      </c>
    </row>
    <row r="1296" spans="2:17" ht="29.25" customHeight="1" x14ac:dyDescent="0.2">
      <c r="B1296" s="2014"/>
      <c r="C1296" s="2015" t="s">
        <v>124</v>
      </c>
      <c r="D1296" s="2017"/>
      <c r="E1296" s="2013" t="s">
        <v>1715</v>
      </c>
      <c r="F1296" s="1818">
        <v>28415.404030633119</v>
      </c>
      <c r="G1296" s="1818">
        <v>32993.915625000001</v>
      </c>
      <c r="H1296" s="1818">
        <f>22659.8+320.9+74.8+11.1+506.1</f>
        <v>23572.699999999997</v>
      </c>
      <c r="I1296" s="1818">
        <v>24670.427343750001</v>
      </c>
      <c r="J1296" s="1818">
        <v>24873.191015625001</v>
      </c>
      <c r="K1296" s="991" t="s">
        <v>2913</v>
      </c>
      <c r="L1296" s="992" t="s">
        <v>122</v>
      </c>
      <c r="M1296" s="1042">
        <v>3866</v>
      </c>
      <c r="N1296" s="1042">
        <v>3845</v>
      </c>
      <c r="O1296" s="1042">
        <v>3821</v>
      </c>
      <c r="P1296" s="1042">
        <v>3795</v>
      </c>
      <c r="Q1296" s="1043">
        <v>3768</v>
      </c>
    </row>
    <row r="1297" spans="2:17" ht="29.25" customHeight="1" x14ac:dyDescent="0.2">
      <c r="B1297" s="2014"/>
      <c r="C1297" s="2016"/>
      <c r="D1297" s="2017"/>
      <c r="E1297" s="2013"/>
      <c r="F1297" s="1818"/>
      <c r="G1297" s="1818"/>
      <c r="H1297" s="1818"/>
      <c r="I1297" s="1818"/>
      <c r="J1297" s="1818"/>
      <c r="K1297" s="991" t="s">
        <v>2914</v>
      </c>
      <c r="L1297" s="992" t="s">
        <v>122</v>
      </c>
      <c r="M1297" s="1037">
        <v>6</v>
      </c>
      <c r="N1297" s="1037">
        <v>6</v>
      </c>
      <c r="O1297" s="1037">
        <v>5</v>
      </c>
      <c r="P1297" s="1037">
        <v>5</v>
      </c>
      <c r="Q1297" s="1038">
        <v>4</v>
      </c>
    </row>
    <row r="1298" spans="2:17" ht="29.25" customHeight="1" x14ac:dyDescent="0.2">
      <c r="B1298" s="1044"/>
      <c r="C1298" s="1462" t="s">
        <v>128</v>
      </c>
      <c r="D1298" s="1026"/>
      <c r="E1298" s="1032" t="s">
        <v>2915</v>
      </c>
      <c r="F1298" s="1340">
        <v>17540.372858415507</v>
      </c>
      <c r="G1298" s="1340">
        <v>20366.614583333332</v>
      </c>
      <c r="H1298" s="1568">
        <f>15889+256.7+38+5.6+261.2</f>
        <v>16450.5</v>
      </c>
      <c r="I1298" s="1340">
        <v>15228.658854166668</v>
      </c>
      <c r="J1298" s="1340">
        <v>15353.821614583334</v>
      </c>
      <c r="K1298" s="1012" t="s">
        <v>2916</v>
      </c>
      <c r="L1298" s="1030" t="s">
        <v>16</v>
      </c>
      <c r="M1298" s="1045">
        <v>0.11</v>
      </c>
      <c r="N1298" s="1045">
        <v>0.1</v>
      </c>
      <c r="O1298" s="1045">
        <v>0.15</v>
      </c>
      <c r="P1298" s="1045">
        <v>0.16</v>
      </c>
      <c r="Q1298" s="1046">
        <v>0.18</v>
      </c>
    </row>
    <row r="1299" spans="2:17" ht="29.25" customHeight="1" x14ac:dyDescent="0.2">
      <c r="B1299" s="2018"/>
      <c r="C1299" s="2019" t="s">
        <v>202</v>
      </c>
      <c r="D1299" s="2022"/>
      <c r="E1299" s="2023" t="s">
        <v>1716</v>
      </c>
      <c r="F1299" s="1862">
        <v>8068.5715148711324</v>
      </c>
      <c r="G1299" s="1862">
        <v>9368.6427083333328</v>
      </c>
      <c r="H1299" s="1818">
        <f>7371.7+192.5+15.4+2.3+114.3</f>
        <v>7696.2</v>
      </c>
      <c r="I1299" s="1862">
        <v>7005.1830729166668</v>
      </c>
      <c r="J1299" s="1862">
        <v>7062.7579427083328</v>
      </c>
      <c r="K1299" s="1012" t="s">
        <v>1717</v>
      </c>
      <c r="L1299" s="1030" t="s">
        <v>16</v>
      </c>
      <c r="M1299" s="1045">
        <v>0</v>
      </c>
      <c r="N1299" s="1045">
        <v>0</v>
      </c>
      <c r="O1299" s="1045">
        <v>0</v>
      </c>
      <c r="P1299" s="1045">
        <v>0.2</v>
      </c>
      <c r="Q1299" s="1046">
        <v>0.3</v>
      </c>
    </row>
    <row r="1300" spans="2:17" ht="66.75" customHeight="1" x14ac:dyDescent="0.2">
      <c r="B1300" s="2018"/>
      <c r="C1300" s="2020"/>
      <c r="D1300" s="2022"/>
      <c r="E1300" s="2024"/>
      <c r="F1300" s="1862"/>
      <c r="G1300" s="1862"/>
      <c r="H1300" s="1818"/>
      <c r="I1300" s="1862"/>
      <c r="J1300" s="1862"/>
      <c r="K1300" s="1012" t="s">
        <v>2917</v>
      </c>
      <c r="L1300" s="1030" t="s">
        <v>16</v>
      </c>
      <c r="M1300" s="1045">
        <v>0.01</v>
      </c>
      <c r="N1300" s="1045">
        <v>0.05</v>
      </c>
      <c r="O1300" s="1045">
        <v>0.1</v>
      </c>
      <c r="P1300" s="1045">
        <v>0.2</v>
      </c>
      <c r="Q1300" s="1046">
        <v>0.4</v>
      </c>
    </row>
    <row r="1301" spans="2:17" ht="29.25" customHeight="1" x14ac:dyDescent="0.2">
      <c r="B1301" s="2018"/>
      <c r="C1301" s="2021"/>
      <c r="D1301" s="2022"/>
      <c r="E1301" s="2024"/>
      <c r="F1301" s="1862"/>
      <c r="G1301" s="1862"/>
      <c r="H1301" s="1818"/>
      <c r="I1301" s="1862"/>
      <c r="J1301" s="1862"/>
      <c r="K1301" s="1012" t="s">
        <v>2918</v>
      </c>
      <c r="L1301" s="1030" t="s">
        <v>16</v>
      </c>
      <c r="M1301" s="1047">
        <v>0.1</v>
      </c>
      <c r="N1301" s="1047">
        <v>0.1</v>
      </c>
      <c r="O1301" s="1047">
        <v>0.15</v>
      </c>
      <c r="P1301" s="1047">
        <v>0.35</v>
      </c>
      <c r="Q1301" s="1048">
        <v>0.6</v>
      </c>
    </row>
    <row r="1302" spans="2:17" ht="29.25" customHeight="1" x14ac:dyDescent="0.2">
      <c r="B1302" s="2014"/>
      <c r="C1302" s="2015" t="s">
        <v>149</v>
      </c>
      <c r="D1302" s="2017"/>
      <c r="E1302" s="2023" t="s">
        <v>1718</v>
      </c>
      <c r="F1302" s="1818">
        <v>5963.726771861272</v>
      </c>
      <c r="G1302" s="1818">
        <v>6924.6489583333332</v>
      </c>
      <c r="H1302" s="1818">
        <f>5545.8+449.1+3.6+0.4+32.6</f>
        <v>6031.5000000000009</v>
      </c>
      <c r="I1302" s="1818">
        <v>5177.7440104166672</v>
      </c>
      <c r="J1302" s="1818">
        <v>5220.2993489583332</v>
      </c>
      <c r="K1302" s="991" t="s">
        <v>2919</v>
      </c>
      <c r="L1302" s="1030" t="s">
        <v>16</v>
      </c>
      <c r="M1302" s="1039">
        <v>2.5</v>
      </c>
      <c r="N1302" s="1039">
        <v>2.0699999999999998</v>
      </c>
      <c r="O1302" s="1039">
        <v>2.17</v>
      </c>
      <c r="P1302" s="1039">
        <v>4</v>
      </c>
      <c r="Q1302" s="1041">
        <v>5.5</v>
      </c>
    </row>
    <row r="1303" spans="2:17" ht="29.25" customHeight="1" x14ac:dyDescent="0.2">
      <c r="B1303" s="2014"/>
      <c r="C1303" s="2421"/>
      <c r="D1303" s="2017"/>
      <c r="E1303" s="2024"/>
      <c r="F1303" s="1818"/>
      <c r="G1303" s="1818"/>
      <c r="H1303" s="1818"/>
      <c r="I1303" s="1818"/>
      <c r="J1303" s="1818"/>
      <c r="K1303" s="991" t="s">
        <v>1719</v>
      </c>
      <c r="L1303" s="1030" t="s">
        <v>16</v>
      </c>
      <c r="M1303" s="1039">
        <v>0.35</v>
      </c>
      <c r="N1303" s="1039">
        <v>0.35</v>
      </c>
      <c r="O1303" s="1039">
        <v>0.35</v>
      </c>
      <c r="P1303" s="1039">
        <v>0.35</v>
      </c>
      <c r="Q1303" s="1041">
        <v>0.35</v>
      </c>
    </row>
    <row r="1304" spans="2:17" ht="29.25" customHeight="1" x14ac:dyDescent="0.2">
      <c r="B1304" s="2014"/>
      <c r="C1304" s="2016"/>
      <c r="D1304" s="2017"/>
      <c r="E1304" s="2024"/>
      <c r="F1304" s="1818"/>
      <c r="G1304" s="1818"/>
      <c r="H1304" s="1818"/>
      <c r="I1304" s="1818"/>
      <c r="J1304" s="1818"/>
      <c r="K1304" s="991" t="s">
        <v>1720</v>
      </c>
      <c r="L1304" s="1030" t="s">
        <v>16</v>
      </c>
      <c r="M1304" s="1039">
        <v>0.75</v>
      </c>
      <c r="N1304" s="1039">
        <v>0.7</v>
      </c>
      <c r="O1304" s="1039">
        <v>0.65</v>
      </c>
      <c r="P1304" s="1039">
        <v>0.6</v>
      </c>
      <c r="Q1304" s="1041">
        <v>0.55000000000000004</v>
      </c>
    </row>
    <row r="1305" spans="2:17" ht="29.25" customHeight="1" x14ac:dyDescent="0.2">
      <c r="B1305" s="2025" t="s">
        <v>3104</v>
      </c>
      <c r="C1305" s="2026"/>
      <c r="D1305" s="2026"/>
      <c r="E1305" s="2026"/>
      <c r="F1305" s="1572">
        <v>269860.7</v>
      </c>
      <c r="G1305" s="1572">
        <v>312831.2</v>
      </c>
      <c r="H1305" s="1572">
        <f>H1261+H1274+H1284</f>
        <v>240052.89999999997</v>
      </c>
      <c r="I1305" s="1572">
        <v>233912.2</v>
      </c>
      <c r="J1305" s="1572">
        <v>235834.7</v>
      </c>
      <c r="K1305" s="704"/>
      <c r="L1305" s="1863"/>
      <c r="M1305" s="1863"/>
      <c r="N1305" s="1863"/>
      <c r="O1305" s="1863"/>
      <c r="P1305" s="1863"/>
      <c r="Q1305" s="1864"/>
    </row>
    <row r="1306" spans="2:17" ht="29.25" customHeight="1" x14ac:dyDescent="0.2">
      <c r="B1306" s="1865" t="s">
        <v>1721</v>
      </c>
      <c r="C1306" s="1866"/>
      <c r="D1306" s="1866"/>
      <c r="E1306" s="1866"/>
      <c r="F1306" s="1866"/>
      <c r="G1306" s="1866"/>
      <c r="H1306" s="1866"/>
      <c r="I1306" s="1866"/>
      <c r="J1306" s="1866"/>
      <c r="K1306" s="1866"/>
      <c r="L1306" s="1866"/>
      <c r="M1306" s="1866"/>
      <c r="N1306" s="1866"/>
      <c r="O1306" s="1866"/>
      <c r="P1306" s="1866"/>
      <c r="Q1306" s="1867"/>
    </row>
    <row r="1307" spans="2:17" ht="51" x14ac:dyDescent="0.2">
      <c r="B1307" s="1463" t="s">
        <v>2920</v>
      </c>
      <c r="C1307" s="570"/>
      <c r="D1307" s="570"/>
      <c r="E1307" s="41" t="s">
        <v>2966</v>
      </c>
      <c r="F1307" s="1562">
        <v>70837.7</v>
      </c>
      <c r="G1307" s="1562">
        <v>84011.1</v>
      </c>
      <c r="H1307" s="1562">
        <v>79542.100000000006</v>
      </c>
      <c r="I1307" s="1562">
        <v>81543.100000000006</v>
      </c>
      <c r="J1307" s="1562">
        <f t="shared" ref="J1307" si="65">J1308+J1309+J1312</f>
        <v>82680.600000000006</v>
      </c>
      <c r="K1307" s="659" t="s">
        <v>1722</v>
      </c>
      <c r="L1307" s="415"/>
      <c r="M1307" s="415"/>
      <c r="N1307" s="415"/>
      <c r="O1307" s="415"/>
      <c r="P1307" s="415"/>
      <c r="Q1307" s="415"/>
    </row>
    <row r="1308" spans="2:17" ht="38.25" x14ac:dyDescent="0.2">
      <c r="B1308" s="783"/>
      <c r="C1308" s="502">
        <v>1</v>
      </c>
      <c r="D1308" s="599"/>
      <c r="E1308" s="882" t="s">
        <v>2921</v>
      </c>
      <c r="F1308" s="1567">
        <v>7360.28</v>
      </c>
      <c r="G1308" s="1567">
        <v>8366.1</v>
      </c>
      <c r="H1308" s="1568">
        <v>0</v>
      </c>
      <c r="I1308" s="1568">
        <v>0</v>
      </c>
      <c r="J1308" s="1547"/>
      <c r="K1308" s="41" t="s">
        <v>564</v>
      </c>
      <c r="L1308" s="41" t="s">
        <v>1326</v>
      </c>
      <c r="M1308" s="599">
        <v>27.5</v>
      </c>
      <c r="N1308" s="599">
        <v>26</v>
      </c>
      <c r="O1308" s="22">
        <v>26.5</v>
      </c>
      <c r="P1308" s="22">
        <v>27</v>
      </c>
      <c r="Q1308" s="22">
        <v>27</v>
      </c>
    </row>
    <row r="1309" spans="2:17" ht="29.25" customHeight="1" x14ac:dyDescent="0.2">
      <c r="B1309" s="2011"/>
      <c r="C1309" s="2012">
        <v>2</v>
      </c>
      <c r="D1309" s="1769"/>
      <c r="E1309" s="1770" t="s">
        <v>2922</v>
      </c>
      <c r="F1309" s="1868">
        <v>40972.9</v>
      </c>
      <c r="G1309" s="1868">
        <v>52187.3</v>
      </c>
      <c r="H1309" s="1868">
        <v>79542.100000000006</v>
      </c>
      <c r="I1309" s="1868">
        <v>81543.100000000006</v>
      </c>
      <c r="J1309" s="1868">
        <v>82680.600000000006</v>
      </c>
      <c r="K1309" s="697" t="s">
        <v>1723</v>
      </c>
      <c r="L1309" s="22" t="s">
        <v>2923</v>
      </c>
      <c r="M1309" s="599">
        <v>0</v>
      </c>
      <c r="N1309" s="22">
        <v>1</v>
      </c>
      <c r="O1309" s="22">
        <v>0</v>
      </c>
      <c r="P1309" s="22">
        <v>0</v>
      </c>
      <c r="Q1309" s="22">
        <v>0</v>
      </c>
    </row>
    <row r="1310" spans="2:17" ht="29.25" customHeight="1" x14ac:dyDescent="0.2">
      <c r="B1310" s="2011"/>
      <c r="C1310" s="2012"/>
      <c r="D1310" s="1769"/>
      <c r="E1310" s="1775"/>
      <c r="F1310" s="1869"/>
      <c r="G1310" s="1869"/>
      <c r="H1310" s="1869"/>
      <c r="I1310" s="1869"/>
      <c r="J1310" s="1869"/>
      <c r="K1310" s="697" t="s">
        <v>1724</v>
      </c>
      <c r="L1310" s="22" t="s">
        <v>2923</v>
      </c>
      <c r="M1310" s="599">
        <v>43</v>
      </c>
      <c r="N1310" s="22">
        <v>9</v>
      </c>
      <c r="O1310" s="22">
        <v>8</v>
      </c>
      <c r="P1310" s="22">
        <v>8</v>
      </c>
      <c r="Q1310" s="22">
        <v>8</v>
      </c>
    </row>
    <row r="1311" spans="2:17" ht="29.25" customHeight="1" x14ac:dyDescent="0.2">
      <c r="B1311" s="2011"/>
      <c r="C1311" s="2012"/>
      <c r="D1311" s="1769"/>
      <c r="E1311" s="1776"/>
      <c r="F1311" s="1870"/>
      <c r="G1311" s="1870"/>
      <c r="H1311" s="1870"/>
      <c r="I1311" s="1870"/>
      <c r="J1311" s="1870"/>
      <c r="K1311" s="1464" t="s">
        <v>1725</v>
      </c>
      <c r="L1311" s="22" t="s">
        <v>16</v>
      </c>
      <c r="M1311" s="599">
        <v>0</v>
      </c>
      <c r="N1311" s="22">
        <v>0</v>
      </c>
      <c r="O1311" s="22">
        <v>100</v>
      </c>
      <c r="P1311" s="22">
        <v>100</v>
      </c>
      <c r="Q1311" s="22">
        <v>100</v>
      </c>
    </row>
    <row r="1312" spans="2:17" ht="51" x14ac:dyDescent="0.2">
      <c r="B1312" s="783"/>
      <c r="C1312" s="502">
        <v>6</v>
      </c>
      <c r="D1312" s="1465"/>
      <c r="E1312" s="816" t="s">
        <v>2924</v>
      </c>
      <c r="F1312" s="1547">
        <v>22504.5</v>
      </c>
      <c r="G1312" s="1568">
        <v>23457.7</v>
      </c>
      <c r="H1312" s="1547">
        <v>0</v>
      </c>
      <c r="I1312" s="1547">
        <v>0</v>
      </c>
      <c r="J1312" s="1547"/>
      <c r="K1312" s="697" t="s">
        <v>1726</v>
      </c>
      <c r="L1312" s="22" t="s">
        <v>16</v>
      </c>
      <c r="M1312" s="693" t="s">
        <v>112</v>
      </c>
      <c r="N1312" s="22">
        <v>20</v>
      </c>
      <c r="O1312" s="22">
        <v>10</v>
      </c>
      <c r="P1312" s="22">
        <v>10</v>
      </c>
      <c r="Q1312" s="22">
        <v>10</v>
      </c>
    </row>
    <row r="1313" spans="2:17" ht="51" x14ac:dyDescent="0.2">
      <c r="B1313" s="1466" t="s">
        <v>2925</v>
      </c>
      <c r="C1313" s="1065"/>
      <c r="D1313" s="570"/>
      <c r="E1313" s="882" t="s">
        <v>2926</v>
      </c>
      <c r="F1313" s="1562">
        <f>F1314+F1316+F1318</f>
        <v>45735.75</v>
      </c>
      <c r="G1313" s="1569">
        <f t="shared" ref="G1313" si="66">G1314+G1316+G1318</f>
        <v>20431</v>
      </c>
      <c r="H1313" s="1569">
        <v>28000</v>
      </c>
      <c r="I1313" s="1569">
        <f t="shared" ref="I1313:J1313" si="67">I1314+I1316+I1318</f>
        <v>18000</v>
      </c>
      <c r="J1313" s="1569">
        <f t="shared" si="67"/>
        <v>18000</v>
      </c>
      <c r="K1313" s="697" t="s">
        <v>1727</v>
      </c>
      <c r="L1313" s="22" t="s">
        <v>16</v>
      </c>
      <c r="M1313" s="1416"/>
      <c r="N1313" s="22">
        <v>44.4</v>
      </c>
      <c r="O1313" s="22"/>
      <c r="P1313" s="22">
        <v>22.2</v>
      </c>
      <c r="Q1313" s="965">
        <v>33.299999999999997</v>
      </c>
    </row>
    <row r="1314" spans="2:17" ht="29.25" customHeight="1" x14ac:dyDescent="0.2">
      <c r="B1314" s="2011"/>
      <c r="C1314" s="2012">
        <v>1</v>
      </c>
      <c r="D1314" s="1769"/>
      <c r="E1314" s="1963" t="s">
        <v>2927</v>
      </c>
      <c r="F1314" s="1818">
        <v>18834.7</v>
      </c>
      <c r="G1314" s="1818">
        <v>7635</v>
      </c>
      <c r="H1314" s="1818">
        <v>7000</v>
      </c>
      <c r="I1314" s="1818">
        <v>7000</v>
      </c>
      <c r="J1314" s="1818">
        <v>7000</v>
      </c>
      <c r="K1314" s="41" t="s">
        <v>1728</v>
      </c>
      <c r="L1314" s="22" t="s">
        <v>1729</v>
      </c>
      <c r="M1314" s="22">
        <v>9.1999999999999993</v>
      </c>
      <c r="N1314" s="599">
        <v>309</v>
      </c>
      <c r="O1314" s="599">
        <v>40</v>
      </c>
      <c r="P1314" s="599">
        <v>202</v>
      </c>
      <c r="Q1314" s="599">
        <v>202</v>
      </c>
    </row>
    <row r="1315" spans="2:17" ht="29.25" customHeight="1" x14ac:dyDescent="0.2">
      <c r="B1315" s="2011"/>
      <c r="C1315" s="2012"/>
      <c r="D1315" s="1769"/>
      <c r="E1315" s="1963"/>
      <c r="F1315" s="1818"/>
      <c r="G1315" s="1818"/>
      <c r="H1315" s="1818"/>
      <c r="I1315" s="1818"/>
      <c r="J1315" s="1818"/>
      <c r="K1315" s="41" t="s">
        <v>1730</v>
      </c>
      <c r="L1315" s="41" t="s">
        <v>1178</v>
      </c>
      <c r="M1315" s="22">
        <v>4</v>
      </c>
      <c r="N1315" s="599">
        <v>0</v>
      </c>
      <c r="O1315" s="599">
        <v>2</v>
      </c>
      <c r="P1315" s="599">
        <v>3</v>
      </c>
      <c r="Q1315" s="599">
        <v>3</v>
      </c>
    </row>
    <row r="1316" spans="2:17" ht="29.25" customHeight="1" x14ac:dyDescent="0.2">
      <c r="B1316" s="2011"/>
      <c r="C1316" s="1746" t="s">
        <v>116</v>
      </c>
      <c r="D1316" s="2422"/>
      <c r="E1316" s="2089" t="s">
        <v>2928</v>
      </c>
      <c r="F1316" s="1818">
        <v>16901.05</v>
      </c>
      <c r="G1316" s="1818">
        <v>9433.5</v>
      </c>
      <c r="H1316" s="1818">
        <v>12000</v>
      </c>
      <c r="I1316" s="1818">
        <v>7000</v>
      </c>
      <c r="J1316" s="1818">
        <v>7000</v>
      </c>
      <c r="K1316" s="41" t="s">
        <v>1731</v>
      </c>
      <c r="L1316" s="41" t="s">
        <v>1178</v>
      </c>
      <c r="M1316" s="22">
        <v>400</v>
      </c>
      <c r="N1316" s="599">
        <v>400</v>
      </c>
      <c r="O1316" s="599">
        <v>400</v>
      </c>
      <c r="P1316" s="599">
        <v>400</v>
      </c>
      <c r="Q1316" s="599">
        <v>400</v>
      </c>
    </row>
    <row r="1317" spans="2:17" ht="29.25" customHeight="1" x14ac:dyDescent="0.2">
      <c r="B1317" s="2011"/>
      <c r="C1317" s="1746"/>
      <c r="D1317" s="2422"/>
      <c r="E1317" s="2089"/>
      <c r="F1317" s="1818"/>
      <c r="G1317" s="1818"/>
      <c r="H1317" s="1818"/>
      <c r="I1317" s="1818"/>
      <c r="J1317" s="1818"/>
      <c r="K1317" s="697" t="s">
        <v>1732</v>
      </c>
      <c r="L1317" s="41" t="s">
        <v>1178</v>
      </c>
      <c r="M1317" s="22">
        <v>10</v>
      </c>
      <c r="N1317" s="599">
        <v>10</v>
      </c>
      <c r="O1317" s="599">
        <v>10</v>
      </c>
      <c r="P1317" s="599">
        <v>10</v>
      </c>
      <c r="Q1317" s="599">
        <v>10</v>
      </c>
    </row>
    <row r="1318" spans="2:17" ht="29.25" customHeight="1" x14ac:dyDescent="0.2">
      <c r="B1318" s="2007"/>
      <c r="C1318" s="2006" t="s">
        <v>119</v>
      </c>
      <c r="D1318" s="2007"/>
      <c r="E1318" s="2008" t="s">
        <v>2929</v>
      </c>
      <c r="F1318" s="1818">
        <v>10000</v>
      </c>
      <c r="G1318" s="1818">
        <v>3362.5</v>
      </c>
      <c r="H1318" s="1818">
        <v>9000</v>
      </c>
      <c r="I1318" s="1818">
        <v>4000</v>
      </c>
      <c r="J1318" s="1818">
        <v>4000</v>
      </c>
      <c r="K1318" s="697" t="s">
        <v>1733</v>
      </c>
      <c r="L1318" s="22" t="s">
        <v>1734</v>
      </c>
      <c r="M1318" s="22">
        <v>45250</v>
      </c>
      <c r="N1318" s="599">
        <v>45255</v>
      </c>
      <c r="O1318" s="599">
        <v>45260</v>
      </c>
      <c r="P1318" s="599">
        <v>45265</v>
      </c>
      <c r="Q1318" s="599">
        <v>45265</v>
      </c>
    </row>
    <row r="1319" spans="2:17" ht="29.25" customHeight="1" x14ac:dyDescent="0.2">
      <c r="B1319" s="2007"/>
      <c r="C1319" s="2006"/>
      <c r="D1319" s="2007"/>
      <c r="E1319" s="2008"/>
      <c r="F1319" s="1818"/>
      <c r="G1319" s="1818"/>
      <c r="H1319" s="1818"/>
      <c r="I1319" s="1818"/>
      <c r="J1319" s="1818"/>
      <c r="K1319" s="697" t="s">
        <v>1735</v>
      </c>
      <c r="L1319" s="591" t="s">
        <v>1736</v>
      </c>
      <c r="M1319" s="22">
        <v>53.5</v>
      </c>
      <c r="N1319" s="599">
        <v>53.5</v>
      </c>
      <c r="O1319" s="22">
        <v>53.5</v>
      </c>
      <c r="P1319" s="22">
        <v>53.5</v>
      </c>
      <c r="Q1319" s="22">
        <v>53.5</v>
      </c>
    </row>
    <row r="1320" spans="2:17" ht="29.25" customHeight="1" x14ac:dyDescent="0.2">
      <c r="B1320" s="1052" t="s">
        <v>341</v>
      </c>
      <c r="C1320" s="1051"/>
      <c r="D1320" s="1052"/>
      <c r="E1320" s="1417" t="s">
        <v>2930</v>
      </c>
      <c r="F1320" s="1561">
        <f>F1321+F1322+F1323+F1324+F1325+F1326+F1327+F1329+F1331+F1332+F1333+F1334+F1335+F1336+F1337</f>
        <v>4859504.5999999996</v>
      </c>
      <c r="G1320" s="1571">
        <f>G1321+G1322+G1323+G1324+G1325+G1326+G1327+G1329+G1331+G1332+G1333+G1336+G1334</f>
        <v>4292222.26</v>
      </c>
      <c r="H1320" s="1571">
        <v>10719333.9</v>
      </c>
      <c r="I1320" s="1571">
        <v>11102459.369999999</v>
      </c>
      <c r="J1320" s="1571">
        <v>11236722.050000001</v>
      </c>
      <c r="K1320" s="697"/>
      <c r="L1320" s="22"/>
      <c r="M1320" s="22"/>
      <c r="N1320" s="599"/>
      <c r="O1320" s="599"/>
      <c r="P1320" s="599"/>
      <c r="Q1320" s="599"/>
    </row>
    <row r="1321" spans="2:17" ht="29.25" customHeight="1" x14ac:dyDescent="0.2">
      <c r="B1321" s="1051"/>
      <c r="C1321" s="693" t="s">
        <v>124</v>
      </c>
      <c r="D1321" s="1052"/>
      <c r="E1321" s="1417" t="s">
        <v>1737</v>
      </c>
      <c r="F1321" s="1568">
        <v>48494.2</v>
      </c>
      <c r="G1321" s="1571" t="s">
        <v>1328</v>
      </c>
      <c r="H1321" s="1568">
        <v>309655</v>
      </c>
      <c r="I1321" s="1568">
        <v>335248.5</v>
      </c>
      <c r="J1321" s="1568">
        <v>0</v>
      </c>
      <c r="K1321" s="697" t="s">
        <v>1738</v>
      </c>
      <c r="L1321" s="22" t="s">
        <v>122</v>
      </c>
      <c r="M1321" s="22"/>
      <c r="N1321" s="599"/>
      <c r="O1321" s="22" t="s">
        <v>1329</v>
      </c>
      <c r="P1321" s="22"/>
      <c r="Q1321" s="599"/>
    </row>
    <row r="1322" spans="2:17" ht="29.25" customHeight="1" x14ac:dyDescent="0.2">
      <c r="B1322" s="1051"/>
      <c r="C1322" s="693" t="s">
        <v>202</v>
      </c>
      <c r="D1322" s="1052"/>
      <c r="E1322" s="1417" t="s">
        <v>1739</v>
      </c>
      <c r="F1322" s="1568">
        <v>1849187.4</v>
      </c>
      <c r="G1322" s="1571" t="s">
        <v>1330</v>
      </c>
      <c r="H1322" s="1568">
        <v>4505000</v>
      </c>
      <c r="I1322" s="1568">
        <v>2612159.9900000002</v>
      </c>
      <c r="J1322" s="1568">
        <v>1445000</v>
      </c>
      <c r="K1322" s="697" t="s">
        <v>1740</v>
      </c>
      <c r="L1322" s="22" t="s">
        <v>122</v>
      </c>
      <c r="M1322" s="22"/>
      <c r="N1322" s="599" t="s">
        <v>1331</v>
      </c>
      <c r="O1322" s="42"/>
      <c r="P1322" s="599"/>
      <c r="Q1322" s="599"/>
    </row>
    <row r="1323" spans="2:17" ht="29.25" customHeight="1" x14ac:dyDescent="0.2">
      <c r="B1323" s="1051"/>
      <c r="C1323" s="693" t="s">
        <v>149</v>
      </c>
      <c r="D1323" s="1052"/>
      <c r="E1323" s="1417" t="s">
        <v>1741</v>
      </c>
      <c r="F1323" s="1568">
        <v>60096.4</v>
      </c>
      <c r="G1323" s="1571" t="s">
        <v>1332</v>
      </c>
      <c r="H1323" s="1568"/>
      <c r="I1323" s="1571"/>
      <c r="J1323" s="1561"/>
      <c r="K1323" s="697" t="s">
        <v>1742</v>
      </c>
      <c r="L1323" s="22" t="s">
        <v>122</v>
      </c>
      <c r="M1323" s="22">
        <v>0</v>
      </c>
      <c r="N1323" s="599">
        <v>0</v>
      </c>
      <c r="O1323" s="599">
        <v>0</v>
      </c>
      <c r="P1323" s="599">
        <v>0</v>
      </c>
      <c r="Q1323" s="599">
        <v>0</v>
      </c>
    </row>
    <row r="1324" spans="2:17" ht="29.25" customHeight="1" x14ac:dyDescent="0.2">
      <c r="B1324" s="1051"/>
      <c r="C1324" s="693" t="s">
        <v>152</v>
      </c>
      <c r="D1324" s="1052"/>
      <c r="E1324" s="1417" t="s">
        <v>1743</v>
      </c>
      <c r="F1324" s="1568">
        <v>130850.1</v>
      </c>
      <c r="G1324" s="1571" t="s">
        <v>1333</v>
      </c>
      <c r="H1324" s="1568">
        <v>189380</v>
      </c>
      <c r="I1324" s="1571"/>
      <c r="J1324" s="1561"/>
      <c r="K1324" s="697" t="s">
        <v>2931</v>
      </c>
      <c r="L1324" s="22" t="s">
        <v>122</v>
      </c>
      <c r="M1324" s="22">
        <v>0</v>
      </c>
      <c r="N1324" s="22">
        <v>0</v>
      </c>
      <c r="O1324" s="22" t="s">
        <v>1334</v>
      </c>
      <c r="P1324" s="599">
        <v>0</v>
      </c>
      <c r="Q1324" s="599">
        <v>0</v>
      </c>
    </row>
    <row r="1325" spans="2:17" ht="29.25" customHeight="1" x14ac:dyDescent="0.2">
      <c r="B1325" s="1051"/>
      <c r="C1325" s="693" t="s">
        <v>279</v>
      </c>
      <c r="D1325" s="1052"/>
      <c r="E1325" s="1417" t="s">
        <v>1744</v>
      </c>
      <c r="F1325" s="1568"/>
      <c r="G1325" s="1571" t="s">
        <v>1335</v>
      </c>
      <c r="H1325" s="1568">
        <v>40800</v>
      </c>
      <c r="I1325" s="1568">
        <v>2635000</v>
      </c>
      <c r="J1325" s="1568">
        <v>3485000</v>
      </c>
      <c r="K1325" s="697" t="s">
        <v>1745</v>
      </c>
      <c r="L1325" s="22" t="s">
        <v>122</v>
      </c>
      <c r="M1325" s="22">
        <v>0</v>
      </c>
      <c r="N1325" s="42">
        <v>0</v>
      </c>
      <c r="O1325" s="599">
        <v>0</v>
      </c>
      <c r="P1325" s="22" t="s">
        <v>1336</v>
      </c>
      <c r="Q1325" s="599">
        <v>0</v>
      </c>
    </row>
    <row r="1326" spans="2:17" ht="29.25" customHeight="1" x14ac:dyDescent="0.2">
      <c r="B1326" s="1051"/>
      <c r="C1326" s="693" t="s">
        <v>284</v>
      </c>
      <c r="D1326" s="1052"/>
      <c r="E1326" s="1417" t="s">
        <v>1746</v>
      </c>
      <c r="F1326" s="1568">
        <v>395170.6</v>
      </c>
      <c r="G1326" s="1571" t="s">
        <v>1337</v>
      </c>
      <c r="H1326" s="1568">
        <v>2094391.5</v>
      </c>
      <c r="I1326" s="1568">
        <v>3259050.88</v>
      </c>
      <c r="J1326" s="1568">
        <v>4398047.05</v>
      </c>
      <c r="K1326" s="697" t="s">
        <v>1747</v>
      </c>
      <c r="L1326" s="22" t="s">
        <v>122</v>
      </c>
      <c r="M1326" s="22">
        <v>0</v>
      </c>
      <c r="N1326" s="22" t="s">
        <v>1748</v>
      </c>
      <c r="O1326" s="22" t="s">
        <v>1748</v>
      </c>
      <c r="P1326" s="22" t="s">
        <v>1749</v>
      </c>
      <c r="Q1326" s="22">
        <v>0</v>
      </c>
    </row>
    <row r="1327" spans="2:17" ht="29.25" customHeight="1" x14ac:dyDescent="0.2">
      <c r="B1327" s="2006"/>
      <c r="C1327" s="2006" t="s">
        <v>293</v>
      </c>
      <c r="D1327" s="2007"/>
      <c r="E1327" s="2008" t="s">
        <v>1750</v>
      </c>
      <c r="F1327" s="1818"/>
      <c r="G1327" s="2009" t="s">
        <v>1338</v>
      </c>
      <c r="H1327" s="1818">
        <v>675750</v>
      </c>
      <c r="I1327" s="1818">
        <v>935000</v>
      </c>
      <c r="J1327" s="1818">
        <v>582675</v>
      </c>
      <c r="K1327" s="1847" t="s">
        <v>1751</v>
      </c>
      <c r="L1327" s="22" t="s">
        <v>1752</v>
      </c>
      <c r="M1327" s="22">
        <v>0</v>
      </c>
      <c r="N1327" s="1871" t="s">
        <v>1753</v>
      </c>
      <c r="O1327" s="1871"/>
      <c r="P1327" s="504">
        <v>0</v>
      </c>
      <c r="Q1327" s="599">
        <v>0</v>
      </c>
    </row>
    <row r="1328" spans="2:17" ht="66.75" customHeight="1" x14ac:dyDescent="0.2">
      <c r="B1328" s="2006"/>
      <c r="C1328" s="2006"/>
      <c r="D1328" s="2007"/>
      <c r="E1328" s="2008"/>
      <c r="F1328" s="1818"/>
      <c r="G1328" s="2009"/>
      <c r="H1328" s="1818"/>
      <c r="I1328" s="1818"/>
      <c r="J1328" s="1818"/>
      <c r="K1328" s="1847"/>
      <c r="L1328" s="22" t="s">
        <v>1754</v>
      </c>
      <c r="M1328" s="22">
        <v>0</v>
      </c>
      <c r="N1328" s="1871" t="s">
        <v>1755</v>
      </c>
      <c r="O1328" s="1871"/>
      <c r="P1328" s="504">
        <v>0</v>
      </c>
      <c r="Q1328" s="599">
        <v>0</v>
      </c>
    </row>
    <row r="1329" spans="2:17" ht="64.5" customHeight="1" x14ac:dyDescent="0.2">
      <c r="B1329" s="2006"/>
      <c r="C1329" s="2006" t="s">
        <v>295</v>
      </c>
      <c r="D1329" s="2007"/>
      <c r="E1329" s="2008" t="s">
        <v>1756</v>
      </c>
      <c r="F1329" s="2009"/>
      <c r="G1329" s="2009" t="s">
        <v>112</v>
      </c>
      <c r="H1329" s="1818">
        <v>0</v>
      </c>
      <c r="I1329" s="1818">
        <v>0</v>
      </c>
      <c r="J1329" s="1818">
        <v>0</v>
      </c>
      <c r="K1329" s="1847" t="s">
        <v>1757</v>
      </c>
      <c r="L1329" s="22" t="s">
        <v>1758</v>
      </c>
      <c r="M1329" s="22">
        <v>0</v>
      </c>
      <c r="N1329" s="1909" t="s">
        <v>1759</v>
      </c>
      <c r="O1329" s="1910"/>
      <c r="P1329" s="1911"/>
      <c r="Q1329" s="599">
        <v>0</v>
      </c>
    </row>
    <row r="1330" spans="2:17" ht="63.75" customHeight="1" x14ac:dyDescent="0.2">
      <c r="B1330" s="2006"/>
      <c r="C1330" s="2006"/>
      <c r="D1330" s="2007"/>
      <c r="E1330" s="2008"/>
      <c r="F1330" s="2009"/>
      <c r="G1330" s="2009"/>
      <c r="H1330" s="1818"/>
      <c r="I1330" s="1818"/>
      <c r="J1330" s="1818"/>
      <c r="K1330" s="1847"/>
      <c r="L1330" s="22" t="s">
        <v>1760</v>
      </c>
      <c r="M1330" s="22">
        <v>0</v>
      </c>
      <c r="N1330" s="1847" t="s">
        <v>1761</v>
      </c>
      <c r="O1330" s="1847"/>
      <c r="P1330" s="1847"/>
      <c r="Q1330" s="599">
        <v>0</v>
      </c>
    </row>
    <row r="1331" spans="2:17" ht="74.25" customHeight="1" x14ac:dyDescent="0.2">
      <c r="B1331" s="1051"/>
      <c r="C1331" s="693" t="s">
        <v>297</v>
      </c>
      <c r="D1331" s="1052"/>
      <c r="E1331" s="1417" t="s">
        <v>1762</v>
      </c>
      <c r="F1331" s="1571"/>
      <c r="G1331" s="1571" t="s">
        <v>112</v>
      </c>
      <c r="H1331" s="1568">
        <v>516970</v>
      </c>
      <c r="I1331" s="1568">
        <v>0</v>
      </c>
      <c r="J1331" s="1568">
        <v>0</v>
      </c>
      <c r="K1331" s="41" t="s">
        <v>1763</v>
      </c>
      <c r="L1331" s="41" t="s">
        <v>1764</v>
      </c>
      <c r="M1331" s="22">
        <v>0</v>
      </c>
      <c r="N1331" s="2010" t="s">
        <v>1765</v>
      </c>
      <c r="O1331" s="2010"/>
      <c r="P1331" s="2010"/>
      <c r="Q1331" s="599">
        <v>0</v>
      </c>
    </row>
    <row r="1332" spans="2:17" ht="71.25" customHeight="1" x14ac:dyDescent="0.2">
      <c r="B1332" s="1051"/>
      <c r="C1332" s="693" t="s">
        <v>2932</v>
      </c>
      <c r="D1332" s="1052"/>
      <c r="E1332" s="1417" t="s">
        <v>1766</v>
      </c>
      <c r="F1332" s="1571"/>
      <c r="G1332" s="1571" t="s">
        <v>1339</v>
      </c>
      <c r="H1332" s="1568">
        <v>450832.35</v>
      </c>
      <c r="I1332" s="1571"/>
      <c r="J1332" s="1561"/>
      <c r="K1332" s="41" t="s">
        <v>1767</v>
      </c>
      <c r="L1332" s="41" t="s">
        <v>1764</v>
      </c>
      <c r="M1332" s="22">
        <v>0</v>
      </c>
      <c r="N1332" s="1871" t="s">
        <v>1768</v>
      </c>
      <c r="O1332" s="1871"/>
      <c r="P1332" s="1871"/>
      <c r="Q1332" s="599">
        <v>0</v>
      </c>
    </row>
    <row r="1333" spans="2:17" ht="29.25" customHeight="1" x14ac:dyDescent="0.2">
      <c r="B1333" s="1051"/>
      <c r="C1333" s="693" t="s">
        <v>119</v>
      </c>
      <c r="D1333" s="1052"/>
      <c r="E1333" s="1417" t="s">
        <v>1769</v>
      </c>
      <c r="F1333" s="1571" t="s">
        <v>1340</v>
      </c>
      <c r="G1333" s="1571" t="s">
        <v>1341</v>
      </c>
      <c r="H1333" s="1568">
        <v>0</v>
      </c>
      <c r="I1333" s="1571">
        <v>0</v>
      </c>
      <c r="J1333" s="1561">
        <v>0</v>
      </c>
      <c r="K1333" s="41" t="s">
        <v>1770</v>
      </c>
      <c r="L1333" s="41" t="s">
        <v>16</v>
      </c>
      <c r="M1333" s="22">
        <v>0</v>
      </c>
      <c r="N1333" s="22">
        <v>0</v>
      </c>
      <c r="O1333" s="22">
        <v>0</v>
      </c>
      <c r="P1333" s="22">
        <v>0</v>
      </c>
      <c r="Q1333" s="599">
        <v>0</v>
      </c>
    </row>
    <row r="1334" spans="2:17" ht="29.25" customHeight="1" x14ac:dyDescent="0.2">
      <c r="B1334" s="1051"/>
      <c r="C1334" s="693" t="s">
        <v>116</v>
      </c>
      <c r="D1334" s="1052"/>
      <c r="E1334" s="1417" t="s">
        <v>1771</v>
      </c>
      <c r="F1334" s="1571" t="s">
        <v>1342</v>
      </c>
      <c r="G1334" s="1571" t="s">
        <v>1343</v>
      </c>
      <c r="H1334" s="1568">
        <v>0</v>
      </c>
      <c r="I1334" s="1571">
        <v>0</v>
      </c>
      <c r="J1334" s="1561">
        <v>0</v>
      </c>
      <c r="K1334" s="41" t="s">
        <v>1738</v>
      </c>
      <c r="L1334" s="22" t="s">
        <v>122</v>
      </c>
      <c r="M1334" s="22">
        <v>0</v>
      </c>
      <c r="N1334" s="22">
        <v>0</v>
      </c>
      <c r="O1334" s="22">
        <v>0</v>
      </c>
      <c r="P1334" s="22">
        <v>0</v>
      </c>
      <c r="Q1334" s="599">
        <v>0</v>
      </c>
    </row>
    <row r="1335" spans="2:17" ht="29.25" customHeight="1" x14ac:dyDescent="0.2">
      <c r="B1335" s="1051"/>
      <c r="C1335" s="693" t="s">
        <v>128</v>
      </c>
      <c r="D1335" s="1052"/>
      <c r="E1335" s="1417" t="s">
        <v>1772</v>
      </c>
      <c r="F1335" s="1571" t="s">
        <v>1344</v>
      </c>
      <c r="G1335" s="1571" t="s">
        <v>112</v>
      </c>
      <c r="H1335" s="1568">
        <v>0</v>
      </c>
      <c r="I1335" s="1571">
        <v>0</v>
      </c>
      <c r="J1335" s="1561">
        <v>0</v>
      </c>
      <c r="K1335" s="41" t="s">
        <v>1773</v>
      </c>
      <c r="L1335" s="22" t="s">
        <v>122</v>
      </c>
      <c r="M1335" s="22">
        <v>0</v>
      </c>
      <c r="N1335" s="22">
        <v>0</v>
      </c>
      <c r="O1335" s="22">
        <v>0</v>
      </c>
      <c r="P1335" s="22">
        <v>0</v>
      </c>
      <c r="Q1335" s="599">
        <v>0</v>
      </c>
    </row>
    <row r="1336" spans="2:17" ht="29.25" customHeight="1" x14ac:dyDescent="0.2">
      <c r="B1336" s="1051"/>
      <c r="C1336" s="693" t="s">
        <v>291</v>
      </c>
      <c r="D1336" s="1052"/>
      <c r="E1336" s="1417" t="s">
        <v>1774</v>
      </c>
      <c r="F1336" s="1561"/>
      <c r="G1336" s="1561"/>
      <c r="H1336" s="1561">
        <v>297500.09999999998</v>
      </c>
      <c r="I1336" s="1561">
        <v>0</v>
      </c>
      <c r="J1336" s="1561">
        <v>0</v>
      </c>
      <c r="K1336" s="41" t="s">
        <v>1775</v>
      </c>
      <c r="L1336" s="22" t="s">
        <v>122</v>
      </c>
      <c r="M1336" s="22">
        <v>0</v>
      </c>
      <c r="N1336" s="22">
        <v>0</v>
      </c>
      <c r="O1336" s="22">
        <v>0</v>
      </c>
      <c r="P1336" s="22">
        <v>0</v>
      </c>
      <c r="Q1336" s="599">
        <v>0</v>
      </c>
    </row>
    <row r="1337" spans="2:17" ht="29.25" customHeight="1" x14ac:dyDescent="0.2">
      <c r="B1337" s="1051"/>
      <c r="C1337" s="693" t="s">
        <v>288</v>
      </c>
      <c r="D1337" s="1052"/>
      <c r="E1337" s="1417" t="s">
        <v>1776</v>
      </c>
      <c r="F1337" s="1561" t="s">
        <v>1345</v>
      </c>
      <c r="G1337" s="1561" t="s">
        <v>112</v>
      </c>
      <c r="H1337" s="1547">
        <v>0</v>
      </c>
      <c r="I1337" s="1561">
        <v>0</v>
      </c>
      <c r="J1337" s="1561">
        <v>0</v>
      </c>
      <c r="K1337" s="40" t="s">
        <v>1777</v>
      </c>
      <c r="L1337" s="22" t="s">
        <v>122</v>
      </c>
      <c r="M1337" s="22">
        <v>0</v>
      </c>
      <c r="N1337" s="22">
        <v>0</v>
      </c>
      <c r="O1337" s="22">
        <v>0</v>
      </c>
      <c r="P1337" s="22">
        <v>0</v>
      </c>
      <c r="Q1337" s="599">
        <v>0</v>
      </c>
    </row>
    <row r="1338" spans="2:17" ht="29.25" customHeight="1" x14ac:dyDescent="0.2">
      <c r="B1338" s="1051"/>
      <c r="C1338" s="693" t="s">
        <v>1198</v>
      </c>
      <c r="D1338" s="1052"/>
      <c r="E1338" s="1417" t="s">
        <v>1778</v>
      </c>
      <c r="F1338" s="1561"/>
      <c r="G1338" s="1561"/>
      <c r="H1338" s="1547">
        <v>1639055</v>
      </c>
      <c r="I1338" s="1561">
        <v>1326000</v>
      </c>
      <c r="J1338" s="1561">
        <v>1326000</v>
      </c>
      <c r="K1338" s="41"/>
      <c r="L1338" s="41"/>
      <c r="M1338" s="22"/>
      <c r="N1338" s="22"/>
      <c r="O1338" s="22"/>
      <c r="P1338" s="22"/>
      <c r="Q1338" s="599"/>
    </row>
    <row r="1339" spans="2:17" ht="87" customHeight="1" x14ac:dyDescent="0.2">
      <c r="B1339" s="1418" t="s">
        <v>146</v>
      </c>
      <c r="C1339" s="1051"/>
      <c r="D1339" s="1052"/>
      <c r="E1339" s="41" t="s">
        <v>2933</v>
      </c>
      <c r="F1339" s="1561" t="s">
        <v>1346</v>
      </c>
      <c r="G1339" s="1561"/>
      <c r="H1339" s="1547"/>
      <c r="I1339" s="1561"/>
      <c r="J1339" s="1561"/>
      <c r="K1339" s="41"/>
      <c r="L1339" s="41"/>
      <c r="M1339" s="22"/>
      <c r="N1339" s="22"/>
      <c r="O1339" s="22"/>
      <c r="P1339" s="22"/>
      <c r="Q1339" s="599"/>
    </row>
    <row r="1340" spans="2:17" ht="90.75" customHeight="1" x14ac:dyDescent="0.2">
      <c r="B1340" s="1051"/>
      <c r="C1340" s="693" t="s">
        <v>114</v>
      </c>
      <c r="D1340" s="1052"/>
      <c r="E1340" s="41" t="s">
        <v>2934</v>
      </c>
      <c r="F1340" s="1561" t="s">
        <v>1347</v>
      </c>
      <c r="G1340" s="1561"/>
      <c r="H1340" s="1547"/>
      <c r="I1340" s="1561"/>
      <c r="J1340" s="1561"/>
      <c r="K1340" s="41"/>
      <c r="L1340" s="22"/>
      <c r="M1340" s="22"/>
      <c r="N1340" s="22"/>
      <c r="O1340" s="22"/>
      <c r="P1340" s="22"/>
      <c r="Q1340" s="599"/>
    </row>
    <row r="1341" spans="2:17" ht="87" customHeight="1" x14ac:dyDescent="0.2">
      <c r="B1341" s="2006"/>
      <c r="C1341" s="2006" t="s">
        <v>116</v>
      </c>
      <c r="D1341" s="2007"/>
      <c r="E1341" s="659" t="s">
        <v>2935</v>
      </c>
      <c r="F1341" s="1562">
        <f>F1342+F1343</f>
        <v>5110.8</v>
      </c>
      <c r="G1341" s="1562">
        <f>G1342+G1343+G1344+G1345</f>
        <v>5810.2</v>
      </c>
      <c r="H1341" s="1562">
        <f>H1342+H1343</f>
        <v>5768.8</v>
      </c>
      <c r="I1341" s="1562">
        <f>I1342+I1343+I1344+I1345</f>
        <v>5878.9</v>
      </c>
      <c r="J1341" s="1562">
        <f>J1342+J1343+J1344+J1345</f>
        <v>5934.8</v>
      </c>
      <c r="K1341" s="523"/>
      <c r="L1341" s="22"/>
      <c r="M1341" s="22"/>
      <c r="N1341" s="22"/>
      <c r="O1341" s="22"/>
      <c r="P1341" s="22"/>
      <c r="Q1341" s="599"/>
    </row>
    <row r="1342" spans="2:17" ht="71.25" customHeight="1" x14ac:dyDescent="0.2">
      <c r="B1342" s="2006"/>
      <c r="C1342" s="2006"/>
      <c r="D1342" s="2007"/>
      <c r="E1342" s="697" t="s">
        <v>1779</v>
      </c>
      <c r="F1342" s="1563">
        <v>3576.9</v>
      </c>
      <c r="G1342" s="1567">
        <v>3810.2</v>
      </c>
      <c r="H1342" s="1567">
        <v>3768.8</v>
      </c>
      <c r="I1342" s="1567">
        <v>3878.9</v>
      </c>
      <c r="J1342" s="1567">
        <v>3934.8</v>
      </c>
      <c r="K1342" s="322" t="s">
        <v>1780</v>
      </c>
      <c r="L1342" s="41" t="s">
        <v>1781</v>
      </c>
      <c r="M1342" s="22">
        <v>1</v>
      </c>
      <c r="N1342" s="22" t="s">
        <v>1348</v>
      </c>
      <c r="O1342" s="599">
        <v>1</v>
      </c>
      <c r="P1342" s="599">
        <v>1</v>
      </c>
      <c r="Q1342" s="599">
        <v>1</v>
      </c>
    </row>
    <row r="1343" spans="2:17" ht="71.25" customHeight="1" x14ac:dyDescent="0.2">
      <c r="B1343" s="1051"/>
      <c r="C1343" s="1051"/>
      <c r="D1343" s="1052"/>
      <c r="E1343" s="1813" t="s">
        <v>1782</v>
      </c>
      <c r="F1343" s="1892">
        <v>1533.9</v>
      </c>
      <c r="G1343" s="1906">
        <v>2000</v>
      </c>
      <c r="H1343" s="1906">
        <v>2000</v>
      </c>
      <c r="I1343" s="1906">
        <v>2000</v>
      </c>
      <c r="J1343" s="1906">
        <v>2000</v>
      </c>
      <c r="K1343" s="322" t="s">
        <v>1783</v>
      </c>
      <c r="L1343" s="41" t="s">
        <v>1784</v>
      </c>
      <c r="M1343" s="22">
        <v>150</v>
      </c>
      <c r="N1343" s="22" t="s">
        <v>1349</v>
      </c>
      <c r="O1343" s="22">
        <v>0</v>
      </c>
      <c r="P1343" s="22">
        <v>0</v>
      </c>
      <c r="Q1343" s="22">
        <v>0</v>
      </c>
    </row>
    <row r="1344" spans="2:17" ht="29.25" customHeight="1" x14ac:dyDescent="0.2">
      <c r="B1344" s="1418" t="s">
        <v>124</v>
      </c>
      <c r="C1344" s="1052"/>
      <c r="D1344" s="1052"/>
      <c r="E1344" s="1815"/>
      <c r="F1344" s="1894"/>
      <c r="G1344" s="1908"/>
      <c r="H1344" s="1908"/>
      <c r="I1344" s="1908"/>
      <c r="J1344" s="1908"/>
      <c r="K1344" s="322" t="s">
        <v>1785</v>
      </c>
      <c r="L1344" s="41" t="s">
        <v>1781</v>
      </c>
      <c r="M1344" s="22">
        <v>0</v>
      </c>
      <c r="N1344" s="22">
        <v>0</v>
      </c>
      <c r="O1344" s="599">
        <v>1</v>
      </c>
      <c r="P1344" s="599">
        <v>1</v>
      </c>
      <c r="Q1344" s="599">
        <v>1</v>
      </c>
    </row>
    <row r="1345" spans="2:17" ht="29.25" customHeight="1" x14ac:dyDescent="0.2">
      <c r="B1345" s="1418" t="s">
        <v>128</v>
      </c>
      <c r="C1345" s="1051"/>
      <c r="D1345" s="1052"/>
      <c r="E1345" s="697"/>
      <c r="F1345" s="1563"/>
      <c r="G1345" s="1563"/>
      <c r="H1345" s="1563"/>
      <c r="I1345" s="1563"/>
      <c r="J1345" s="1563"/>
      <c r="K1345" s="322"/>
      <c r="L1345" s="41"/>
      <c r="M1345" s="22"/>
      <c r="N1345" s="22"/>
      <c r="O1345" s="599"/>
      <c r="P1345" s="22"/>
      <c r="Q1345" s="22"/>
    </row>
    <row r="1346" spans="2:17" ht="29.25" customHeight="1" x14ac:dyDescent="0.2">
      <c r="B1346" s="1719" t="s">
        <v>3104</v>
      </c>
      <c r="C1346" s="1720"/>
      <c r="D1346" s="1720"/>
      <c r="E1346" s="1721"/>
      <c r="F1346" s="1572">
        <f>F1307+F1313+F1320+F1341+F1340+F1339</f>
        <v>5029485.9499999993</v>
      </c>
      <c r="G1346" s="1572">
        <f>G1307+G1313+G1320+G1341</f>
        <v>4402474.5599999996</v>
      </c>
      <c r="H1346" s="1572">
        <f>H1307+H1313+H1320+H1341</f>
        <v>10832644.800000001</v>
      </c>
      <c r="I1346" s="1572">
        <f>I1307+I1313+I1320+I1341</f>
        <v>11207881.369999999</v>
      </c>
      <c r="J1346" s="1572">
        <f>J1307+J1313+J1320+J1341</f>
        <v>11343337.450000001</v>
      </c>
      <c r="K1346" s="704"/>
      <c r="L1346" s="1829"/>
      <c r="M1346" s="1829"/>
      <c r="N1346" s="1829"/>
      <c r="O1346" s="1829"/>
      <c r="P1346" s="1829"/>
      <c r="Q1346" s="1829"/>
    </row>
    <row r="1347" spans="2:17" ht="29.25" customHeight="1" x14ac:dyDescent="0.2">
      <c r="B1347" s="2003" t="s">
        <v>1786</v>
      </c>
      <c r="C1347" s="2004"/>
      <c r="D1347" s="2004"/>
      <c r="E1347" s="2004"/>
      <c r="F1347" s="2004"/>
      <c r="G1347" s="2004"/>
      <c r="H1347" s="2004"/>
      <c r="I1347" s="2004"/>
      <c r="J1347" s="2004"/>
      <c r="K1347" s="2004"/>
      <c r="L1347" s="2004"/>
      <c r="M1347" s="2004"/>
      <c r="N1347" s="2004"/>
      <c r="O1347" s="2004"/>
      <c r="P1347" s="2004"/>
      <c r="Q1347" s="2005"/>
    </row>
    <row r="1348" spans="2:17" ht="29.25" customHeight="1" x14ac:dyDescent="0.2">
      <c r="B1348" s="1174">
        <v>982</v>
      </c>
      <c r="C1348" s="1054"/>
      <c r="D1348" s="1054"/>
      <c r="E1348" s="523" t="s">
        <v>2936</v>
      </c>
      <c r="F1348" s="1641">
        <f>F1349</f>
        <v>1218193.6000000001</v>
      </c>
      <c r="G1348" s="1641">
        <f t="shared" ref="G1348:J1348" si="68">G1349</f>
        <v>1181748.7</v>
      </c>
      <c r="H1348" s="1641">
        <f t="shared" si="68"/>
        <v>1181575.2</v>
      </c>
      <c r="I1348" s="1641">
        <f t="shared" si="68"/>
        <v>1204412.5</v>
      </c>
      <c r="J1348" s="1641">
        <f t="shared" si="68"/>
        <v>1216011.2</v>
      </c>
      <c r="K1348" s="697" t="s">
        <v>1787</v>
      </c>
      <c r="L1348" s="599" t="s">
        <v>30</v>
      </c>
      <c r="M1348" s="570">
        <v>45389</v>
      </c>
      <c r="N1348" s="570">
        <v>45739</v>
      </c>
      <c r="O1348" s="940">
        <v>45739</v>
      </c>
      <c r="P1348" s="940">
        <v>45889</v>
      </c>
      <c r="Q1348" s="1055">
        <v>45889</v>
      </c>
    </row>
    <row r="1349" spans="2:17" ht="29.25" customHeight="1" x14ac:dyDescent="0.2">
      <c r="B1349" s="2002"/>
      <c r="C1349" s="1768">
        <v>1</v>
      </c>
      <c r="D1349" s="1769"/>
      <c r="E1349" s="1770" t="s">
        <v>1788</v>
      </c>
      <c r="F1349" s="1892">
        <v>1218193.6000000001</v>
      </c>
      <c r="G1349" s="1892">
        <v>1181748.7</v>
      </c>
      <c r="H1349" s="1892">
        <v>1181575.2</v>
      </c>
      <c r="I1349" s="1892">
        <v>1204412.5</v>
      </c>
      <c r="J1349" s="1892">
        <v>1216011.2</v>
      </c>
      <c r="K1349" s="1847" t="s">
        <v>1789</v>
      </c>
      <c r="L1349" s="599" t="s">
        <v>1350</v>
      </c>
      <c r="M1349" s="570">
        <v>413</v>
      </c>
      <c r="N1349" s="570">
        <v>417</v>
      </c>
      <c r="O1349" s="570">
        <v>415</v>
      </c>
      <c r="P1349" s="570">
        <v>415</v>
      </c>
      <c r="Q1349" s="1053">
        <v>415</v>
      </c>
    </row>
    <row r="1350" spans="2:17" ht="29.25" customHeight="1" x14ac:dyDescent="0.2">
      <c r="B1350" s="2002"/>
      <c r="C1350" s="1768"/>
      <c r="D1350" s="1769"/>
      <c r="E1350" s="1775"/>
      <c r="F1350" s="1893"/>
      <c r="G1350" s="1893"/>
      <c r="H1350" s="1893"/>
      <c r="I1350" s="1893"/>
      <c r="J1350" s="1893"/>
      <c r="K1350" s="1847"/>
      <c r="L1350" s="599" t="s">
        <v>1351</v>
      </c>
      <c r="M1350" s="570">
        <v>161</v>
      </c>
      <c r="N1350" s="570">
        <v>163</v>
      </c>
      <c r="O1350" s="570">
        <v>161</v>
      </c>
      <c r="P1350" s="570">
        <v>161</v>
      </c>
      <c r="Q1350" s="1053">
        <v>161</v>
      </c>
    </row>
    <row r="1351" spans="2:17" ht="29.25" customHeight="1" x14ac:dyDescent="0.2">
      <c r="B1351" s="2002"/>
      <c r="C1351" s="1768"/>
      <c r="D1351" s="1769"/>
      <c r="E1351" s="1775"/>
      <c r="F1351" s="1893"/>
      <c r="G1351" s="1893"/>
      <c r="H1351" s="1893"/>
      <c r="I1351" s="1893"/>
      <c r="J1351" s="1893"/>
      <c r="K1351" s="1847"/>
      <c r="L1351" s="599" t="s">
        <v>1352</v>
      </c>
      <c r="M1351" s="570">
        <v>145</v>
      </c>
      <c r="N1351" s="570">
        <v>150</v>
      </c>
      <c r="O1351" s="570">
        <v>149</v>
      </c>
      <c r="P1351" s="570">
        <v>149</v>
      </c>
      <c r="Q1351" s="1053">
        <v>149</v>
      </c>
    </row>
    <row r="1352" spans="2:17" ht="29.25" customHeight="1" x14ac:dyDescent="0.2">
      <c r="B1352" s="2002"/>
      <c r="C1352" s="1768"/>
      <c r="D1352" s="1769"/>
      <c r="E1352" s="1775"/>
      <c r="F1352" s="1893"/>
      <c r="G1352" s="1893"/>
      <c r="H1352" s="1893"/>
      <c r="I1352" s="1893"/>
      <c r="J1352" s="1893"/>
      <c r="K1352" s="1847"/>
      <c r="L1352" s="599" t="s">
        <v>1790</v>
      </c>
      <c r="M1352" s="570">
        <v>1195</v>
      </c>
      <c r="N1352" s="570">
        <v>1195</v>
      </c>
      <c r="O1352" s="570">
        <v>1195</v>
      </c>
      <c r="P1352" s="570">
        <v>1195</v>
      </c>
      <c r="Q1352" s="1053">
        <v>1195</v>
      </c>
    </row>
    <row r="1353" spans="2:17" ht="29.25" customHeight="1" x14ac:dyDescent="0.2">
      <c r="B1353" s="2002"/>
      <c r="C1353" s="1768"/>
      <c r="D1353" s="1769"/>
      <c r="E1353" s="1775"/>
      <c r="F1353" s="1893"/>
      <c r="G1353" s="1893"/>
      <c r="H1353" s="1893"/>
      <c r="I1353" s="1893"/>
      <c r="J1353" s="1893"/>
      <c r="K1353" s="697" t="s">
        <v>2937</v>
      </c>
      <c r="L1353" s="599" t="s">
        <v>1353</v>
      </c>
      <c r="M1353" s="570">
        <v>320.2</v>
      </c>
      <c r="N1353" s="570">
        <v>320.2</v>
      </c>
      <c r="O1353" s="570">
        <v>320.2</v>
      </c>
      <c r="P1353" s="570">
        <v>320.2</v>
      </c>
      <c r="Q1353" s="1053">
        <v>320.2</v>
      </c>
    </row>
    <row r="1354" spans="2:17" ht="29.25" customHeight="1" x14ac:dyDescent="0.2">
      <c r="B1354" s="2002"/>
      <c r="C1354" s="1768"/>
      <c r="D1354" s="1769"/>
      <c r="E1354" s="1775"/>
      <c r="F1354" s="1893"/>
      <c r="G1354" s="1893"/>
      <c r="H1354" s="1893"/>
      <c r="I1354" s="1893"/>
      <c r="J1354" s="1893"/>
      <c r="K1354" s="697" t="s">
        <v>2938</v>
      </c>
      <c r="L1354" s="599" t="s">
        <v>1178</v>
      </c>
      <c r="M1354" s="570">
        <v>134</v>
      </c>
      <c r="N1354" s="570">
        <v>134</v>
      </c>
      <c r="O1354" s="570">
        <v>134</v>
      </c>
      <c r="P1354" s="570">
        <v>134</v>
      </c>
      <c r="Q1354" s="1053">
        <v>134</v>
      </c>
    </row>
    <row r="1355" spans="2:17" ht="29.25" customHeight="1" x14ac:dyDescent="0.2">
      <c r="B1355" s="2002"/>
      <c r="C1355" s="1768"/>
      <c r="D1355" s="1769"/>
      <c r="E1355" s="1776"/>
      <c r="F1355" s="1894"/>
      <c r="G1355" s="1894"/>
      <c r="H1355" s="1894"/>
      <c r="I1355" s="1894"/>
      <c r="J1355" s="1894"/>
      <c r="K1355" s="697" t="s">
        <v>1791</v>
      </c>
      <c r="L1355" s="599" t="s">
        <v>16</v>
      </c>
      <c r="M1355" s="570">
        <v>70</v>
      </c>
      <c r="N1355" s="570">
        <v>70</v>
      </c>
      <c r="O1355" s="570">
        <v>70</v>
      </c>
      <c r="P1355" s="570">
        <v>70</v>
      </c>
      <c r="Q1355" s="1056">
        <v>70</v>
      </c>
    </row>
    <row r="1356" spans="2:17" ht="29.25" customHeight="1" x14ac:dyDescent="0.2">
      <c r="B1356" s="837" t="s">
        <v>2939</v>
      </c>
      <c r="C1356" s="837"/>
      <c r="D1356" s="1067"/>
      <c r="E1356" s="523" t="s">
        <v>2940</v>
      </c>
      <c r="F1356" s="1562">
        <f>F1357</f>
        <v>14040.2</v>
      </c>
      <c r="G1356" s="1562">
        <f t="shared" ref="G1356:J1356" si="69">G1357</f>
        <v>13938.1</v>
      </c>
      <c r="H1356" s="1562">
        <f t="shared" si="69"/>
        <v>13938.1</v>
      </c>
      <c r="I1356" s="1562">
        <f t="shared" si="69"/>
        <v>13938.1</v>
      </c>
      <c r="J1356" s="1562">
        <f t="shared" si="69"/>
        <v>13938.1</v>
      </c>
      <c r="K1356" s="674" t="s">
        <v>1792</v>
      </c>
      <c r="L1356" s="599" t="s">
        <v>1793</v>
      </c>
      <c r="M1356" s="570">
        <v>162</v>
      </c>
      <c r="N1356" s="570">
        <v>180</v>
      </c>
      <c r="O1356" s="570">
        <v>180</v>
      </c>
      <c r="P1356" s="570">
        <v>180</v>
      </c>
      <c r="Q1356" s="1053">
        <v>180</v>
      </c>
    </row>
    <row r="1357" spans="2:17" ht="29.25" customHeight="1" x14ac:dyDescent="0.2">
      <c r="B1357" s="696"/>
      <c r="C1357" s="696" t="s">
        <v>116</v>
      </c>
      <c r="D1357" s="1067"/>
      <c r="E1357" s="41" t="s">
        <v>1794</v>
      </c>
      <c r="F1357" s="1563">
        <v>14040.2</v>
      </c>
      <c r="G1357" s="1563">
        <v>13938.1</v>
      </c>
      <c r="H1357" s="1563">
        <v>13938.1</v>
      </c>
      <c r="I1357" s="1563">
        <v>13938.1</v>
      </c>
      <c r="J1357" s="1563">
        <v>13938.1</v>
      </c>
      <c r="K1357" s="697" t="s">
        <v>1795</v>
      </c>
      <c r="L1357" s="599" t="s">
        <v>1796</v>
      </c>
      <c r="M1357" s="570">
        <v>28.3</v>
      </c>
      <c r="N1357" s="570">
        <v>40</v>
      </c>
      <c r="O1357" s="570">
        <v>40</v>
      </c>
      <c r="P1357" s="570">
        <v>40</v>
      </c>
      <c r="Q1357" s="1056">
        <v>40</v>
      </c>
    </row>
    <row r="1358" spans="2:17" ht="29.25" customHeight="1" x14ac:dyDescent="0.2">
      <c r="B1358" s="837" t="s">
        <v>2941</v>
      </c>
      <c r="C1358" s="696"/>
      <c r="D1358" s="837"/>
      <c r="E1358" s="659" t="s">
        <v>1797</v>
      </c>
      <c r="F1358" s="1562">
        <f>F1359</f>
        <v>13332.9</v>
      </c>
      <c r="G1358" s="1562">
        <f t="shared" ref="G1358:J1358" si="70">G1359</f>
        <v>12627.2</v>
      </c>
      <c r="H1358" s="1562">
        <f t="shared" si="70"/>
        <v>12627.2</v>
      </c>
      <c r="I1358" s="1562">
        <f t="shared" si="70"/>
        <v>12868.4</v>
      </c>
      <c r="J1358" s="1562">
        <f t="shared" si="70"/>
        <v>12990.9</v>
      </c>
      <c r="K1358" s="674" t="s">
        <v>1797</v>
      </c>
      <c r="L1358" s="599" t="s">
        <v>1178</v>
      </c>
      <c r="M1358" s="570">
        <v>5</v>
      </c>
      <c r="N1358" s="570">
        <v>100</v>
      </c>
      <c r="O1358" s="570">
        <v>50</v>
      </c>
      <c r="P1358" s="570">
        <v>100</v>
      </c>
      <c r="Q1358" s="1056">
        <v>50</v>
      </c>
    </row>
    <row r="1359" spans="2:17" ht="29.25" customHeight="1" x14ac:dyDescent="0.2">
      <c r="B1359" s="1746"/>
      <c r="C1359" s="1746" t="s">
        <v>114</v>
      </c>
      <c r="D1359" s="2001"/>
      <c r="E1359" s="1813" t="s">
        <v>1799</v>
      </c>
      <c r="F1359" s="1774">
        <v>13332.9</v>
      </c>
      <c r="G1359" s="1774">
        <v>12627.2</v>
      </c>
      <c r="H1359" s="1774">
        <v>12627.2</v>
      </c>
      <c r="I1359" s="1774">
        <v>12868.4</v>
      </c>
      <c r="J1359" s="1774">
        <v>12990.9</v>
      </c>
      <c r="K1359" s="1847" t="s">
        <v>1798</v>
      </c>
      <c r="L1359" s="1769" t="s">
        <v>1354</v>
      </c>
      <c r="M1359" s="2000">
        <v>34300</v>
      </c>
      <c r="N1359" s="2000">
        <v>30000</v>
      </c>
      <c r="O1359" s="2000">
        <v>35000</v>
      </c>
      <c r="P1359" s="2000">
        <v>30000</v>
      </c>
      <c r="Q1359" s="1854">
        <v>35000</v>
      </c>
    </row>
    <row r="1360" spans="2:17" ht="29.25" customHeight="1" x14ac:dyDescent="0.2">
      <c r="B1360" s="1746"/>
      <c r="C1360" s="1746"/>
      <c r="D1360" s="2001"/>
      <c r="E1360" s="1815"/>
      <c r="F1360" s="1774"/>
      <c r="G1360" s="1774"/>
      <c r="H1360" s="1774"/>
      <c r="I1360" s="1774"/>
      <c r="J1360" s="1774"/>
      <c r="K1360" s="1847"/>
      <c r="L1360" s="1769"/>
      <c r="M1360" s="2000"/>
      <c r="N1360" s="2000"/>
      <c r="O1360" s="2000"/>
      <c r="P1360" s="2000"/>
      <c r="Q1360" s="1854"/>
    </row>
    <row r="1361" spans="2:17" ht="29.25" customHeight="1" x14ac:dyDescent="0.2">
      <c r="B1361" s="1719" t="s">
        <v>3104</v>
      </c>
      <c r="C1361" s="1720"/>
      <c r="D1361" s="1720"/>
      <c r="E1361" s="1721"/>
      <c r="F1361" s="1572">
        <f>F1348+F1356+F1358</f>
        <v>1245566.7</v>
      </c>
      <c r="G1361" s="1572">
        <f t="shared" ref="G1361:J1361" si="71">G1348+G1356+G1358</f>
        <v>1208314</v>
      </c>
      <c r="H1361" s="1572">
        <f t="shared" si="71"/>
        <v>1208140.5</v>
      </c>
      <c r="I1361" s="1572">
        <f t="shared" si="71"/>
        <v>1231219</v>
      </c>
      <c r="J1361" s="1572">
        <f t="shared" si="71"/>
        <v>1242940.2</v>
      </c>
      <c r="K1361" s="1353"/>
      <c r="L1361" s="1829"/>
      <c r="M1361" s="1829"/>
      <c r="N1361" s="1829"/>
      <c r="O1361" s="1829"/>
      <c r="P1361" s="1829"/>
      <c r="Q1361" s="1830"/>
    </row>
    <row r="1362" spans="2:17" ht="29.25" customHeight="1" x14ac:dyDescent="0.2">
      <c r="B1362" s="1722" t="s">
        <v>1800</v>
      </c>
      <c r="C1362" s="1723"/>
      <c r="D1362" s="1723"/>
      <c r="E1362" s="1723"/>
      <c r="F1362" s="1723"/>
      <c r="G1362" s="1723"/>
      <c r="H1362" s="1723"/>
      <c r="I1362" s="1723"/>
      <c r="J1362" s="1723"/>
      <c r="K1362" s="1723"/>
      <c r="L1362" s="1723"/>
      <c r="M1362" s="1723"/>
      <c r="N1362" s="1723"/>
      <c r="O1362" s="1723"/>
      <c r="P1362" s="1723"/>
      <c r="Q1362" s="1724"/>
    </row>
    <row r="1363" spans="2:17" ht="38.25" x14ac:dyDescent="0.2">
      <c r="B1363" s="1059">
        <v>1</v>
      </c>
      <c r="C1363" s="1060"/>
      <c r="D1363" s="1060"/>
      <c r="E1363" s="523" t="s">
        <v>3070</v>
      </c>
      <c r="F1363" s="1561">
        <f>F1364+F1365+F1366+F1367</f>
        <v>25086.1</v>
      </c>
      <c r="G1363" s="1561">
        <f>G1364+G1365+G1366+G1367</f>
        <v>34834.5</v>
      </c>
      <c r="H1363" s="1561">
        <f>H1364+H1365+H1366+H1367</f>
        <v>495570.4</v>
      </c>
      <c r="I1363" s="1561">
        <f>I1364+I1365+I1366+I1367</f>
        <v>498543.8224</v>
      </c>
      <c r="J1363" s="1561">
        <f>J1364+J1365+J1366+J1367</f>
        <v>501535.08533440001</v>
      </c>
      <c r="K1363" s="1354" t="s">
        <v>1480</v>
      </c>
      <c r="L1363" s="415" t="s">
        <v>16</v>
      </c>
      <c r="M1363" s="1061">
        <v>5.4</v>
      </c>
      <c r="N1363" s="1061">
        <v>3.4</v>
      </c>
      <c r="O1363" s="1061">
        <v>3.4</v>
      </c>
      <c r="P1363" s="1061">
        <v>3.4</v>
      </c>
      <c r="Q1363" s="1062">
        <v>3.4</v>
      </c>
    </row>
    <row r="1364" spans="2:17" ht="29.25" customHeight="1" x14ac:dyDescent="0.2">
      <c r="B1364" s="1059"/>
      <c r="C1364" s="696" t="s">
        <v>114</v>
      </c>
      <c r="D1364" s="570"/>
      <c r="E1364" s="41" t="s">
        <v>563</v>
      </c>
      <c r="F1364" s="1547">
        <f>21565+3229.1</f>
        <v>24794.1</v>
      </c>
      <c r="G1364" s="1547">
        <f>25000+4312.5</f>
        <v>29312.5</v>
      </c>
      <c r="H1364" s="1547">
        <f>25000+4312.5+50+1680+1180</f>
        <v>32222.5</v>
      </c>
      <c r="I1364" s="1547">
        <f>H1364*0.6%+H1364</f>
        <v>32415.834999999999</v>
      </c>
      <c r="J1364" s="1547">
        <f>I1364*0.6%+I1364</f>
        <v>32610.330009999998</v>
      </c>
      <c r="K1364" s="674" t="s">
        <v>1801</v>
      </c>
      <c r="L1364" s="1467" t="s">
        <v>16</v>
      </c>
      <c r="M1364" s="932">
        <v>1</v>
      </c>
      <c r="N1364" s="932">
        <v>1</v>
      </c>
      <c r="O1364" s="932">
        <v>1</v>
      </c>
      <c r="P1364" s="932">
        <v>1</v>
      </c>
      <c r="Q1364" s="1063">
        <v>1</v>
      </c>
    </row>
    <row r="1365" spans="2:17" ht="29.25" customHeight="1" x14ac:dyDescent="0.2">
      <c r="B1365" s="1059"/>
      <c r="C1365" s="696" t="s">
        <v>2942</v>
      </c>
      <c r="D1365" s="570"/>
      <c r="E1365" s="41" t="s">
        <v>2943</v>
      </c>
      <c r="F1365" s="1547">
        <v>0</v>
      </c>
      <c r="G1365" s="1547"/>
      <c r="H1365" s="1547">
        <f>1181.7+26176+4515.1+203.8+11437.7+1972.9+1339.5</f>
        <v>46826.700000000004</v>
      </c>
      <c r="I1365" s="1547">
        <f t="shared" ref="I1365:J1367" si="72">H1365*0.6%+H1365</f>
        <v>47107.660200000006</v>
      </c>
      <c r="J1365" s="1547">
        <f t="shared" si="72"/>
        <v>47390.306161200009</v>
      </c>
      <c r="K1365" s="674" t="s">
        <v>1801</v>
      </c>
      <c r="L1365" s="1467" t="s">
        <v>16</v>
      </c>
      <c r="M1365" s="932">
        <v>1</v>
      </c>
      <c r="N1365" s="932">
        <v>1</v>
      </c>
      <c r="O1365" s="932">
        <v>1</v>
      </c>
      <c r="P1365" s="932">
        <v>1</v>
      </c>
      <c r="Q1365" s="1063">
        <v>1</v>
      </c>
    </row>
    <row r="1366" spans="2:17" ht="29.25" customHeight="1" x14ac:dyDescent="0.2">
      <c r="B1366" s="1059"/>
      <c r="C1366" s="696">
        <v>7</v>
      </c>
      <c r="D1366" s="570"/>
      <c r="E1366" s="41" t="s">
        <v>2944</v>
      </c>
      <c r="F1366" s="1547"/>
      <c r="G1366" s="1547"/>
      <c r="H1366" s="1547">
        <f>23560.6+4064.2+331683.9+57212.5</f>
        <v>416521.2</v>
      </c>
      <c r="I1366" s="1547">
        <f>H1366*0.6%+H1366</f>
        <v>419020.3272</v>
      </c>
      <c r="J1366" s="1547">
        <f t="shared" si="72"/>
        <v>421534.44916319998</v>
      </c>
      <c r="K1366" s="674" t="s">
        <v>1801</v>
      </c>
      <c r="L1366" s="1467" t="s">
        <v>16</v>
      </c>
      <c r="M1366" s="932">
        <v>1</v>
      </c>
      <c r="N1366" s="932">
        <v>1</v>
      </c>
      <c r="O1366" s="932">
        <v>1</v>
      </c>
      <c r="P1366" s="932">
        <v>1</v>
      </c>
      <c r="Q1366" s="1063">
        <v>1</v>
      </c>
    </row>
    <row r="1367" spans="2:17" ht="29.25" customHeight="1" x14ac:dyDescent="0.2">
      <c r="B1367" s="1064"/>
      <c r="C1367" s="696">
        <v>4</v>
      </c>
      <c r="D1367" s="570"/>
      <c r="E1367" s="41" t="s">
        <v>1802</v>
      </c>
      <c r="F1367" s="1547">
        <v>292</v>
      </c>
      <c r="G1367" s="1547">
        <v>5522</v>
      </c>
      <c r="H1367" s="1547"/>
      <c r="I1367" s="1547">
        <f t="shared" si="72"/>
        <v>0</v>
      </c>
      <c r="J1367" s="1547">
        <f t="shared" si="72"/>
        <v>0</v>
      </c>
      <c r="K1367" s="674"/>
      <c r="L1367" s="22"/>
      <c r="M1367" s="41"/>
      <c r="N1367" s="41"/>
      <c r="O1367" s="41"/>
      <c r="P1367" s="41"/>
      <c r="Q1367" s="1066"/>
    </row>
    <row r="1368" spans="2:17" ht="76.5" customHeight="1" x14ac:dyDescent="0.2">
      <c r="B1368" s="1059">
        <v>2</v>
      </c>
      <c r="C1368" s="1067"/>
      <c r="D1368" s="1060"/>
      <c r="E1368" s="127" t="s">
        <v>3071</v>
      </c>
      <c r="F1368" s="1561">
        <f>SUM(F1369:F1372)</f>
        <v>204761.60000000001</v>
      </c>
      <c r="G1368" s="1561">
        <f>SUM(G1369:G1372)</f>
        <v>212130.8</v>
      </c>
      <c r="H1368" s="1561">
        <f>SUM(H1369:H1372)</f>
        <v>181815.69999999998</v>
      </c>
      <c r="I1368" s="1561">
        <f>SUM(I1369:I1372)</f>
        <v>182906.59419999999</v>
      </c>
      <c r="J1368" s="1561">
        <f>J1369+J1370+J1371+J1372</f>
        <v>184004.03376520003</v>
      </c>
      <c r="K1368" s="1348" t="s">
        <v>2945</v>
      </c>
      <c r="L1368" s="1467" t="s">
        <v>16</v>
      </c>
      <c r="M1368" s="932">
        <v>0.2</v>
      </c>
      <c r="N1368" s="932">
        <v>0.2</v>
      </c>
      <c r="O1368" s="932">
        <v>0.22</v>
      </c>
      <c r="P1368" s="932">
        <v>0.22</v>
      </c>
      <c r="Q1368" s="1063">
        <v>0.3</v>
      </c>
    </row>
    <row r="1369" spans="2:17" ht="29.25" customHeight="1" x14ac:dyDescent="0.2">
      <c r="B1369" s="1064"/>
      <c r="C1369" s="696" t="s">
        <v>114</v>
      </c>
      <c r="D1369" s="570"/>
      <c r="E1369" s="528" t="s">
        <v>1803</v>
      </c>
      <c r="F1369" s="1568">
        <f>80147.7-25450-4829.4+13175.9+14209.7-5005.5-852.4+30279.4</f>
        <v>101675.4</v>
      </c>
      <c r="G1369" s="1547">
        <f>69948.4+13721.3+29849.6</f>
        <v>113519.29999999999</v>
      </c>
      <c r="H1369" s="1547">
        <f>23900+1983.8+33080.8+2860.1+466.1+3000+249.7+1000</f>
        <v>66540.5</v>
      </c>
      <c r="I1369" s="1547">
        <f>H1369*0.6%+H1369</f>
        <v>66939.743000000002</v>
      </c>
      <c r="J1369" s="1547">
        <f>I1369*0.6%+I1369</f>
        <v>67341.381458000003</v>
      </c>
      <c r="K1369" s="1355" t="s">
        <v>2946</v>
      </c>
      <c r="L1369" s="22" t="s">
        <v>1178</v>
      </c>
      <c r="M1369" s="44">
        <v>1400</v>
      </c>
      <c r="N1369" s="44">
        <v>1400</v>
      </c>
      <c r="O1369" s="44">
        <v>1400</v>
      </c>
      <c r="P1369" s="44">
        <v>1400</v>
      </c>
      <c r="Q1369" s="931">
        <v>1400</v>
      </c>
    </row>
    <row r="1370" spans="2:17" ht="29.25" customHeight="1" x14ac:dyDescent="0.2">
      <c r="B1370" s="1064"/>
      <c r="C1370" s="696" t="s">
        <v>116</v>
      </c>
      <c r="D1370" s="570"/>
      <c r="E1370" s="528" t="s">
        <v>1804</v>
      </c>
      <c r="F1370" s="1568">
        <f>44069.6+3823</f>
        <v>47892.6</v>
      </c>
      <c r="G1370" s="1568">
        <v>16376.8</v>
      </c>
      <c r="H1370" s="1568">
        <v>40757.4</v>
      </c>
      <c r="I1370" s="1547">
        <f t="shared" ref="I1370:J1372" si="73">H1370*0.6%+H1370</f>
        <v>41001.9444</v>
      </c>
      <c r="J1370" s="1547">
        <f t="shared" si="73"/>
        <v>41247.956066400002</v>
      </c>
      <c r="K1370" s="1355" t="s">
        <v>2947</v>
      </c>
      <c r="L1370" s="22" t="s">
        <v>1178</v>
      </c>
      <c r="M1370" s="44">
        <v>24</v>
      </c>
      <c r="N1370" s="44">
        <v>25</v>
      </c>
      <c r="O1370" s="44">
        <v>25</v>
      </c>
      <c r="P1370" s="44">
        <v>25</v>
      </c>
      <c r="Q1370" s="931">
        <v>25</v>
      </c>
    </row>
    <row r="1371" spans="2:17" ht="29.25" customHeight="1" x14ac:dyDescent="0.2">
      <c r="B1371" s="1064"/>
      <c r="C1371" s="696" t="s">
        <v>119</v>
      </c>
      <c r="D1371" s="570"/>
      <c r="E1371" s="528" t="s">
        <v>1805</v>
      </c>
      <c r="F1371" s="1568">
        <v>0</v>
      </c>
      <c r="G1371" s="1547">
        <v>0</v>
      </c>
      <c r="H1371" s="1547">
        <v>50000</v>
      </c>
      <c r="I1371" s="1547">
        <f t="shared" si="73"/>
        <v>50300</v>
      </c>
      <c r="J1371" s="1547">
        <f t="shared" si="73"/>
        <v>50601.8</v>
      </c>
      <c r="K1371" s="1355"/>
      <c r="L1371" s="22" t="s">
        <v>1178</v>
      </c>
      <c r="M1371" s="904"/>
      <c r="N1371" s="904"/>
      <c r="O1371" s="904"/>
      <c r="P1371" s="570"/>
      <c r="Q1371" s="1053"/>
    </row>
    <row r="1372" spans="2:17" ht="29.25" customHeight="1" x14ac:dyDescent="0.2">
      <c r="B1372" s="1064"/>
      <c r="C1372" s="696" t="s">
        <v>124</v>
      </c>
      <c r="D1372" s="570"/>
      <c r="E1372" s="528" t="s">
        <v>1806</v>
      </c>
      <c r="F1372" s="1547">
        <f>60641.7+3042.4-6106.3-985.9-1175.6-222.7</f>
        <v>55193.599999999999</v>
      </c>
      <c r="G1372" s="1547">
        <f>80608.3+1626.4</f>
        <v>82234.7</v>
      </c>
      <c r="H1372" s="1547">
        <f>230+50+37.8+23000+1200</f>
        <v>24517.8</v>
      </c>
      <c r="I1372" s="1547">
        <f t="shared" si="73"/>
        <v>24664.906800000001</v>
      </c>
      <c r="J1372" s="1547">
        <f t="shared" si="73"/>
        <v>24812.896240800001</v>
      </c>
      <c r="K1372" s="1355" t="s">
        <v>2948</v>
      </c>
      <c r="L1372" s="22" t="s">
        <v>1178</v>
      </c>
      <c r="M1372" s="460">
        <v>50000</v>
      </c>
      <c r="N1372" s="460">
        <v>53000</v>
      </c>
      <c r="O1372" s="460">
        <v>56000</v>
      </c>
      <c r="P1372" s="460">
        <v>59000</v>
      </c>
      <c r="Q1372" s="1068">
        <v>60000</v>
      </c>
    </row>
    <row r="1373" spans="2:17" ht="58.5" customHeight="1" x14ac:dyDescent="0.2">
      <c r="B1373" s="1069">
        <v>3</v>
      </c>
      <c r="C1373" s="164"/>
      <c r="D1373" s="1070"/>
      <c r="E1373" s="127" t="s">
        <v>3072</v>
      </c>
      <c r="F1373" s="1571">
        <f>SUM(F1374:F1378)</f>
        <v>778224.6</v>
      </c>
      <c r="G1373" s="1571">
        <f>SUM(G1374:G1378)</f>
        <v>872951.7</v>
      </c>
      <c r="H1373" s="1571">
        <f>SUM(H1374:H1378)</f>
        <v>251997.9</v>
      </c>
      <c r="I1373" s="1571">
        <f>SUM(I1374:I1378)</f>
        <v>253509.88740000001</v>
      </c>
      <c r="J1373" s="1571">
        <f>J1374+J1375+J1376+J1377+J1378</f>
        <v>255030.94672439998</v>
      </c>
      <c r="K1373" s="1348" t="s">
        <v>1807</v>
      </c>
      <c r="L1373" s="1071" t="s">
        <v>16</v>
      </c>
      <c r="M1373" s="1072">
        <v>40</v>
      </c>
      <c r="N1373" s="1072">
        <v>50</v>
      </c>
      <c r="O1373" s="1072">
        <v>60</v>
      </c>
      <c r="P1373" s="1072">
        <v>60</v>
      </c>
      <c r="Q1373" s="1073">
        <v>60</v>
      </c>
    </row>
    <row r="1374" spans="2:17" ht="29.25" customHeight="1" x14ac:dyDescent="0.2">
      <c r="B1374" s="1064"/>
      <c r="C1374" s="696" t="s">
        <v>114</v>
      </c>
      <c r="D1374" s="570"/>
      <c r="E1374" s="528" t="s">
        <v>1808</v>
      </c>
      <c r="F1374" s="1547">
        <f>123550.5-22695.1-3928.4</f>
        <v>96927</v>
      </c>
      <c r="G1374" s="1547">
        <f>73747.5+3000</f>
        <v>76747.5</v>
      </c>
      <c r="H1374" s="1547">
        <f>30000+4500+6281.1</f>
        <v>40781.1</v>
      </c>
      <c r="I1374" s="1547">
        <f>H1374*0.6%+H1374</f>
        <v>41025.786599999999</v>
      </c>
      <c r="J1374" s="1547">
        <f>I1374*0.6%+I1374</f>
        <v>41271.941319600002</v>
      </c>
      <c r="K1374" s="674" t="s">
        <v>1809</v>
      </c>
      <c r="L1374" s="22" t="s">
        <v>1178</v>
      </c>
      <c r="M1374" s="808">
        <v>395</v>
      </c>
      <c r="N1374" s="808">
        <v>395</v>
      </c>
      <c r="O1374" s="808">
        <v>395</v>
      </c>
      <c r="P1374" s="808">
        <v>395</v>
      </c>
      <c r="Q1374" s="1074">
        <v>395</v>
      </c>
    </row>
    <row r="1375" spans="2:17" ht="29.25" customHeight="1" x14ac:dyDescent="0.2">
      <c r="B1375" s="1064"/>
      <c r="C1375" s="696" t="s">
        <v>116</v>
      </c>
      <c r="D1375" s="570"/>
      <c r="E1375" s="528" t="s">
        <v>1810</v>
      </c>
      <c r="F1375" s="1547">
        <f>394918-34.1-311622.2-54505.9+392751.6-14209.7+2350.8</f>
        <v>409648.49999999994</v>
      </c>
      <c r="G1375" s="1547">
        <f>554029</f>
        <v>554029</v>
      </c>
      <c r="H1375" s="1547">
        <f>29120+5917+8101.7</f>
        <v>43138.7</v>
      </c>
      <c r="I1375" s="1547">
        <f>H1375*0.6%+H1375</f>
        <v>43397.532199999994</v>
      </c>
      <c r="J1375" s="1547">
        <f t="shared" ref="J1375:J1378" si="74">I1375*0.6%+I1375</f>
        <v>43657.917393199998</v>
      </c>
      <c r="K1375" s="674" t="s">
        <v>2949</v>
      </c>
      <c r="L1375" s="22" t="s">
        <v>1178</v>
      </c>
      <c r="M1375" s="904">
        <v>45000</v>
      </c>
      <c r="N1375" s="904">
        <v>45500</v>
      </c>
      <c r="O1375" s="904">
        <v>46000</v>
      </c>
      <c r="P1375" s="904">
        <v>46500</v>
      </c>
      <c r="Q1375" s="1075">
        <v>47500</v>
      </c>
    </row>
    <row r="1376" spans="2:17" ht="29.25" customHeight="1" x14ac:dyDescent="0.2">
      <c r="B1376" s="1064"/>
      <c r="C1376" s="696" t="s">
        <v>119</v>
      </c>
      <c r="D1376" s="570"/>
      <c r="E1376" s="528" t="s">
        <v>1811</v>
      </c>
      <c r="F1376" s="1547">
        <f>210512.9+25436.2</f>
        <v>235949.1</v>
      </c>
      <c r="G1376" s="1547">
        <f>207086.1+35089.1</f>
        <v>242175.2</v>
      </c>
      <c r="H1376" s="1547">
        <f>4078.1+77000+50000+5000</f>
        <v>136078.1</v>
      </c>
      <c r="I1376" s="1547">
        <f>H1376*0.6%+H1376</f>
        <v>136894.5686</v>
      </c>
      <c r="J1376" s="1547">
        <f t="shared" si="74"/>
        <v>137715.93601159999</v>
      </c>
      <c r="K1376" s="674" t="s">
        <v>2950</v>
      </c>
      <c r="L1376" s="22" t="s">
        <v>1178</v>
      </c>
      <c r="M1376" s="44">
        <v>290</v>
      </c>
      <c r="N1376" s="44">
        <v>520</v>
      </c>
      <c r="O1376" s="44">
        <v>400</v>
      </c>
      <c r="P1376" s="44">
        <v>450</v>
      </c>
      <c r="Q1376" s="931">
        <v>500</v>
      </c>
    </row>
    <row r="1377" spans="2:17" ht="29.25" customHeight="1" x14ac:dyDescent="0.2">
      <c r="B1377" s="1064"/>
      <c r="C1377" s="696" t="s">
        <v>124</v>
      </c>
      <c r="D1377" s="570"/>
      <c r="E1377" s="528" t="s">
        <v>1812</v>
      </c>
      <c r="F1377" s="1547">
        <v>700</v>
      </c>
      <c r="G1377" s="1547"/>
      <c r="H1377" s="1547">
        <v>0</v>
      </c>
      <c r="I1377" s="1547">
        <f t="shared" ref="I1377:I1378" si="75">H1377*0.6%+H1377</f>
        <v>0</v>
      </c>
      <c r="J1377" s="1547">
        <f t="shared" si="74"/>
        <v>0</v>
      </c>
      <c r="K1377" s="674" t="s">
        <v>2951</v>
      </c>
      <c r="L1377" s="22" t="s">
        <v>1178</v>
      </c>
      <c r="M1377" s="44">
        <v>2</v>
      </c>
      <c r="N1377" s="44">
        <v>1</v>
      </c>
      <c r="O1377" s="44">
        <v>1</v>
      </c>
      <c r="P1377" s="44">
        <v>1</v>
      </c>
      <c r="Q1377" s="931">
        <v>1</v>
      </c>
    </row>
    <row r="1378" spans="2:17" ht="29.25" customHeight="1" x14ac:dyDescent="0.2">
      <c r="B1378" s="1064"/>
      <c r="C1378" s="696" t="s">
        <v>128</v>
      </c>
      <c r="D1378" s="570"/>
      <c r="E1378" s="528" t="s">
        <v>1813</v>
      </c>
      <c r="F1378" s="1547">
        <v>35000</v>
      </c>
      <c r="G1378" s="1547"/>
      <c r="H1378" s="1547">
        <v>32000</v>
      </c>
      <c r="I1378" s="1547">
        <f t="shared" si="75"/>
        <v>32192</v>
      </c>
      <c r="J1378" s="1547">
        <f t="shared" si="74"/>
        <v>32385.151999999998</v>
      </c>
      <c r="K1378" s="674" t="s">
        <v>2952</v>
      </c>
      <c r="L1378" s="22" t="s">
        <v>1178</v>
      </c>
      <c r="M1378" s="44">
        <v>200</v>
      </c>
      <c r="N1378" s="44">
        <v>200</v>
      </c>
      <c r="O1378" s="44">
        <v>150</v>
      </c>
      <c r="P1378" s="44">
        <v>150</v>
      </c>
      <c r="Q1378" s="931">
        <v>150</v>
      </c>
    </row>
    <row r="1379" spans="2:17" ht="84.75" customHeight="1" x14ac:dyDescent="0.2">
      <c r="B1379" s="1059">
        <v>4</v>
      </c>
      <c r="C1379" s="1067"/>
      <c r="D1379" s="1060"/>
      <c r="E1379" s="881" t="s">
        <v>3073</v>
      </c>
      <c r="F1379" s="1561">
        <f>SUM(F1380:F1382)</f>
        <v>11000</v>
      </c>
      <c r="G1379" s="1561">
        <f>SUM(G1380:G1382)</f>
        <v>11000</v>
      </c>
      <c r="H1379" s="1561">
        <f>SUM(H1380:H1382)</f>
        <v>4378</v>
      </c>
      <c r="I1379" s="1561">
        <f>SUM(I1380:I1382)</f>
        <v>4404.268</v>
      </c>
      <c r="J1379" s="1561">
        <f>SUM(J1380:J1382)</f>
        <v>4430.6936080000005</v>
      </c>
      <c r="K1379" s="1356" t="s">
        <v>1814</v>
      </c>
      <c r="L1379" s="1076" t="s">
        <v>122</v>
      </c>
      <c r="M1379" s="1077">
        <v>3</v>
      </c>
      <c r="N1379" s="1077">
        <v>4</v>
      </c>
      <c r="O1379" s="1077">
        <v>5</v>
      </c>
      <c r="P1379" s="1077">
        <v>6</v>
      </c>
      <c r="Q1379" s="1078">
        <v>6</v>
      </c>
    </row>
    <row r="1380" spans="2:17" ht="29.25" customHeight="1" x14ac:dyDescent="0.2">
      <c r="B1380" s="1064"/>
      <c r="C1380" s="696" t="s">
        <v>114</v>
      </c>
      <c r="D1380" s="599"/>
      <c r="E1380" s="41" t="s">
        <v>1815</v>
      </c>
      <c r="F1380" s="1547">
        <v>1000</v>
      </c>
      <c r="G1380" s="1547">
        <v>1000</v>
      </c>
      <c r="H1380" s="1547">
        <v>0</v>
      </c>
      <c r="I1380" s="1547">
        <f>H1380*0.6%+H1380</f>
        <v>0</v>
      </c>
      <c r="J1380" s="1547">
        <f>I1380*0.6%+I1380</f>
        <v>0</v>
      </c>
      <c r="K1380" s="729" t="s">
        <v>1816</v>
      </c>
      <c r="L1380" s="22" t="s">
        <v>1178</v>
      </c>
      <c r="M1380" s="1079">
        <v>10</v>
      </c>
      <c r="N1380" s="1079">
        <v>13</v>
      </c>
      <c r="O1380" s="1079">
        <v>8</v>
      </c>
      <c r="P1380" s="1079">
        <v>9</v>
      </c>
      <c r="Q1380" s="1080">
        <v>10</v>
      </c>
    </row>
    <row r="1381" spans="2:17" ht="29.25" customHeight="1" x14ac:dyDescent="0.2">
      <c r="B1381" s="1064"/>
      <c r="C1381" s="696" t="s">
        <v>116</v>
      </c>
      <c r="D1381" s="599"/>
      <c r="E1381" s="41" t="s">
        <v>1817</v>
      </c>
      <c r="F1381" s="1547">
        <v>7000</v>
      </c>
      <c r="G1381" s="1547">
        <v>7000</v>
      </c>
      <c r="H1381" s="1547">
        <v>1378</v>
      </c>
      <c r="I1381" s="1547">
        <f t="shared" ref="I1381:J1382" si="76">H1381*0.6%+H1381</f>
        <v>1386.268</v>
      </c>
      <c r="J1381" s="1547">
        <f t="shared" si="76"/>
        <v>1394.5856080000001</v>
      </c>
      <c r="K1381" s="1133" t="s">
        <v>1818</v>
      </c>
      <c r="L1381" s="22" t="s">
        <v>1178</v>
      </c>
      <c r="M1381" s="1079">
        <v>10</v>
      </c>
      <c r="N1381" s="1079">
        <v>10</v>
      </c>
      <c r="O1381" s="1079">
        <v>10</v>
      </c>
      <c r="P1381" s="1079">
        <v>11</v>
      </c>
      <c r="Q1381" s="1080">
        <v>12</v>
      </c>
    </row>
    <row r="1382" spans="2:17" ht="29.25" customHeight="1" x14ac:dyDescent="0.2">
      <c r="B1382" s="1064"/>
      <c r="C1382" s="696" t="s">
        <v>119</v>
      </c>
      <c r="D1382" s="599"/>
      <c r="E1382" s="528" t="s">
        <v>2953</v>
      </c>
      <c r="F1382" s="1547">
        <v>3000</v>
      </c>
      <c r="G1382" s="1547">
        <v>3000</v>
      </c>
      <c r="H1382" s="1547">
        <v>3000</v>
      </c>
      <c r="I1382" s="1547">
        <f t="shared" si="76"/>
        <v>3018</v>
      </c>
      <c r="J1382" s="1547">
        <f t="shared" si="76"/>
        <v>3036.1080000000002</v>
      </c>
      <c r="K1382" s="729" t="s">
        <v>1819</v>
      </c>
      <c r="L1382" s="22" t="s">
        <v>1178</v>
      </c>
      <c r="M1382" s="1079">
        <v>14</v>
      </c>
      <c r="N1382" s="1079">
        <v>14</v>
      </c>
      <c r="O1382" s="1079">
        <v>14</v>
      </c>
      <c r="P1382" s="1079">
        <v>21</v>
      </c>
      <c r="Q1382" s="1080">
        <v>28</v>
      </c>
    </row>
    <row r="1383" spans="2:17" ht="29.25" customHeight="1" x14ac:dyDescent="0.2">
      <c r="B1383" s="1719" t="s">
        <v>3104</v>
      </c>
      <c r="C1383" s="1720"/>
      <c r="D1383" s="1720"/>
      <c r="E1383" s="1721"/>
      <c r="F1383" s="1572">
        <f>F1379+F1373+F1368+F1363</f>
        <v>1019072.2999999999</v>
      </c>
      <c r="G1383" s="1572">
        <f>G1379+G1373+G1368+G1363</f>
        <v>1130917</v>
      </c>
      <c r="H1383" s="1572">
        <f>H1379+H1373+H1368+H1363</f>
        <v>933762</v>
      </c>
      <c r="I1383" s="1572">
        <f>I1379+I1373+I1368+I1363</f>
        <v>939364.57199999993</v>
      </c>
      <c r="J1383" s="1572">
        <f>J1379+J1373+J1368+J1363</f>
        <v>945000.75943200011</v>
      </c>
      <c r="K1383" s="1353"/>
      <c r="L1383" s="1829"/>
      <c r="M1383" s="1829"/>
      <c r="N1383" s="1829"/>
      <c r="O1383" s="1829"/>
      <c r="P1383" s="1829"/>
      <c r="Q1383" s="1830"/>
    </row>
    <row r="1384" spans="2:17" ht="29.25" customHeight="1" x14ac:dyDescent="0.2">
      <c r="B1384" s="1722" t="s">
        <v>1820</v>
      </c>
      <c r="C1384" s="1723"/>
      <c r="D1384" s="1723"/>
      <c r="E1384" s="1723"/>
      <c r="F1384" s="1723"/>
      <c r="G1384" s="1723"/>
      <c r="H1384" s="1723"/>
      <c r="I1384" s="1723"/>
      <c r="J1384" s="1723"/>
      <c r="K1384" s="1723"/>
      <c r="L1384" s="1723"/>
      <c r="M1384" s="1723"/>
      <c r="N1384" s="1723"/>
      <c r="O1384" s="1723"/>
      <c r="P1384" s="1723"/>
      <c r="Q1384" s="1724"/>
    </row>
    <row r="1385" spans="2:17" ht="29.25" customHeight="1" x14ac:dyDescent="0.2">
      <c r="B1385" s="1993">
        <v>1</v>
      </c>
      <c r="C1385" s="1716"/>
      <c r="D1385" s="1994"/>
      <c r="E1385" s="1081" t="s">
        <v>1821</v>
      </c>
      <c r="F1385" s="1989">
        <f>F1387+F1388+F1389+F1390</f>
        <v>7065.7</v>
      </c>
      <c r="G1385" s="1989">
        <f t="shared" ref="G1385:J1385" si="77">G1387+G1388+G1389+G1390</f>
        <v>4524.2</v>
      </c>
      <c r="H1385" s="1989">
        <f t="shared" si="77"/>
        <v>4524.2</v>
      </c>
      <c r="I1385" s="1989">
        <f t="shared" si="77"/>
        <v>4629.2</v>
      </c>
      <c r="J1385" s="1989">
        <f t="shared" si="77"/>
        <v>4682.2</v>
      </c>
      <c r="K1385" s="1996"/>
      <c r="L1385" s="1998"/>
      <c r="M1385" s="1998"/>
      <c r="N1385" s="1998"/>
      <c r="O1385" s="1998"/>
      <c r="P1385" s="1998"/>
      <c r="Q1385" s="1855"/>
    </row>
    <row r="1386" spans="2:17" ht="29.25" customHeight="1" x14ac:dyDescent="0.2">
      <c r="B1386" s="1856"/>
      <c r="C1386" s="1716"/>
      <c r="D1386" s="1995"/>
      <c r="E1386" s="1082" t="s">
        <v>1822</v>
      </c>
      <c r="F1386" s="1862"/>
      <c r="G1386" s="1862"/>
      <c r="H1386" s="1862"/>
      <c r="I1386" s="1862"/>
      <c r="J1386" s="1862"/>
      <c r="K1386" s="1997"/>
      <c r="L1386" s="1999"/>
      <c r="M1386" s="1999"/>
      <c r="N1386" s="1999"/>
      <c r="O1386" s="1999"/>
      <c r="P1386" s="1999"/>
      <c r="Q1386" s="1856"/>
    </row>
    <row r="1387" spans="2:17" ht="29.25" customHeight="1" x14ac:dyDescent="0.2">
      <c r="B1387" s="580"/>
      <c r="C1387" s="851" t="s">
        <v>114</v>
      </c>
      <c r="D1387" s="623"/>
      <c r="E1387" s="641" t="s">
        <v>1823</v>
      </c>
      <c r="F1387" s="1342">
        <v>1414.8</v>
      </c>
      <c r="G1387" s="1342">
        <v>1241.7</v>
      </c>
      <c r="H1387" s="1342">
        <v>1241.7</v>
      </c>
      <c r="I1387" s="1342">
        <v>1346.7</v>
      </c>
      <c r="J1387" s="1342">
        <v>1399.7</v>
      </c>
      <c r="K1387" s="217" t="s">
        <v>18</v>
      </c>
      <c r="L1387" s="591" t="s">
        <v>16</v>
      </c>
      <c r="M1387" s="591">
        <v>45</v>
      </c>
      <c r="N1387" s="591">
        <v>50</v>
      </c>
      <c r="O1387" s="591">
        <v>60</v>
      </c>
      <c r="P1387" s="591">
        <v>80</v>
      </c>
      <c r="Q1387" s="591">
        <v>80</v>
      </c>
    </row>
    <row r="1388" spans="2:17" ht="29.25" customHeight="1" x14ac:dyDescent="0.2">
      <c r="B1388" s="1855"/>
      <c r="C1388" s="1980" t="s">
        <v>116</v>
      </c>
      <c r="D1388" s="1855"/>
      <c r="E1388" s="1983" t="s">
        <v>1824</v>
      </c>
      <c r="F1388" s="1342">
        <v>699.1</v>
      </c>
      <c r="G1388" s="1342">
        <v>885.5</v>
      </c>
      <c r="H1388" s="1342">
        <v>885.5</v>
      </c>
      <c r="I1388" s="1342">
        <v>885.5</v>
      </c>
      <c r="J1388" s="1342">
        <v>885.5</v>
      </c>
      <c r="K1388" s="379" t="s">
        <v>419</v>
      </c>
      <c r="L1388" s="591" t="s">
        <v>16</v>
      </c>
      <c r="M1388" s="591">
        <v>100</v>
      </c>
      <c r="N1388" s="591">
        <v>100</v>
      </c>
      <c r="O1388" s="591">
        <v>100</v>
      </c>
      <c r="P1388" s="591">
        <v>100</v>
      </c>
      <c r="Q1388" s="591">
        <v>100</v>
      </c>
    </row>
    <row r="1389" spans="2:17" ht="29.25" customHeight="1" x14ac:dyDescent="0.2">
      <c r="B1389" s="1979"/>
      <c r="C1389" s="1981"/>
      <c r="D1389" s="1979"/>
      <c r="E1389" s="1984"/>
      <c r="F1389" s="1342">
        <v>707.4</v>
      </c>
      <c r="G1389" s="1342">
        <v>901.3</v>
      </c>
      <c r="H1389" s="1342">
        <v>901.3</v>
      </c>
      <c r="I1389" s="1342">
        <v>901.3</v>
      </c>
      <c r="J1389" s="1342">
        <v>901.3</v>
      </c>
      <c r="K1389" s="379" t="s">
        <v>2954</v>
      </c>
      <c r="L1389" s="591" t="s">
        <v>16</v>
      </c>
      <c r="M1389" s="591">
        <v>100</v>
      </c>
      <c r="N1389" s="591">
        <v>100</v>
      </c>
      <c r="O1389" s="410">
        <v>100</v>
      </c>
      <c r="P1389" s="700">
        <v>100</v>
      </c>
      <c r="Q1389" s="700">
        <v>100</v>
      </c>
    </row>
    <row r="1390" spans="2:17" ht="29.25" customHeight="1" x14ac:dyDescent="0.2">
      <c r="B1390" s="1856"/>
      <c r="C1390" s="1982"/>
      <c r="D1390" s="1856"/>
      <c r="E1390" s="1985"/>
      <c r="F1390" s="1682">
        <v>4244.3999999999996</v>
      </c>
      <c r="G1390" s="1682">
        <v>1495.7</v>
      </c>
      <c r="H1390" s="1682">
        <v>1495.7</v>
      </c>
      <c r="I1390" s="1682">
        <v>1495.7</v>
      </c>
      <c r="J1390" s="1682">
        <v>1495.7</v>
      </c>
      <c r="K1390" s="131" t="s">
        <v>1825</v>
      </c>
      <c r="L1390" s="591" t="s">
        <v>16</v>
      </c>
      <c r="M1390" s="591">
        <v>100</v>
      </c>
      <c r="N1390" s="591">
        <v>100</v>
      </c>
      <c r="O1390" s="410">
        <v>100</v>
      </c>
      <c r="P1390" s="700">
        <v>100</v>
      </c>
      <c r="Q1390" s="700">
        <v>100</v>
      </c>
    </row>
    <row r="1391" spans="2:17" ht="29.25" customHeight="1" x14ac:dyDescent="0.2">
      <c r="B1391" s="1986" t="s">
        <v>131</v>
      </c>
      <c r="C1391" s="1716"/>
      <c r="D1391" s="1988"/>
      <c r="E1391" s="1083" t="s">
        <v>1826</v>
      </c>
      <c r="F1391" s="1989">
        <f>F1393+F1394</f>
        <v>13080.900000000001</v>
      </c>
      <c r="G1391" s="1989">
        <f t="shared" ref="G1391:J1391" si="78">G1393+G1394</f>
        <v>11876.2</v>
      </c>
      <c r="H1391" s="1989">
        <f t="shared" si="78"/>
        <v>11876.2</v>
      </c>
      <c r="I1391" s="1989">
        <f t="shared" si="78"/>
        <v>12085.1</v>
      </c>
      <c r="J1391" s="1989">
        <f t="shared" si="78"/>
        <v>12191.6</v>
      </c>
      <c r="K1391" s="1710"/>
      <c r="L1391" s="1991"/>
      <c r="M1391" s="719"/>
      <c r="N1391" s="719"/>
      <c r="O1391" s="719"/>
      <c r="P1391" s="1855"/>
      <c r="Q1391" s="1855"/>
    </row>
    <row r="1392" spans="2:17" ht="29.25" customHeight="1" x14ac:dyDescent="0.2">
      <c r="B1392" s="1987"/>
      <c r="C1392" s="1716"/>
      <c r="D1392" s="1988"/>
      <c r="E1392" s="1082" t="s">
        <v>1827</v>
      </c>
      <c r="F1392" s="1989"/>
      <c r="G1392" s="1989"/>
      <c r="H1392" s="1989"/>
      <c r="I1392" s="1989"/>
      <c r="J1392" s="1989"/>
      <c r="K1392" s="1990"/>
      <c r="L1392" s="1992"/>
      <c r="M1392" s="644"/>
      <c r="N1392" s="644"/>
      <c r="O1392" s="644"/>
      <c r="P1392" s="1856"/>
      <c r="Q1392" s="1856"/>
    </row>
    <row r="1393" spans="2:17" ht="49.5" customHeight="1" x14ac:dyDescent="0.2">
      <c r="B1393" s="1084"/>
      <c r="C1393" s="1085" t="s">
        <v>114</v>
      </c>
      <c r="D1393" s="1085"/>
      <c r="E1393" s="641" t="s">
        <v>1828</v>
      </c>
      <c r="F1393" s="1547">
        <v>9370.2000000000007</v>
      </c>
      <c r="G1393" s="1547">
        <v>8426</v>
      </c>
      <c r="H1393" s="1547">
        <v>8426</v>
      </c>
      <c r="I1393" s="1547">
        <v>8531</v>
      </c>
      <c r="J1393" s="1547">
        <v>8584</v>
      </c>
      <c r="K1393" s="131" t="s">
        <v>2955</v>
      </c>
      <c r="L1393" s="591" t="s">
        <v>16</v>
      </c>
      <c r="M1393" s="591">
        <v>90</v>
      </c>
      <c r="N1393" s="591">
        <v>100</v>
      </c>
      <c r="O1393" s="1086">
        <v>100</v>
      </c>
      <c r="P1393" s="591">
        <v>100</v>
      </c>
      <c r="Q1393" s="591">
        <v>100</v>
      </c>
    </row>
    <row r="1394" spans="2:17" ht="29.25" customHeight="1" x14ac:dyDescent="0.2">
      <c r="B1394" s="1975"/>
      <c r="C1394" s="1977" t="s">
        <v>119</v>
      </c>
      <c r="D1394" s="1977"/>
      <c r="E1394" s="1978" t="s">
        <v>1829</v>
      </c>
      <c r="F1394" s="1818">
        <v>3710.7</v>
      </c>
      <c r="G1394" s="1818">
        <v>3450.2</v>
      </c>
      <c r="H1394" s="1818">
        <v>3450.2</v>
      </c>
      <c r="I1394" s="1818">
        <v>3554.1</v>
      </c>
      <c r="J1394" s="1818">
        <v>3607.6</v>
      </c>
      <c r="K1394" s="1857" t="s">
        <v>1830</v>
      </c>
      <c r="L1394" s="1929" t="s">
        <v>16</v>
      </c>
      <c r="M1394" s="1087">
        <v>80</v>
      </c>
      <c r="N1394" s="1087">
        <v>90</v>
      </c>
      <c r="O1394" s="1087">
        <v>100</v>
      </c>
      <c r="P1394" s="1859">
        <v>100</v>
      </c>
      <c r="Q1394" s="1859">
        <v>100</v>
      </c>
    </row>
    <row r="1395" spans="2:17" ht="29.25" customHeight="1" x14ac:dyDescent="0.2">
      <c r="B1395" s="1976"/>
      <c r="C1395" s="1977"/>
      <c r="D1395" s="1977"/>
      <c r="E1395" s="1978"/>
      <c r="F1395" s="1818"/>
      <c r="G1395" s="1818"/>
      <c r="H1395" s="1818"/>
      <c r="I1395" s="1818"/>
      <c r="J1395" s="1818"/>
      <c r="K1395" s="1858"/>
      <c r="L1395" s="1931"/>
      <c r="M1395" s="1088"/>
      <c r="N1395" s="1088"/>
      <c r="O1395" s="1088"/>
      <c r="P1395" s="1860"/>
      <c r="Q1395" s="1860"/>
    </row>
    <row r="1396" spans="2:17" ht="29.25" customHeight="1" x14ac:dyDescent="0.2">
      <c r="B1396" s="1719" t="s">
        <v>3104</v>
      </c>
      <c r="C1396" s="1720"/>
      <c r="D1396" s="1720"/>
      <c r="E1396" s="1721"/>
      <c r="F1396" s="1572">
        <f>F1387+F1388+F1389+F1390+F1393+F1394</f>
        <v>20146.600000000002</v>
      </c>
      <c r="G1396" s="1572">
        <f>G1387+G1388+G1389+G1390+G1393+G1394</f>
        <v>16400.400000000001</v>
      </c>
      <c r="H1396" s="1572">
        <f>H1385+H1391</f>
        <v>16400.400000000001</v>
      </c>
      <c r="I1396" s="1572">
        <f>I1387+I1388+I1389+I1390+I1393+I1394</f>
        <v>16714.3</v>
      </c>
      <c r="J1396" s="1572">
        <f>J1387+J1388+J1389+J1390+J1393+J1394</f>
        <v>16873.8</v>
      </c>
      <c r="K1396" s="1353"/>
      <c r="L1396" s="1829"/>
      <c r="M1396" s="1829"/>
      <c r="N1396" s="1829"/>
      <c r="O1396" s="1829"/>
      <c r="P1396" s="1829"/>
      <c r="Q1396" s="1830"/>
    </row>
    <row r="1397" spans="2:17" ht="29.25" customHeight="1" x14ac:dyDescent="0.2">
      <c r="B1397" s="1722" t="s">
        <v>1831</v>
      </c>
      <c r="C1397" s="1723"/>
      <c r="D1397" s="1723"/>
      <c r="E1397" s="1723"/>
      <c r="F1397" s="1723"/>
      <c r="G1397" s="1723"/>
      <c r="H1397" s="1723"/>
      <c r="I1397" s="1723"/>
      <c r="J1397" s="1723"/>
      <c r="K1397" s="1723"/>
      <c r="L1397" s="1723"/>
      <c r="M1397" s="1723"/>
      <c r="N1397" s="1723"/>
      <c r="O1397" s="1723"/>
      <c r="P1397" s="1723"/>
      <c r="Q1397" s="1724"/>
    </row>
    <row r="1398" spans="2:17" ht="69" customHeight="1" x14ac:dyDescent="0.2">
      <c r="B1398" s="1364">
        <v>1</v>
      </c>
      <c r="C1398" s="213"/>
      <c r="D1398" s="1054"/>
      <c r="E1398" s="135" t="s">
        <v>2542</v>
      </c>
      <c r="F1398" s="1561">
        <f>F1399+F1404+F1400+F1402+F1403</f>
        <v>10024.5</v>
      </c>
      <c r="G1398" s="1561">
        <f>G1399+G1404+G1400+G1402+G1403</f>
        <v>9640.5999999999985</v>
      </c>
      <c r="H1398" s="1561">
        <f>H1399+H1404+H1400+H1402+H1403</f>
        <v>9618.9000000000015</v>
      </c>
      <c r="I1398" s="1561">
        <f>I1399+I1404+I1400+I1402+I1403</f>
        <v>9676.6134000000002</v>
      </c>
      <c r="J1398" s="1561">
        <f>J1399+J1404+J1400+J1402+J1403</f>
        <v>9744.3496938000008</v>
      </c>
      <c r="K1398" s="1090" t="s">
        <v>1832</v>
      </c>
      <c r="L1398" s="415" t="s">
        <v>16</v>
      </c>
      <c r="M1398" s="523"/>
      <c r="N1398" s="523"/>
      <c r="O1398" s="523"/>
      <c r="P1398" s="523"/>
      <c r="Q1398" s="1091"/>
    </row>
    <row r="1399" spans="2:17" ht="29.25" customHeight="1" x14ac:dyDescent="0.2">
      <c r="B1399" s="1057"/>
      <c r="C1399" s="598">
        <v>1</v>
      </c>
      <c r="D1399" s="213"/>
      <c r="E1399" s="641" t="s">
        <v>17</v>
      </c>
      <c r="F1399" s="1547">
        <v>3359.7</v>
      </c>
      <c r="G1399" s="1547">
        <v>3236</v>
      </c>
      <c r="H1399" s="1547">
        <v>3350</v>
      </c>
      <c r="I1399" s="1547">
        <f>H1399*100.6/100</f>
        <v>3370.1</v>
      </c>
      <c r="J1399" s="1547">
        <f>I1399*100.7/100</f>
        <v>3393.6907000000001</v>
      </c>
      <c r="K1399" s="586" t="s">
        <v>18</v>
      </c>
      <c r="L1399" s="22" t="s">
        <v>19</v>
      </c>
      <c r="M1399" s="523">
        <v>0.5</v>
      </c>
      <c r="N1399" s="523">
        <v>0.5</v>
      </c>
      <c r="O1399" s="523">
        <v>0.5</v>
      </c>
      <c r="P1399" s="523">
        <v>0.5</v>
      </c>
      <c r="Q1399" s="1091">
        <v>0.5</v>
      </c>
    </row>
    <row r="1400" spans="2:17" ht="29.25" customHeight="1" x14ac:dyDescent="0.2">
      <c r="B1400" s="1057"/>
      <c r="C1400" s="598">
        <v>2</v>
      </c>
      <c r="D1400" s="213"/>
      <c r="E1400" s="473" t="s">
        <v>1833</v>
      </c>
      <c r="F1400" s="1547">
        <v>983.6</v>
      </c>
      <c r="G1400" s="1547">
        <v>921.5</v>
      </c>
      <c r="H1400" s="1547">
        <v>1112.9000000000001</v>
      </c>
      <c r="I1400" s="1547">
        <f>H1400*100.6/100</f>
        <v>1119.5774000000001</v>
      </c>
      <c r="J1400" s="1547">
        <f>I1400*100.7/100</f>
        <v>1127.4144418000003</v>
      </c>
      <c r="K1400" s="697" t="s">
        <v>419</v>
      </c>
      <c r="L1400" s="22" t="s">
        <v>16</v>
      </c>
      <c r="M1400" s="523">
        <v>100</v>
      </c>
      <c r="N1400" s="523">
        <v>100</v>
      </c>
      <c r="O1400" s="523">
        <v>100</v>
      </c>
      <c r="P1400" s="523">
        <v>100</v>
      </c>
      <c r="Q1400" s="1091">
        <v>100</v>
      </c>
    </row>
    <row r="1401" spans="2:17" ht="29.25" customHeight="1" x14ac:dyDescent="0.2">
      <c r="B1401" s="1960"/>
      <c r="C1401" s="1768">
        <v>3</v>
      </c>
      <c r="D1401" s="1962"/>
      <c r="E1401" s="1963" t="s">
        <v>1834</v>
      </c>
      <c r="F1401" s="1563"/>
      <c r="G1401" s="1563"/>
      <c r="H1401" s="1563"/>
      <c r="I1401" s="1563"/>
      <c r="J1401" s="1563"/>
      <c r="K1401" s="697" t="s">
        <v>1835</v>
      </c>
      <c r="L1401" s="22" t="s">
        <v>16</v>
      </c>
      <c r="M1401" s="523">
        <v>0</v>
      </c>
      <c r="N1401" s="523">
        <v>0</v>
      </c>
      <c r="O1401" s="523">
        <v>0</v>
      </c>
      <c r="P1401" s="523">
        <v>0</v>
      </c>
      <c r="Q1401" s="1091">
        <v>0</v>
      </c>
    </row>
    <row r="1402" spans="2:17" ht="29.25" customHeight="1" x14ac:dyDescent="0.2">
      <c r="B1402" s="1961"/>
      <c r="C1402" s="1768"/>
      <c r="D1402" s="1962"/>
      <c r="E1402" s="1963"/>
      <c r="F1402" s="1563">
        <v>2861.7</v>
      </c>
      <c r="G1402" s="1563">
        <v>2694.1</v>
      </c>
      <c r="H1402" s="1563">
        <v>2708.3</v>
      </c>
      <c r="I1402" s="1547">
        <f>H1402*100.6/100</f>
        <v>2724.5497999999998</v>
      </c>
      <c r="J1402" s="1547">
        <f>I1402*100.7/100</f>
        <v>2743.6216485999994</v>
      </c>
      <c r="K1402" s="697" t="s">
        <v>1836</v>
      </c>
      <c r="L1402" s="22" t="s">
        <v>122</v>
      </c>
      <c r="M1402" s="523">
        <v>40</v>
      </c>
      <c r="N1402" s="523">
        <v>40</v>
      </c>
      <c r="O1402" s="523">
        <v>41</v>
      </c>
      <c r="P1402" s="523">
        <v>42</v>
      </c>
      <c r="Q1402" s="1091">
        <v>43</v>
      </c>
    </row>
    <row r="1403" spans="2:17" ht="29.25" customHeight="1" x14ac:dyDescent="0.2">
      <c r="B1403" s="1468"/>
      <c r="C1403" s="502">
        <v>4</v>
      </c>
      <c r="D1403" s="213"/>
      <c r="E1403" s="40" t="s">
        <v>25</v>
      </c>
      <c r="F1403" s="1547">
        <v>1324.8</v>
      </c>
      <c r="G1403" s="1547">
        <v>1294.3</v>
      </c>
      <c r="H1403" s="1547">
        <v>1241.5</v>
      </c>
      <c r="I1403" s="1547">
        <f>H1403*100.6/100</f>
        <v>1248.9489999999998</v>
      </c>
      <c r="J1403" s="1547">
        <f>I1403*100.7/100</f>
        <v>1257.6916429999999</v>
      </c>
      <c r="K1403" s="697" t="s">
        <v>1837</v>
      </c>
      <c r="L1403" s="22" t="s">
        <v>262</v>
      </c>
      <c r="M1403" s="1052" t="s">
        <v>1356</v>
      </c>
      <c r="N1403" s="1052" t="s">
        <v>1356</v>
      </c>
      <c r="O1403" s="1052" t="s">
        <v>1356</v>
      </c>
      <c r="P1403" s="1052" t="s">
        <v>1357</v>
      </c>
      <c r="Q1403" s="1092" t="s">
        <v>1355</v>
      </c>
    </row>
    <row r="1404" spans="2:17" ht="29.25" customHeight="1" x14ac:dyDescent="0.2">
      <c r="B1404" s="1057"/>
      <c r="C1404" s="598">
        <v>6</v>
      </c>
      <c r="D1404" s="213"/>
      <c r="E1404" s="697" t="s">
        <v>2232</v>
      </c>
      <c r="F1404" s="1547">
        <v>1494.7</v>
      </c>
      <c r="G1404" s="1547">
        <v>1494.7</v>
      </c>
      <c r="H1404" s="1547">
        <f>1151+55.2</f>
        <v>1206.2</v>
      </c>
      <c r="I1404" s="1547">
        <f>H1404*100.6/100</f>
        <v>1213.4372000000001</v>
      </c>
      <c r="J1404" s="1547">
        <f>I1404*100.7/100</f>
        <v>1221.9312604000002</v>
      </c>
      <c r="K1404" s="697" t="s">
        <v>1838</v>
      </c>
      <c r="L1404" s="22" t="s">
        <v>16</v>
      </c>
      <c r="M1404" s="523">
        <v>18</v>
      </c>
      <c r="N1404" s="523">
        <v>18</v>
      </c>
      <c r="O1404" s="523">
        <v>18</v>
      </c>
      <c r="P1404" s="523">
        <v>18</v>
      </c>
      <c r="Q1404" s="1091">
        <v>19</v>
      </c>
    </row>
    <row r="1405" spans="2:17" ht="29.25" customHeight="1" x14ac:dyDescent="0.2">
      <c r="B1405" s="1469">
        <v>2</v>
      </c>
      <c r="C1405" s="22"/>
      <c r="D1405" s="41"/>
      <c r="E1405" s="160" t="s">
        <v>1839</v>
      </c>
      <c r="F1405" s="1561">
        <f>F1406+F1407+F1408</f>
        <v>5892.7</v>
      </c>
      <c r="G1405" s="1561">
        <f>G1406+G1407+G1408</f>
        <v>5406.1</v>
      </c>
      <c r="H1405" s="1561">
        <f>H1406+H1407+H1408</f>
        <v>5543.3</v>
      </c>
      <c r="I1405" s="1561">
        <f>I1406+I1407+I1408</f>
        <v>5576.5597999999991</v>
      </c>
      <c r="J1405" s="1561">
        <f>J1406+J1407+J1408</f>
        <v>5615.5957185999996</v>
      </c>
      <c r="K1405" s="1060"/>
      <c r="L1405" s="1060"/>
      <c r="M1405" s="1060"/>
      <c r="N1405" s="1093"/>
      <c r="O1405" s="1093"/>
      <c r="P1405" s="1093"/>
      <c r="Q1405" s="1094"/>
    </row>
    <row r="1406" spans="2:17" ht="29.25" customHeight="1" x14ac:dyDescent="0.2">
      <c r="B1406" s="1352"/>
      <c r="C1406" s="696" t="s">
        <v>114</v>
      </c>
      <c r="D1406" s="427"/>
      <c r="E1406" s="586" t="s">
        <v>1840</v>
      </c>
      <c r="F1406" s="1563">
        <v>2160.1</v>
      </c>
      <c r="G1406" s="1563">
        <v>1992.2</v>
      </c>
      <c r="H1406" s="1563">
        <v>2033.7</v>
      </c>
      <c r="I1406" s="1547">
        <f>H1406*100.6/100</f>
        <v>2045.9022</v>
      </c>
      <c r="J1406" s="1547">
        <f>I1406*100.7/100</f>
        <v>2060.2235154</v>
      </c>
      <c r="K1406" s="681" t="s">
        <v>2956</v>
      </c>
      <c r="L1406" s="22" t="s">
        <v>1841</v>
      </c>
      <c r="M1406" s="570">
        <v>6</v>
      </c>
      <c r="N1406" s="1095">
        <v>6.5</v>
      </c>
      <c r="O1406" s="1095">
        <v>7</v>
      </c>
      <c r="P1406" s="1095">
        <v>7.5</v>
      </c>
      <c r="Q1406" s="1096">
        <v>8.5</v>
      </c>
    </row>
    <row r="1407" spans="2:17" ht="29.25" customHeight="1" x14ac:dyDescent="0.2">
      <c r="B1407" s="1352"/>
      <c r="C1407" s="696" t="s">
        <v>116</v>
      </c>
      <c r="D1407" s="427"/>
      <c r="E1407" s="539" t="s">
        <v>1842</v>
      </c>
      <c r="F1407" s="1547">
        <v>2131.1</v>
      </c>
      <c r="G1407" s="1547">
        <v>1952.6</v>
      </c>
      <c r="H1407" s="1547">
        <v>1945.8</v>
      </c>
      <c r="I1407" s="1547">
        <f>H1407*100.6/100</f>
        <v>1957.4747999999997</v>
      </c>
      <c r="J1407" s="1547">
        <f>I1407*100.7/100</f>
        <v>1971.1771235999997</v>
      </c>
      <c r="K1407" s="40" t="s">
        <v>2957</v>
      </c>
      <c r="L1407" s="22" t="s">
        <v>122</v>
      </c>
      <c r="M1407" s="44">
        <v>2.7</v>
      </c>
      <c r="N1407" s="44">
        <v>1.5</v>
      </c>
      <c r="O1407" s="44">
        <v>2</v>
      </c>
      <c r="P1407" s="44">
        <v>2.1</v>
      </c>
      <c r="Q1407" s="931">
        <v>3</v>
      </c>
    </row>
    <row r="1408" spans="2:17" ht="29.25" customHeight="1" x14ac:dyDescent="0.2">
      <c r="B1408" s="1352"/>
      <c r="C1408" s="696" t="s">
        <v>119</v>
      </c>
      <c r="D1408" s="427"/>
      <c r="E1408" s="586" t="s">
        <v>1843</v>
      </c>
      <c r="F1408" s="1547">
        <v>1601.5</v>
      </c>
      <c r="G1408" s="1547">
        <v>1461.3</v>
      </c>
      <c r="H1408" s="1547">
        <v>1563.8</v>
      </c>
      <c r="I1408" s="1547">
        <f>H1408*100.6/100</f>
        <v>1573.1828</v>
      </c>
      <c r="J1408" s="1547">
        <f>I1408*100.7/100</f>
        <v>1584.1950796000001</v>
      </c>
      <c r="K1408" s="40" t="s">
        <v>1844</v>
      </c>
      <c r="L1408" s="22" t="s">
        <v>1841</v>
      </c>
      <c r="M1408" s="44">
        <v>6</v>
      </c>
      <c r="N1408" s="44">
        <v>6.4</v>
      </c>
      <c r="O1408" s="44">
        <v>7.6</v>
      </c>
      <c r="P1408" s="44">
        <v>10</v>
      </c>
      <c r="Q1408" s="931">
        <v>10</v>
      </c>
    </row>
    <row r="1409" spans="2:17" ht="45" customHeight="1" x14ac:dyDescent="0.2">
      <c r="B1409" s="1365" t="s">
        <v>155</v>
      </c>
      <c r="C1409" s="22"/>
      <c r="D1409" s="41"/>
      <c r="E1409" s="659" t="s">
        <v>1845</v>
      </c>
      <c r="F1409" s="1561">
        <f>F1410+F1411+F1412</f>
        <v>4649.5</v>
      </c>
      <c r="G1409" s="1561">
        <f>G1410+G1411+G1412</f>
        <v>4084.3999999999996</v>
      </c>
      <c r="H1409" s="1561">
        <f>H1410+H1411+H1412</f>
        <v>4272.1000000000004</v>
      </c>
      <c r="I1409" s="1561">
        <f>I1410+I1411+I1412</f>
        <v>4297.7325999999994</v>
      </c>
      <c r="J1409" s="1561">
        <f>J1410+J1411+J1412</f>
        <v>4327.8167281999995</v>
      </c>
      <c r="K1409" s="659"/>
      <c r="L1409" s="523"/>
      <c r="M1409" s="523"/>
      <c r="N1409" s="1098"/>
      <c r="O1409" s="1098"/>
      <c r="P1409" s="1098"/>
      <c r="Q1409" s="1099"/>
    </row>
    <row r="1410" spans="2:17" ht="29.25" customHeight="1" x14ac:dyDescent="0.2">
      <c r="B1410" s="1352"/>
      <c r="C1410" s="696" t="s">
        <v>114</v>
      </c>
      <c r="D1410" s="427"/>
      <c r="E1410" s="697" t="s">
        <v>1846</v>
      </c>
      <c r="F1410" s="1547">
        <v>1556.9</v>
      </c>
      <c r="G1410" s="1547">
        <v>1375.4</v>
      </c>
      <c r="H1410" s="1547">
        <v>1447.9</v>
      </c>
      <c r="I1410" s="1547">
        <f>H1410*100.6/100</f>
        <v>1456.5873999999999</v>
      </c>
      <c r="J1410" s="1547">
        <f>I1410*100.7/100</f>
        <v>1466.7835118</v>
      </c>
      <c r="K1410" s="641" t="s">
        <v>1847</v>
      </c>
      <c r="L1410" s="22" t="s">
        <v>1841</v>
      </c>
      <c r="M1410" s="41">
        <v>1.3</v>
      </c>
      <c r="N1410" s="44">
        <v>1.6</v>
      </c>
      <c r="O1410" s="44">
        <v>2.7</v>
      </c>
      <c r="P1410" s="44">
        <v>4.2</v>
      </c>
      <c r="Q1410" s="931">
        <v>4.4000000000000004</v>
      </c>
    </row>
    <row r="1411" spans="2:17" ht="29.25" customHeight="1" x14ac:dyDescent="0.2">
      <c r="B1411" s="1352"/>
      <c r="C1411" s="696" t="s">
        <v>116</v>
      </c>
      <c r="D1411" s="427"/>
      <c r="E1411" s="435" t="s">
        <v>1848</v>
      </c>
      <c r="F1411" s="1547">
        <v>1561.9</v>
      </c>
      <c r="G1411" s="1547">
        <v>1371.8</v>
      </c>
      <c r="H1411" s="1547">
        <v>1286</v>
      </c>
      <c r="I1411" s="1547">
        <f>H1411*100.6/100</f>
        <v>1293.7159999999999</v>
      </c>
      <c r="J1411" s="1547">
        <f>I1411*100.7/100</f>
        <v>1302.7720119999999</v>
      </c>
      <c r="K1411" s="641" t="s">
        <v>1849</v>
      </c>
      <c r="L1411" s="22" t="s">
        <v>16</v>
      </c>
      <c r="M1411" s="731">
        <v>4.8</v>
      </c>
      <c r="N1411" s="731">
        <v>4.9000000000000004</v>
      </c>
      <c r="O1411" s="731">
        <v>5</v>
      </c>
      <c r="P1411" s="731">
        <v>5.0999999999999996</v>
      </c>
      <c r="Q1411" s="931">
        <v>5.2</v>
      </c>
    </row>
    <row r="1412" spans="2:17" ht="29.25" customHeight="1" x14ac:dyDescent="0.2">
      <c r="B1412" s="1964"/>
      <c r="C1412" s="1746" t="s">
        <v>119</v>
      </c>
      <c r="D1412" s="1965"/>
      <c r="E1412" s="1847" t="s">
        <v>1850</v>
      </c>
      <c r="F1412" s="1773">
        <v>1530.7</v>
      </c>
      <c r="G1412" s="1773">
        <v>1337.2</v>
      </c>
      <c r="H1412" s="1773">
        <v>1538.2</v>
      </c>
      <c r="I1412" s="1773">
        <f>H1412*100.6/100</f>
        <v>1547.4291999999998</v>
      </c>
      <c r="J1412" s="1773">
        <f>I1412*100.7/100</f>
        <v>1558.2612044</v>
      </c>
      <c r="K1412" s="641" t="s">
        <v>1851</v>
      </c>
      <c r="L1412" s="41" t="s">
        <v>1852</v>
      </c>
      <c r="M1412" s="41">
        <v>15</v>
      </c>
      <c r="N1412" s="41">
        <v>38</v>
      </c>
      <c r="O1412" s="41">
        <v>120</v>
      </c>
      <c r="P1412" s="41">
        <v>220</v>
      </c>
      <c r="Q1412" s="1066">
        <v>320</v>
      </c>
    </row>
    <row r="1413" spans="2:17" ht="29.25" customHeight="1" x14ac:dyDescent="0.2">
      <c r="B1413" s="1964"/>
      <c r="C1413" s="1746"/>
      <c r="D1413" s="1965"/>
      <c r="E1413" s="1847"/>
      <c r="F1413" s="1773"/>
      <c r="G1413" s="1773"/>
      <c r="H1413" s="1773"/>
      <c r="I1413" s="1773"/>
      <c r="J1413" s="1773"/>
      <c r="K1413" s="606" t="s">
        <v>1853</v>
      </c>
      <c r="L1413" s="108" t="s">
        <v>1852</v>
      </c>
      <c r="M1413" s="108">
        <v>0.5</v>
      </c>
      <c r="N1413" s="108">
        <v>0.5</v>
      </c>
      <c r="O1413" s="108">
        <v>1</v>
      </c>
      <c r="P1413" s="108">
        <v>2</v>
      </c>
      <c r="Q1413" s="1049">
        <v>3</v>
      </c>
    </row>
    <row r="1414" spans="2:17" ht="29.25" customHeight="1" x14ac:dyDescent="0.2">
      <c r="B1414" s="1365" t="s">
        <v>164</v>
      </c>
      <c r="C1414" s="22"/>
      <c r="D1414" s="697"/>
      <c r="E1414" s="160" t="s">
        <v>1854</v>
      </c>
      <c r="F1414" s="1561">
        <f>F1415+F1416</f>
        <v>3597.6000000000004</v>
      </c>
      <c r="G1414" s="1561">
        <f>G1415+G1416</f>
        <v>3449.7</v>
      </c>
      <c r="H1414" s="1561">
        <f>H1415+H1416</f>
        <v>3201.7</v>
      </c>
      <c r="I1414" s="1561">
        <f>I1415+I1416</f>
        <v>3218.4015999999997</v>
      </c>
      <c r="J1414" s="1561">
        <f>J1415+J1416</f>
        <v>3248.7533112000001</v>
      </c>
      <c r="K1414" s="41"/>
      <c r="L1414" s="41"/>
      <c r="M1414" s="41"/>
      <c r="N1414" s="44"/>
      <c r="O1414" s="44"/>
      <c r="P1414" s="44"/>
      <c r="Q1414" s="931"/>
    </row>
    <row r="1415" spans="2:17" ht="29.25" customHeight="1" x14ac:dyDescent="0.2">
      <c r="B1415" s="1352"/>
      <c r="C1415" s="696" t="s">
        <v>114</v>
      </c>
      <c r="D1415" s="693"/>
      <c r="E1415" s="697" t="s">
        <v>1855</v>
      </c>
      <c r="F1415" s="1547">
        <v>1782.7</v>
      </c>
      <c r="G1415" s="1547">
        <v>1712.6</v>
      </c>
      <c r="H1415" s="1547">
        <v>1583.6</v>
      </c>
      <c r="I1415" s="1547">
        <f>H1415*100.6/100</f>
        <v>1593.1015999999997</v>
      </c>
      <c r="J1415" s="1547">
        <f>I1415*100.7/100</f>
        <v>1604.2533111999999</v>
      </c>
      <c r="K1415" s="641" t="s">
        <v>1856</v>
      </c>
      <c r="L1415" s="22" t="s">
        <v>122</v>
      </c>
      <c r="M1415" s="41">
        <v>32</v>
      </c>
      <c r="N1415" s="44">
        <v>35</v>
      </c>
      <c r="O1415" s="44">
        <v>40</v>
      </c>
      <c r="P1415" s="44">
        <v>41</v>
      </c>
      <c r="Q1415" s="931">
        <v>42</v>
      </c>
    </row>
    <row r="1416" spans="2:17" ht="29.25" customHeight="1" x14ac:dyDescent="0.2">
      <c r="B1416" s="1352"/>
      <c r="C1416" s="696" t="s">
        <v>116</v>
      </c>
      <c r="D1416" s="427"/>
      <c r="E1416" s="1100" t="s">
        <v>1857</v>
      </c>
      <c r="F1416" s="1547">
        <v>1814.9</v>
      </c>
      <c r="G1416" s="1547">
        <v>1737.1</v>
      </c>
      <c r="H1416" s="1547">
        <v>1618.1</v>
      </c>
      <c r="I1416" s="1547">
        <v>1625.3</v>
      </c>
      <c r="J1416" s="1547">
        <v>1644.5</v>
      </c>
      <c r="K1416" s="641" t="s">
        <v>1858</v>
      </c>
      <c r="L1416" s="22" t="s">
        <v>16</v>
      </c>
      <c r="M1416" s="41">
        <v>87.5</v>
      </c>
      <c r="N1416" s="44">
        <v>90</v>
      </c>
      <c r="O1416" s="44">
        <v>92</v>
      </c>
      <c r="P1416" s="44">
        <v>93</v>
      </c>
      <c r="Q1416" s="931">
        <v>95</v>
      </c>
    </row>
    <row r="1417" spans="2:17" ht="29.25" customHeight="1" x14ac:dyDescent="0.2">
      <c r="B1417" s="1719" t="s">
        <v>3104</v>
      </c>
      <c r="C1417" s="1720"/>
      <c r="D1417" s="1720"/>
      <c r="E1417" s="1721"/>
      <c r="F1417" s="1572">
        <f>F1398+F1405+F1409+F1414</f>
        <v>24164.300000000003</v>
      </c>
      <c r="G1417" s="1572">
        <f>G1398+G1405+G1409+G1414</f>
        <v>22580.799999999999</v>
      </c>
      <c r="H1417" s="1572">
        <f>H1398+H1405+H1409+H1414</f>
        <v>22636.000000000004</v>
      </c>
      <c r="I1417" s="1572">
        <f>I1398+I1405+I1409+I1414</f>
        <v>22769.307400000002</v>
      </c>
      <c r="J1417" s="1572">
        <f>J1398+J1405+J1409+J1414</f>
        <v>22936.515451799998</v>
      </c>
      <c r="K1417" s="704"/>
      <c r="L1417" s="1829"/>
      <c r="M1417" s="1829"/>
      <c r="N1417" s="1829"/>
      <c r="O1417" s="1829"/>
      <c r="P1417" s="1829"/>
      <c r="Q1417" s="1830"/>
    </row>
    <row r="1418" spans="2:17" ht="29.25" customHeight="1" thickBot="1" x14ac:dyDescent="0.25">
      <c r="B1418" s="1722" t="s">
        <v>1859</v>
      </c>
      <c r="C1418" s="1723"/>
      <c r="D1418" s="1723"/>
      <c r="E1418" s="1723"/>
      <c r="F1418" s="1723"/>
      <c r="G1418" s="1723"/>
      <c r="H1418" s="1723"/>
      <c r="I1418" s="1723"/>
      <c r="J1418" s="1723"/>
      <c r="K1418" s="1723"/>
      <c r="L1418" s="1723"/>
      <c r="M1418" s="1723"/>
      <c r="N1418" s="1723"/>
      <c r="O1418" s="1723"/>
      <c r="P1418" s="1723"/>
      <c r="Q1418" s="1724"/>
    </row>
    <row r="1419" spans="2:17" ht="61.5" customHeight="1" x14ac:dyDescent="0.2">
      <c r="B1419" s="1101">
        <v>1</v>
      </c>
      <c r="C1419" s="1102"/>
      <c r="D1419" s="1103"/>
      <c r="E1419" s="135" t="s">
        <v>2542</v>
      </c>
      <c r="F1419" s="1588">
        <f>F1420+F1421+F1422+F1425</f>
        <v>12353.099999999999</v>
      </c>
      <c r="G1419" s="1588">
        <f>G1420+G1421+G1422+G1425</f>
        <v>13264</v>
      </c>
      <c r="H1419" s="1588">
        <f>H1420+H1421+H1422+H1425</f>
        <v>17198.2</v>
      </c>
      <c r="I1419" s="1588">
        <f>I1420+I1421+I1422+I1425</f>
        <v>17527.373548000003</v>
      </c>
      <c r="J1419" s="1588">
        <f>J1420+J1421+J1422+J1425</f>
        <v>17694.58469164792</v>
      </c>
      <c r="K1419" s="1090" t="s">
        <v>1832</v>
      </c>
      <c r="L1419" s="1105" t="s">
        <v>16</v>
      </c>
      <c r="M1419" s="1105">
        <v>38.299999999999997</v>
      </c>
      <c r="N1419" s="1104">
        <v>39</v>
      </c>
      <c r="O1419" s="1105">
        <v>4.7</v>
      </c>
      <c r="P1419" s="1105">
        <v>4.8</v>
      </c>
      <c r="Q1419" s="1105">
        <v>4.9000000000000004</v>
      </c>
    </row>
    <row r="1420" spans="2:17" ht="29.25" customHeight="1" x14ac:dyDescent="0.2">
      <c r="B1420" s="1106"/>
      <c r="C1420" s="1419">
        <v>1</v>
      </c>
      <c r="D1420" s="1107"/>
      <c r="E1420" s="641" t="s">
        <v>17</v>
      </c>
      <c r="F1420" s="1538">
        <v>5817.8</v>
      </c>
      <c r="G1420" s="1538">
        <v>5517.1</v>
      </c>
      <c r="H1420" s="1538">
        <f>5517.1+264.2+200</f>
        <v>5981.3</v>
      </c>
      <c r="I1420" s="1538">
        <f>H1420*101.914/100</f>
        <v>6095.7820819999997</v>
      </c>
      <c r="J1420" s="1538">
        <f>I1420*100.954/100</f>
        <v>6153.9358430622797</v>
      </c>
      <c r="K1420" s="697" t="s">
        <v>1860</v>
      </c>
      <c r="L1420" s="1108" t="s">
        <v>16</v>
      </c>
      <c r="M1420" s="1108">
        <v>100</v>
      </c>
      <c r="N1420" s="1108">
        <v>100</v>
      </c>
      <c r="O1420" s="1108">
        <v>100</v>
      </c>
      <c r="P1420" s="1108">
        <v>100</v>
      </c>
      <c r="Q1420" s="1108">
        <v>100</v>
      </c>
    </row>
    <row r="1421" spans="2:17" ht="29.25" customHeight="1" x14ac:dyDescent="0.2">
      <c r="B1421" s="1106"/>
      <c r="C1421" s="1420">
        <v>2</v>
      </c>
      <c r="D1421" s="1107"/>
      <c r="E1421" s="473" t="s">
        <v>1833</v>
      </c>
      <c r="F1421" s="1538">
        <v>2481</v>
      </c>
      <c r="G1421" s="1538">
        <v>2620.3000000000002</v>
      </c>
      <c r="H1421" s="1538">
        <f>2620.3+252+200+2514</f>
        <v>5586.3</v>
      </c>
      <c r="I1421" s="1538">
        <f>H1421*101.914/100</f>
        <v>5693.2217820000005</v>
      </c>
      <c r="J1421" s="1538">
        <f>I1421*100.954/100</f>
        <v>5747.5351178002802</v>
      </c>
      <c r="K1421" s="697" t="s">
        <v>419</v>
      </c>
      <c r="L1421" s="1108" t="s">
        <v>16</v>
      </c>
      <c r="M1421" s="1108">
        <v>100</v>
      </c>
      <c r="N1421" s="1108">
        <v>100</v>
      </c>
      <c r="O1421" s="1108">
        <v>100</v>
      </c>
      <c r="P1421" s="1108">
        <v>100</v>
      </c>
      <c r="Q1421" s="1108">
        <v>100</v>
      </c>
    </row>
    <row r="1422" spans="2:17" ht="29.25" customHeight="1" x14ac:dyDescent="0.2">
      <c r="B1422" s="1966"/>
      <c r="C1422" s="1969">
        <v>3</v>
      </c>
      <c r="D1422" s="1972"/>
      <c r="E1422" s="1770" t="s">
        <v>1861</v>
      </c>
      <c r="F1422" s="1842">
        <v>2357.8000000000002</v>
      </c>
      <c r="G1422" s="1842">
        <v>2646.8</v>
      </c>
      <c r="H1422" s="1842">
        <f>2646.8+252</f>
        <v>2898.8</v>
      </c>
      <c r="I1422" s="1842">
        <f>H1422*101.914/100</f>
        <v>2954.2830320000003</v>
      </c>
      <c r="J1422" s="1842">
        <f>I1422*100.954/100</f>
        <v>2982.4668921252801</v>
      </c>
      <c r="K1422" s="606" t="s">
        <v>1862</v>
      </c>
      <c r="L1422" s="1108" t="s">
        <v>16</v>
      </c>
      <c r="M1422" s="1108">
        <v>29.8</v>
      </c>
      <c r="N1422" s="1108">
        <v>30</v>
      </c>
      <c r="O1422" s="1108">
        <v>30</v>
      </c>
      <c r="P1422" s="1108">
        <v>30</v>
      </c>
      <c r="Q1422" s="1108">
        <v>30</v>
      </c>
    </row>
    <row r="1423" spans="2:17" ht="69" customHeight="1" x14ac:dyDescent="0.2">
      <c r="B1423" s="1967"/>
      <c r="C1423" s="1970"/>
      <c r="D1423" s="1973"/>
      <c r="E1423" s="1775"/>
      <c r="F1423" s="1843"/>
      <c r="G1423" s="1843"/>
      <c r="H1423" s="1843"/>
      <c r="I1423" s="1843"/>
      <c r="J1423" s="1843"/>
      <c r="K1423" s="697" t="s">
        <v>1863</v>
      </c>
      <c r="L1423" s="95" t="s">
        <v>122</v>
      </c>
      <c r="M1423" s="1108">
        <v>9</v>
      </c>
      <c r="N1423" s="431" t="s">
        <v>1536</v>
      </c>
      <c r="O1423" s="431" t="s">
        <v>1536</v>
      </c>
      <c r="P1423" s="431" t="s">
        <v>1536</v>
      </c>
      <c r="Q1423" s="431" t="s">
        <v>1536</v>
      </c>
    </row>
    <row r="1424" spans="2:17" ht="29.25" customHeight="1" x14ac:dyDescent="0.2">
      <c r="B1424" s="1968"/>
      <c r="C1424" s="1971"/>
      <c r="D1424" s="1974"/>
      <c r="E1424" s="1776"/>
      <c r="F1424" s="1844"/>
      <c r="G1424" s="1844"/>
      <c r="H1424" s="1844"/>
      <c r="I1424" s="1844"/>
      <c r="J1424" s="1844"/>
      <c r="K1424" s="606" t="s">
        <v>1864</v>
      </c>
      <c r="L1424" s="1108" t="s">
        <v>16</v>
      </c>
      <c r="M1424" s="1108">
        <v>70</v>
      </c>
      <c r="N1424" s="431" t="s">
        <v>1536</v>
      </c>
      <c r="O1424" s="431" t="s">
        <v>1536</v>
      </c>
      <c r="P1424" s="431" t="s">
        <v>1536</v>
      </c>
      <c r="Q1424" s="431" t="s">
        <v>1536</v>
      </c>
    </row>
    <row r="1425" spans="2:17" ht="29.25" customHeight="1" x14ac:dyDescent="0.2">
      <c r="B1425" s="1109"/>
      <c r="C1425" s="1421">
        <v>6</v>
      </c>
      <c r="D1425" s="1107"/>
      <c r="E1425" s="563" t="s">
        <v>1865</v>
      </c>
      <c r="F1425" s="1538">
        <v>1696.5</v>
      </c>
      <c r="G1425" s="1538">
        <v>2479.8000000000002</v>
      </c>
      <c r="H1425" s="1538">
        <f>2479.8+252</f>
        <v>2731.8</v>
      </c>
      <c r="I1425" s="1538">
        <f>H1425*101.914/100</f>
        <v>2784.0866520000004</v>
      </c>
      <c r="J1425" s="1538">
        <f>I1425*100.954/100</f>
        <v>2810.64683866008</v>
      </c>
      <c r="K1425" s="697" t="s">
        <v>1838</v>
      </c>
      <c r="L1425" s="1108" t="s">
        <v>16</v>
      </c>
      <c r="M1425" s="1108">
        <v>16.3</v>
      </c>
      <c r="N1425" s="1108">
        <v>20</v>
      </c>
      <c r="O1425" s="1108">
        <v>20</v>
      </c>
      <c r="P1425" s="1108">
        <v>20</v>
      </c>
      <c r="Q1425" s="1108">
        <v>20</v>
      </c>
    </row>
    <row r="1426" spans="2:17" ht="29.25" customHeight="1" x14ac:dyDescent="0.2">
      <c r="B1426" s="1110" t="s">
        <v>131</v>
      </c>
      <c r="C1426" s="1111"/>
      <c r="D1426" s="1112"/>
      <c r="E1426" s="659" t="s">
        <v>3074</v>
      </c>
      <c r="F1426" s="1588">
        <f>F1427+F1429+F1434+F1439+F1440+F1444+F1448+F1449+F1452+F1454+F1455</f>
        <v>48546.5</v>
      </c>
      <c r="G1426" s="1588">
        <f t="shared" ref="G1426" si="79">G1427+G1429+G1434+G1439+G1440+G1444+G1448+G1449+G1452+G1454+G1455</f>
        <v>45067.099999999991</v>
      </c>
      <c r="H1426" s="1588">
        <f>H1427+H1429+H1434+H1439+H1440+H1444+H1448+H1449+H1452+H1454+H1455</f>
        <v>51024.399999999994</v>
      </c>
      <c r="I1426" s="1588">
        <f>I1427+I1429+I1434+I1439+I1440+I1444+I1448+I1449+I1452+I1454+I1455</f>
        <v>52001.007015999996</v>
      </c>
      <c r="J1426" s="1588">
        <f>J1427+J1429+J1434+J1439+J1440+J1444+J1448+J1449+J1452+J1454+J1455</f>
        <v>52497.09662293263</v>
      </c>
      <c r="K1426" s="659" t="s">
        <v>1867</v>
      </c>
      <c r="L1426" s="1105" t="s">
        <v>19</v>
      </c>
      <c r="M1426" s="1113">
        <v>1</v>
      </c>
      <c r="N1426" s="1113">
        <v>1</v>
      </c>
      <c r="O1426" s="1113">
        <v>1</v>
      </c>
      <c r="P1426" s="1113">
        <v>1</v>
      </c>
      <c r="Q1426" s="1113">
        <v>1</v>
      </c>
    </row>
    <row r="1427" spans="2:17" ht="29.25" customHeight="1" x14ac:dyDescent="0.2">
      <c r="B1427" s="1942"/>
      <c r="C1427" s="1944" t="s">
        <v>114</v>
      </c>
      <c r="D1427" s="1944"/>
      <c r="E1427" s="1813" t="s">
        <v>1868</v>
      </c>
      <c r="F1427" s="1842">
        <v>2200.5</v>
      </c>
      <c r="G1427" s="1842">
        <v>2489</v>
      </c>
      <c r="H1427" s="1842">
        <f>2489+252</f>
        <v>2741</v>
      </c>
      <c r="I1427" s="1842">
        <f>H1427*101.914/100</f>
        <v>2793.4627399999999</v>
      </c>
      <c r="J1427" s="1842">
        <f>I1427*100.954/100</f>
        <v>2820.1123745395998</v>
      </c>
      <c r="K1427" s="322" t="s">
        <v>1869</v>
      </c>
      <c r="L1427" s="95" t="s">
        <v>122</v>
      </c>
      <c r="M1427" s="1114">
        <v>6</v>
      </c>
      <c r="N1427" s="431" t="s">
        <v>1536</v>
      </c>
      <c r="O1427" s="431" t="s">
        <v>1536</v>
      </c>
      <c r="P1427" s="431" t="s">
        <v>1536</v>
      </c>
      <c r="Q1427" s="431" t="s">
        <v>1536</v>
      </c>
    </row>
    <row r="1428" spans="2:17" ht="29.25" customHeight="1" x14ac:dyDescent="0.2">
      <c r="B1428" s="1959"/>
      <c r="C1428" s="1949"/>
      <c r="D1428" s="1949"/>
      <c r="E1428" s="1815"/>
      <c r="F1428" s="1844"/>
      <c r="G1428" s="1844"/>
      <c r="H1428" s="1844"/>
      <c r="I1428" s="1844"/>
      <c r="J1428" s="1844"/>
      <c r="K1428" s="322" t="s">
        <v>1870</v>
      </c>
      <c r="L1428" s="95" t="s">
        <v>122</v>
      </c>
      <c r="M1428" s="1114">
        <v>88</v>
      </c>
      <c r="N1428" s="431" t="s">
        <v>1536</v>
      </c>
      <c r="O1428" s="431" t="s">
        <v>1536</v>
      </c>
      <c r="P1428" s="431" t="s">
        <v>1536</v>
      </c>
      <c r="Q1428" s="431" t="s">
        <v>1536</v>
      </c>
    </row>
    <row r="1429" spans="2:17" ht="29.25" customHeight="1" x14ac:dyDescent="0.2">
      <c r="B1429" s="1115"/>
      <c r="C1429" s="1957" t="s">
        <v>116</v>
      </c>
      <c r="D1429" s="1116"/>
      <c r="E1429" s="1953" t="s">
        <v>1871</v>
      </c>
      <c r="F1429" s="1842">
        <v>2317.1999999999998</v>
      </c>
      <c r="G1429" s="1842">
        <v>2473.6999999999998</v>
      </c>
      <c r="H1429" s="1842">
        <f>2473.7+252</f>
        <v>2725.7</v>
      </c>
      <c r="I1429" s="1842">
        <f>H1429*101.914/100</f>
        <v>2777.8698979999999</v>
      </c>
      <c r="J1429" s="1842">
        <f>I1429*100.954/100</f>
        <v>2804.3707768269196</v>
      </c>
      <c r="K1429" s="231" t="s">
        <v>1872</v>
      </c>
      <c r="L1429" s="1108" t="s">
        <v>16</v>
      </c>
      <c r="M1429" s="1114">
        <v>29.5</v>
      </c>
      <c r="N1429" s="431" t="s">
        <v>1536</v>
      </c>
      <c r="O1429" s="431" t="s">
        <v>1536</v>
      </c>
      <c r="P1429" s="431" t="s">
        <v>1536</v>
      </c>
      <c r="Q1429" s="431" t="s">
        <v>1536</v>
      </c>
    </row>
    <row r="1430" spans="2:17" ht="29.25" customHeight="1" x14ac:dyDescent="0.2">
      <c r="B1430" s="1117"/>
      <c r="C1430" s="1957"/>
      <c r="D1430" s="1118"/>
      <c r="E1430" s="1954"/>
      <c r="F1430" s="1843"/>
      <c r="G1430" s="1843"/>
      <c r="H1430" s="1843"/>
      <c r="I1430" s="1843"/>
      <c r="J1430" s="1843"/>
      <c r="K1430" s="231" t="s">
        <v>1873</v>
      </c>
      <c r="L1430" s="1108" t="s">
        <v>16</v>
      </c>
      <c r="M1430" s="1114">
        <v>70.5</v>
      </c>
      <c r="N1430" s="431" t="s">
        <v>1536</v>
      </c>
      <c r="O1430" s="431" t="s">
        <v>1536</v>
      </c>
      <c r="P1430" s="431" t="s">
        <v>1536</v>
      </c>
      <c r="Q1430" s="431" t="s">
        <v>1536</v>
      </c>
    </row>
    <row r="1431" spans="2:17" ht="75" customHeight="1" x14ac:dyDescent="0.2">
      <c r="B1431" s="1117"/>
      <c r="C1431" s="1957"/>
      <c r="D1431" s="1118"/>
      <c r="E1431" s="1955"/>
      <c r="F1431" s="1843"/>
      <c r="G1431" s="1843"/>
      <c r="H1431" s="1843"/>
      <c r="I1431" s="1843"/>
      <c r="J1431" s="1843"/>
      <c r="K1431" s="231" t="s">
        <v>1874</v>
      </c>
      <c r="L1431" s="1108" t="s">
        <v>16</v>
      </c>
      <c r="M1431" s="1114">
        <v>100</v>
      </c>
      <c r="N1431" s="1114">
        <v>100</v>
      </c>
      <c r="O1431" s="1114">
        <v>100</v>
      </c>
      <c r="P1431" s="1114">
        <v>100</v>
      </c>
      <c r="Q1431" s="1114">
        <v>100</v>
      </c>
    </row>
    <row r="1432" spans="2:17" ht="29.25" customHeight="1" x14ac:dyDescent="0.2">
      <c r="B1432" s="1115"/>
      <c r="C1432" s="1944" t="s">
        <v>119</v>
      </c>
      <c r="D1432" s="1111"/>
      <c r="E1432" s="1813" t="s">
        <v>1875</v>
      </c>
      <c r="F1432" s="1843"/>
      <c r="G1432" s="1843"/>
      <c r="H1432" s="1843"/>
      <c r="I1432" s="1843"/>
      <c r="J1432" s="1843"/>
      <c r="K1432" s="697" t="s">
        <v>1876</v>
      </c>
      <c r="L1432" s="1108" t="s">
        <v>1359</v>
      </c>
      <c r="M1432" s="1119">
        <v>100</v>
      </c>
      <c r="N1432" s="1119">
        <v>100</v>
      </c>
      <c r="O1432" s="1119">
        <v>100</v>
      </c>
      <c r="P1432" s="1119">
        <v>100</v>
      </c>
      <c r="Q1432" s="1119">
        <v>100</v>
      </c>
    </row>
    <row r="1433" spans="2:17" ht="29.25" customHeight="1" x14ac:dyDescent="0.2">
      <c r="B1433" s="1120"/>
      <c r="C1433" s="1945"/>
      <c r="D1433" s="1358"/>
      <c r="E1433" s="1815"/>
      <c r="F1433" s="1844"/>
      <c r="G1433" s="1844"/>
      <c r="H1433" s="1844"/>
      <c r="I1433" s="1844"/>
      <c r="J1433" s="1844"/>
      <c r="K1433" s="322" t="s">
        <v>1877</v>
      </c>
      <c r="L1433" s="1108" t="s">
        <v>16</v>
      </c>
      <c r="M1433" s="1119">
        <v>100</v>
      </c>
      <c r="N1433" s="1119">
        <v>100</v>
      </c>
      <c r="O1433" s="1119">
        <v>100</v>
      </c>
      <c r="P1433" s="1119">
        <v>100</v>
      </c>
      <c r="Q1433" s="1119">
        <v>100</v>
      </c>
    </row>
    <row r="1434" spans="2:17" ht="29.25" customHeight="1" x14ac:dyDescent="0.2">
      <c r="B1434" s="1942"/>
      <c r="C1434" s="1944" t="s">
        <v>124</v>
      </c>
      <c r="D1434" s="1944"/>
      <c r="E1434" s="1953" t="s">
        <v>1878</v>
      </c>
      <c r="F1434" s="1842">
        <v>2102.5</v>
      </c>
      <c r="G1434" s="1842">
        <v>2112.1</v>
      </c>
      <c r="H1434" s="1842">
        <f>2112.1+252</f>
        <v>2364.1</v>
      </c>
      <c r="I1434" s="1842">
        <f>H1434*101.914/100</f>
        <v>2409.3488740000003</v>
      </c>
      <c r="J1434" s="1842">
        <f>I1434*100.954/100</f>
        <v>2432.3340622579599</v>
      </c>
      <c r="K1434" s="697" t="s">
        <v>1879</v>
      </c>
      <c r="L1434" s="1108" t="s">
        <v>16</v>
      </c>
      <c r="M1434" s="1114">
        <v>9.4</v>
      </c>
      <c r="N1434" s="431" t="s">
        <v>1536</v>
      </c>
      <c r="O1434" s="431" t="s">
        <v>1536</v>
      </c>
      <c r="P1434" s="431" t="s">
        <v>1536</v>
      </c>
      <c r="Q1434" s="431" t="s">
        <v>1536</v>
      </c>
    </row>
    <row r="1435" spans="2:17" ht="29.25" customHeight="1" x14ac:dyDescent="0.2">
      <c r="B1435" s="1959"/>
      <c r="C1435" s="1949"/>
      <c r="D1435" s="1949"/>
      <c r="E1435" s="1954"/>
      <c r="F1435" s="1843"/>
      <c r="G1435" s="1843"/>
      <c r="H1435" s="1843"/>
      <c r="I1435" s="1843"/>
      <c r="J1435" s="1843"/>
      <c r="K1435" s="231" t="s">
        <v>1880</v>
      </c>
      <c r="L1435" s="1108" t="s">
        <v>16</v>
      </c>
      <c r="M1435" s="1114">
        <v>90.6</v>
      </c>
      <c r="N1435" s="431" t="s">
        <v>1536</v>
      </c>
      <c r="O1435" s="431" t="s">
        <v>1536</v>
      </c>
      <c r="P1435" s="431" t="s">
        <v>1536</v>
      </c>
      <c r="Q1435" s="431" t="s">
        <v>1536</v>
      </c>
    </row>
    <row r="1436" spans="2:17" ht="67.5" customHeight="1" x14ac:dyDescent="0.2">
      <c r="B1436" s="1959"/>
      <c r="C1436" s="1949"/>
      <c r="D1436" s="1949"/>
      <c r="E1436" s="1954"/>
      <c r="F1436" s="1843"/>
      <c r="G1436" s="1843"/>
      <c r="H1436" s="1843"/>
      <c r="I1436" s="1843"/>
      <c r="J1436" s="1843"/>
      <c r="K1436" s="231" t="s">
        <v>1881</v>
      </c>
      <c r="L1436" s="1108" t="s">
        <v>16</v>
      </c>
      <c r="M1436" s="1114">
        <v>100</v>
      </c>
      <c r="N1436" s="1114">
        <v>100</v>
      </c>
      <c r="O1436" s="1114">
        <v>100</v>
      </c>
      <c r="P1436" s="1114">
        <v>100</v>
      </c>
      <c r="Q1436" s="1114">
        <v>100</v>
      </c>
    </row>
    <row r="1437" spans="2:17" ht="29.25" customHeight="1" x14ac:dyDescent="0.2">
      <c r="B1437" s="1959"/>
      <c r="C1437" s="1949"/>
      <c r="D1437" s="1949"/>
      <c r="E1437" s="2211" t="s">
        <v>1882</v>
      </c>
      <c r="F1437" s="1843"/>
      <c r="G1437" s="1843"/>
      <c r="H1437" s="1843"/>
      <c r="I1437" s="1843"/>
      <c r="J1437" s="1843"/>
      <c r="K1437" s="697" t="s">
        <v>1883</v>
      </c>
      <c r="L1437" s="1108" t="s">
        <v>16</v>
      </c>
      <c r="M1437" s="1119">
        <v>100</v>
      </c>
      <c r="N1437" s="1119">
        <v>100</v>
      </c>
      <c r="O1437" s="1119">
        <v>100</v>
      </c>
      <c r="P1437" s="1119">
        <v>100</v>
      </c>
      <c r="Q1437" s="1119">
        <v>100</v>
      </c>
    </row>
    <row r="1438" spans="2:17" ht="29.25" customHeight="1" x14ac:dyDescent="0.2">
      <c r="B1438" s="1943"/>
      <c r="C1438" s="1945"/>
      <c r="D1438" s="1945"/>
      <c r="E1438" s="2211"/>
      <c r="F1438" s="1844"/>
      <c r="G1438" s="1844"/>
      <c r="H1438" s="1844"/>
      <c r="I1438" s="1844"/>
      <c r="J1438" s="1844"/>
      <c r="K1438" s="697" t="s">
        <v>1884</v>
      </c>
      <c r="L1438" s="1108" t="s">
        <v>16</v>
      </c>
      <c r="M1438" s="1119">
        <v>100</v>
      </c>
      <c r="N1438" s="1119">
        <v>100</v>
      </c>
      <c r="O1438" s="1119">
        <v>100</v>
      </c>
      <c r="P1438" s="1119">
        <v>100</v>
      </c>
      <c r="Q1438" s="1119">
        <v>100</v>
      </c>
    </row>
    <row r="1439" spans="2:17" ht="61.5" customHeight="1" x14ac:dyDescent="0.2">
      <c r="B1439" s="1117"/>
      <c r="C1439" s="1357" t="s">
        <v>128</v>
      </c>
      <c r="D1439" s="1122"/>
      <c r="E1439" s="1123" t="s">
        <v>1885</v>
      </c>
      <c r="F1439" s="1683">
        <v>4320.8</v>
      </c>
      <c r="G1439" s="1683">
        <v>3247.2</v>
      </c>
      <c r="H1439" s="1683">
        <f>3247.2+252</f>
        <v>3499.2</v>
      </c>
      <c r="I1439" s="1683">
        <f>H1439*101.914/100</f>
        <v>3566.1746879999996</v>
      </c>
      <c r="J1439" s="1683">
        <f>I1439*100.954/100</f>
        <v>3600.1959945235194</v>
      </c>
      <c r="K1439" s="231" t="s">
        <v>1886</v>
      </c>
      <c r="L1439" s="1108" t="s">
        <v>115</v>
      </c>
      <c r="M1439" s="1108">
        <v>17961</v>
      </c>
      <c r="N1439" s="431" t="s">
        <v>1536</v>
      </c>
      <c r="O1439" s="431" t="s">
        <v>1536</v>
      </c>
      <c r="P1439" s="431" t="s">
        <v>1536</v>
      </c>
      <c r="Q1439" s="431" t="s">
        <v>1536</v>
      </c>
    </row>
    <row r="1440" spans="2:17" ht="29.25" customHeight="1" x14ac:dyDescent="0.2">
      <c r="B1440" s="1942"/>
      <c r="C1440" s="1944" t="s">
        <v>202</v>
      </c>
      <c r="D1440" s="1944"/>
      <c r="E1440" s="1813" t="s">
        <v>1887</v>
      </c>
      <c r="F1440" s="1842">
        <v>2070.4</v>
      </c>
      <c r="G1440" s="1842">
        <v>2021.5</v>
      </c>
      <c r="H1440" s="1842">
        <f>2021.5+252</f>
        <v>2273.5</v>
      </c>
      <c r="I1440" s="1842">
        <f>H1440*101.914/100</f>
        <v>2317.0147899999997</v>
      </c>
      <c r="J1440" s="1842">
        <f>I1440*100.954/100</f>
        <v>2339.1191110965997</v>
      </c>
      <c r="K1440" s="1845" t="s">
        <v>1888</v>
      </c>
      <c r="L1440" s="1846" t="s">
        <v>1889</v>
      </c>
      <c r="M1440" s="1124" t="s">
        <v>1052</v>
      </c>
      <c r="N1440" s="431" t="s">
        <v>1536</v>
      </c>
      <c r="O1440" s="431" t="s">
        <v>1536</v>
      </c>
      <c r="P1440" s="431" t="s">
        <v>1536</v>
      </c>
      <c r="Q1440" s="431" t="s">
        <v>1536</v>
      </c>
    </row>
    <row r="1441" spans="2:17" ht="29.25" customHeight="1" x14ac:dyDescent="0.2">
      <c r="B1441" s="1959"/>
      <c r="C1441" s="1949"/>
      <c r="D1441" s="1949"/>
      <c r="E1441" s="1814"/>
      <c r="F1441" s="1843"/>
      <c r="G1441" s="1843"/>
      <c r="H1441" s="1843"/>
      <c r="I1441" s="1843"/>
      <c r="J1441" s="1843"/>
      <c r="K1441" s="1845"/>
      <c r="L1441" s="1846"/>
      <c r="M1441" s="1124"/>
      <c r="N1441" s="1119"/>
      <c r="O1441" s="1119"/>
      <c r="P1441" s="1119"/>
      <c r="Q1441" s="1119"/>
    </row>
    <row r="1442" spans="2:17" ht="29.25" customHeight="1" x14ac:dyDescent="0.2">
      <c r="B1442" s="1959"/>
      <c r="C1442" s="1949"/>
      <c r="D1442" s="1949"/>
      <c r="E1442" s="1814"/>
      <c r="F1442" s="1843"/>
      <c r="G1442" s="1843"/>
      <c r="H1442" s="1843"/>
      <c r="I1442" s="1843"/>
      <c r="J1442" s="1843"/>
      <c r="K1442" s="606" t="s">
        <v>1890</v>
      </c>
      <c r="L1442" s="95" t="s">
        <v>122</v>
      </c>
      <c r="M1442" s="1125">
        <v>2</v>
      </c>
      <c r="N1442" s="431" t="s">
        <v>1536</v>
      </c>
      <c r="O1442" s="431" t="s">
        <v>1536</v>
      </c>
      <c r="P1442" s="431" t="s">
        <v>1536</v>
      </c>
      <c r="Q1442" s="431" t="s">
        <v>1536</v>
      </c>
    </row>
    <row r="1443" spans="2:17" ht="29.25" customHeight="1" x14ac:dyDescent="0.2">
      <c r="B1443" s="1943"/>
      <c r="C1443" s="1945"/>
      <c r="D1443" s="1945"/>
      <c r="E1443" s="1815"/>
      <c r="F1443" s="1844"/>
      <c r="G1443" s="1844"/>
      <c r="H1443" s="1844"/>
      <c r="I1443" s="1844"/>
      <c r="J1443" s="1844"/>
      <c r="K1443" s="724" t="s">
        <v>1891</v>
      </c>
      <c r="L1443" s="95" t="s">
        <v>122</v>
      </c>
      <c r="M1443" s="1114">
        <v>1</v>
      </c>
      <c r="N1443" s="431" t="s">
        <v>1536</v>
      </c>
      <c r="O1443" s="431" t="s">
        <v>1536</v>
      </c>
      <c r="P1443" s="431" t="s">
        <v>1536</v>
      </c>
      <c r="Q1443" s="431" t="s">
        <v>1536</v>
      </c>
    </row>
    <row r="1444" spans="2:17" ht="29.25" customHeight="1" x14ac:dyDescent="0.2">
      <c r="B1444" s="1121"/>
      <c r="C1444" s="1944" t="s">
        <v>149</v>
      </c>
      <c r="D1444" s="1126"/>
      <c r="E1444" s="1953" t="s">
        <v>1892</v>
      </c>
      <c r="F1444" s="1842">
        <v>2267.4</v>
      </c>
      <c r="G1444" s="1842">
        <v>2494.5</v>
      </c>
      <c r="H1444" s="1842">
        <f>2494.5+252</f>
        <v>2746.5</v>
      </c>
      <c r="I1444" s="1842">
        <f>H1444*101.914/100</f>
        <v>2799.06801</v>
      </c>
      <c r="J1444" s="1842">
        <f>I1444*100.954/100</f>
        <v>2825.7711188153999</v>
      </c>
      <c r="K1444" s="1127" t="s">
        <v>1893</v>
      </c>
      <c r="L1444" s="1108" t="s">
        <v>115</v>
      </c>
      <c r="M1444" s="1119">
        <v>30</v>
      </c>
      <c r="N1444" s="431" t="s">
        <v>1536</v>
      </c>
      <c r="O1444" s="431" t="s">
        <v>1536</v>
      </c>
      <c r="P1444" s="431" t="s">
        <v>1536</v>
      </c>
      <c r="Q1444" s="431" t="s">
        <v>1536</v>
      </c>
    </row>
    <row r="1445" spans="2:17" ht="29.25" customHeight="1" x14ac:dyDescent="0.2">
      <c r="B1445" s="1121"/>
      <c r="C1445" s="1949"/>
      <c r="D1445" s="1126"/>
      <c r="E1445" s="1954"/>
      <c r="F1445" s="1843"/>
      <c r="G1445" s="1843"/>
      <c r="H1445" s="1843"/>
      <c r="I1445" s="1843"/>
      <c r="J1445" s="1843"/>
      <c r="K1445" s="634" t="s">
        <v>1894</v>
      </c>
      <c r="L1445" s="1108" t="s">
        <v>115</v>
      </c>
      <c r="M1445" s="1119">
        <v>12</v>
      </c>
      <c r="N1445" s="431" t="s">
        <v>1536</v>
      </c>
      <c r="O1445" s="431" t="s">
        <v>1536</v>
      </c>
      <c r="P1445" s="431" t="s">
        <v>1536</v>
      </c>
      <c r="Q1445" s="431" t="s">
        <v>1536</v>
      </c>
    </row>
    <row r="1446" spans="2:17" ht="29.25" customHeight="1" x14ac:dyDescent="0.2">
      <c r="B1446" s="1121"/>
      <c r="C1446" s="1949"/>
      <c r="D1446" s="1126"/>
      <c r="E1446" s="1954"/>
      <c r="F1446" s="1843"/>
      <c r="G1446" s="1843"/>
      <c r="H1446" s="1843"/>
      <c r="I1446" s="1843"/>
      <c r="J1446" s="1843"/>
      <c r="K1446" s="697" t="s">
        <v>1895</v>
      </c>
      <c r="L1446" s="95" t="s">
        <v>122</v>
      </c>
      <c r="M1446" s="1119">
        <v>210</v>
      </c>
      <c r="N1446" s="431" t="s">
        <v>1536</v>
      </c>
      <c r="O1446" s="431" t="s">
        <v>1536</v>
      </c>
      <c r="P1446" s="431" t="s">
        <v>1536</v>
      </c>
      <c r="Q1446" s="431" t="s">
        <v>1536</v>
      </c>
    </row>
    <row r="1447" spans="2:17" ht="29.25" customHeight="1" x14ac:dyDescent="0.2">
      <c r="B1447" s="1121"/>
      <c r="C1447" s="1945"/>
      <c r="D1447" s="1126"/>
      <c r="E1447" s="1955"/>
      <c r="F1447" s="1844"/>
      <c r="G1447" s="1844"/>
      <c r="H1447" s="1844"/>
      <c r="I1447" s="1844"/>
      <c r="J1447" s="1844"/>
      <c r="K1447" s="231" t="s">
        <v>1896</v>
      </c>
      <c r="L1447" s="95" t="s">
        <v>122</v>
      </c>
      <c r="M1447" s="1108">
        <v>210</v>
      </c>
      <c r="N1447" s="431" t="s">
        <v>1536</v>
      </c>
      <c r="O1447" s="431" t="s">
        <v>1536</v>
      </c>
      <c r="P1447" s="431" t="s">
        <v>1536</v>
      </c>
      <c r="Q1447" s="431" t="s">
        <v>1536</v>
      </c>
    </row>
    <row r="1448" spans="2:17" ht="64.5" customHeight="1" x14ac:dyDescent="0.2">
      <c r="B1448" s="1115"/>
      <c r="C1448" s="1112" t="s">
        <v>152</v>
      </c>
      <c r="D1448" s="1111"/>
      <c r="E1448" s="1128" t="s">
        <v>1897</v>
      </c>
      <c r="F1448" s="1682">
        <v>10982.8</v>
      </c>
      <c r="G1448" s="1682">
        <v>2369.3000000000002</v>
      </c>
      <c r="H1448" s="1682">
        <f>2369.3+252</f>
        <v>2621.3000000000002</v>
      </c>
      <c r="I1448" s="1682">
        <f>H1448*101.914/100</f>
        <v>2671.4716820000003</v>
      </c>
      <c r="J1448" s="1682">
        <f>I1448*100.954/100</f>
        <v>2696.9575218462805</v>
      </c>
      <c r="K1448" s="231" t="s">
        <v>1898</v>
      </c>
      <c r="L1448" s="1108" t="s">
        <v>955</v>
      </c>
      <c r="M1448" s="1119">
        <v>79</v>
      </c>
      <c r="N1448" s="431" t="s">
        <v>1536</v>
      </c>
      <c r="O1448" s="431" t="s">
        <v>1536</v>
      </c>
      <c r="P1448" s="431" t="s">
        <v>1536</v>
      </c>
      <c r="Q1448" s="431" t="s">
        <v>1536</v>
      </c>
    </row>
    <row r="1449" spans="2:17" ht="29.25" customHeight="1" x14ac:dyDescent="0.2">
      <c r="B1449" s="1956"/>
      <c r="C1449" s="1957" t="s">
        <v>279</v>
      </c>
      <c r="D1449" s="1958"/>
      <c r="E1449" s="1847" t="s">
        <v>1899</v>
      </c>
      <c r="F1449" s="1842">
        <v>3104.2</v>
      </c>
      <c r="G1449" s="1842">
        <v>3426.8</v>
      </c>
      <c r="H1449" s="1842">
        <f>3426.8+252</f>
        <v>3678.8</v>
      </c>
      <c r="I1449" s="1740">
        <f>H1449*101.914/100</f>
        <v>3749.2122319999999</v>
      </c>
      <c r="J1449" s="1740">
        <f>I1449*100.954/100</f>
        <v>3784.9797166932794</v>
      </c>
      <c r="K1449" s="1847" t="s">
        <v>1900</v>
      </c>
      <c r="L1449" s="1108" t="s">
        <v>16</v>
      </c>
      <c r="M1449" s="1129">
        <v>108.7</v>
      </c>
      <c r="N1449" s="431" t="s">
        <v>1536</v>
      </c>
      <c r="O1449" s="1119">
        <v>100</v>
      </c>
      <c r="P1449" s="1119">
        <v>100</v>
      </c>
      <c r="Q1449" s="1119">
        <v>100</v>
      </c>
    </row>
    <row r="1450" spans="2:17" ht="29.25" customHeight="1" x14ac:dyDescent="0.2">
      <c r="B1450" s="1956"/>
      <c r="C1450" s="1957"/>
      <c r="D1450" s="1958"/>
      <c r="E1450" s="1847"/>
      <c r="F1450" s="1843"/>
      <c r="G1450" s="1843"/>
      <c r="H1450" s="1843"/>
      <c r="I1450" s="1740"/>
      <c r="J1450" s="1740"/>
      <c r="K1450" s="1847"/>
      <c r="L1450" s="1108"/>
      <c r="M1450" s="1129"/>
      <c r="N1450" s="1130"/>
      <c r="O1450" s="1119"/>
      <c r="P1450" s="1119"/>
      <c r="Q1450" s="1119"/>
    </row>
    <row r="1451" spans="2:17" ht="29.25" customHeight="1" x14ac:dyDescent="0.2">
      <c r="B1451" s="1956"/>
      <c r="C1451" s="1957"/>
      <c r="D1451" s="1958"/>
      <c r="E1451" s="1847"/>
      <c r="F1451" s="1844"/>
      <c r="G1451" s="1844"/>
      <c r="H1451" s="1844"/>
      <c r="I1451" s="1740"/>
      <c r="J1451" s="1740"/>
      <c r="K1451" s="697" t="s">
        <v>1901</v>
      </c>
      <c r="L1451" s="1108" t="s">
        <v>16</v>
      </c>
      <c r="M1451" s="1119">
        <v>100</v>
      </c>
      <c r="N1451" s="431" t="s">
        <v>1536</v>
      </c>
      <c r="O1451" s="1119">
        <v>100</v>
      </c>
      <c r="P1451" s="1119">
        <v>100</v>
      </c>
      <c r="Q1451" s="1119">
        <v>100</v>
      </c>
    </row>
    <row r="1452" spans="2:17" ht="29.25" customHeight="1" x14ac:dyDescent="0.2">
      <c r="B1452" s="1942"/>
      <c r="C1452" s="1944" t="s">
        <v>284</v>
      </c>
      <c r="D1452" s="1944"/>
      <c r="E1452" s="697" t="s">
        <v>1902</v>
      </c>
      <c r="F1452" s="1842">
        <v>1942</v>
      </c>
      <c r="G1452" s="1842">
        <v>2077.1</v>
      </c>
      <c r="H1452" s="1842">
        <f>2077.1+252</f>
        <v>2329.1</v>
      </c>
      <c r="I1452" s="1842">
        <f>H1452*101.914/100</f>
        <v>2373.6789739999999</v>
      </c>
      <c r="J1452" s="1842">
        <f>I1452*100.954/100</f>
        <v>2396.3238714119598</v>
      </c>
      <c r="K1452" s="322" t="s">
        <v>1903</v>
      </c>
      <c r="L1452" s="1108" t="s">
        <v>16</v>
      </c>
      <c r="M1452" s="1108">
        <v>100</v>
      </c>
      <c r="N1452" s="1108">
        <v>100</v>
      </c>
      <c r="O1452" s="1108">
        <v>100</v>
      </c>
      <c r="P1452" s="1108">
        <v>100</v>
      </c>
      <c r="Q1452" s="1108">
        <v>100</v>
      </c>
    </row>
    <row r="1453" spans="2:17" ht="57" customHeight="1" x14ac:dyDescent="0.2">
      <c r="B1453" s="1943"/>
      <c r="C1453" s="1945"/>
      <c r="D1453" s="1945"/>
      <c r="E1453" s="697" t="s">
        <v>1904</v>
      </c>
      <c r="F1453" s="1844"/>
      <c r="G1453" s="1844"/>
      <c r="H1453" s="1844"/>
      <c r="I1453" s="1844"/>
      <c r="J1453" s="1844"/>
      <c r="K1453" s="1131" t="s">
        <v>1905</v>
      </c>
      <c r="L1453" s="1108" t="s">
        <v>16</v>
      </c>
      <c r="M1453" s="1108">
        <v>100</v>
      </c>
      <c r="N1453" s="1108">
        <v>100</v>
      </c>
      <c r="O1453" s="1108">
        <v>100</v>
      </c>
      <c r="P1453" s="1108">
        <v>100</v>
      </c>
      <c r="Q1453" s="1108">
        <v>100</v>
      </c>
    </row>
    <row r="1454" spans="2:17" ht="29.25" customHeight="1" x14ac:dyDescent="0.2">
      <c r="B1454" s="1110"/>
      <c r="C1454" s="1132" t="s">
        <v>286</v>
      </c>
      <c r="D1454" s="1132"/>
      <c r="E1454" s="562" t="s">
        <v>1906</v>
      </c>
      <c r="F1454" s="1682">
        <v>455.4</v>
      </c>
      <c r="G1454" s="1682">
        <v>572.79999999999995</v>
      </c>
      <c r="H1454" s="1682">
        <f>572.8+252</f>
        <v>824.8</v>
      </c>
      <c r="I1454" s="1682">
        <f>H1454*101.914/100</f>
        <v>840.58667199999991</v>
      </c>
      <c r="J1454" s="1682">
        <f>I1454*100.954/100</f>
        <v>848.60586885087992</v>
      </c>
      <c r="K1454" s="231" t="s">
        <v>1907</v>
      </c>
      <c r="L1454" s="1108" t="s">
        <v>16</v>
      </c>
      <c r="M1454" s="1119">
        <v>100</v>
      </c>
      <c r="N1454" s="1119">
        <v>100</v>
      </c>
      <c r="O1454" s="1119">
        <v>100</v>
      </c>
      <c r="P1454" s="1119">
        <v>100</v>
      </c>
      <c r="Q1454" s="1119">
        <v>100</v>
      </c>
    </row>
    <row r="1455" spans="2:17" ht="29.25" customHeight="1" x14ac:dyDescent="0.2">
      <c r="B1455" s="1946"/>
      <c r="C1455" s="1944" t="s">
        <v>291</v>
      </c>
      <c r="D1455" s="1950"/>
      <c r="E1455" s="1847" t="s">
        <v>1908</v>
      </c>
      <c r="F1455" s="1842">
        <v>16783.3</v>
      </c>
      <c r="G1455" s="1842">
        <v>21783.1</v>
      </c>
      <c r="H1455" s="1842">
        <f>21783.1+129.3+3308</f>
        <v>25220.399999999998</v>
      </c>
      <c r="I1455" s="1740">
        <f>H1455*101.914/100</f>
        <v>25703.118455999997</v>
      </c>
      <c r="J1455" s="1740">
        <f>I1455*100.954/100</f>
        <v>25948.326206070236</v>
      </c>
      <c r="K1455" s="322" t="s">
        <v>1909</v>
      </c>
      <c r="L1455" s="1108" t="s">
        <v>16</v>
      </c>
      <c r="M1455" s="1119">
        <v>100</v>
      </c>
      <c r="N1455" s="1119">
        <v>100</v>
      </c>
      <c r="O1455" s="1119">
        <v>100</v>
      </c>
      <c r="P1455" s="1119">
        <v>100</v>
      </c>
      <c r="Q1455" s="1119">
        <v>100</v>
      </c>
    </row>
    <row r="1456" spans="2:17" ht="29.25" customHeight="1" x14ac:dyDescent="0.2">
      <c r="B1456" s="1947"/>
      <c r="C1456" s="1949"/>
      <c r="D1456" s="1951"/>
      <c r="E1456" s="1847"/>
      <c r="F1456" s="1843"/>
      <c r="G1456" s="1843"/>
      <c r="H1456" s="1843"/>
      <c r="I1456" s="1740"/>
      <c r="J1456" s="1740"/>
      <c r="K1456" s="697" t="s">
        <v>1910</v>
      </c>
      <c r="L1456" s="1108" t="s">
        <v>955</v>
      </c>
      <c r="M1456" s="1108">
        <v>100</v>
      </c>
      <c r="N1456" s="1108">
        <v>100</v>
      </c>
      <c r="O1456" s="1108">
        <v>100</v>
      </c>
      <c r="P1456" s="1108">
        <v>100</v>
      </c>
      <c r="Q1456" s="1108">
        <v>100</v>
      </c>
    </row>
    <row r="1457" spans="2:17" ht="29.25" customHeight="1" x14ac:dyDescent="0.2">
      <c r="B1457" s="1948"/>
      <c r="C1457" s="1945"/>
      <c r="D1457" s="1952"/>
      <c r="E1457" s="1847"/>
      <c r="F1457" s="1844"/>
      <c r="G1457" s="1844"/>
      <c r="H1457" s="1844"/>
      <c r="I1457" s="1740"/>
      <c r="J1457" s="1740"/>
      <c r="K1457" s="1133" t="s">
        <v>1911</v>
      </c>
      <c r="L1457" s="1108" t="s">
        <v>955</v>
      </c>
      <c r="M1457" s="1114">
        <v>100</v>
      </c>
      <c r="N1457" s="1114">
        <v>100</v>
      </c>
      <c r="O1457" s="1114">
        <v>100</v>
      </c>
      <c r="P1457" s="1114">
        <v>100</v>
      </c>
      <c r="Q1457" s="1114">
        <v>100</v>
      </c>
    </row>
    <row r="1458" spans="2:17" ht="29.25" customHeight="1" x14ac:dyDescent="0.2">
      <c r="B1458" s="1719" t="s">
        <v>3104</v>
      </c>
      <c r="C1458" s="1720"/>
      <c r="D1458" s="1720"/>
      <c r="E1458" s="1721"/>
      <c r="F1458" s="1572">
        <f>F1419+F1426</f>
        <v>60899.6</v>
      </c>
      <c r="G1458" s="1572">
        <f t="shared" ref="G1458:H1458" si="80">G1419+G1426</f>
        <v>58331.099999999991</v>
      </c>
      <c r="H1458" s="1572">
        <f t="shared" si="80"/>
        <v>68222.599999999991</v>
      </c>
      <c r="I1458" s="1572">
        <f>I1419+I1426</f>
        <v>69528.380563999992</v>
      </c>
      <c r="J1458" s="1572">
        <f>J1419+J1426</f>
        <v>70191.68131458055</v>
      </c>
      <c r="K1458" s="1345"/>
      <c r="L1458" s="1829"/>
      <c r="M1458" s="1829"/>
      <c r="N1458" s="1829"/>
      <c r="O1458" s="1829"/>
      <c r="P1458" s="1829"/>
      <c r="Q1458" s="1830"/>
    </row>
    <row r="1459" spans="2:17" ht="29.25" customHeight="1" x14ac:dyDescent="0.2">
      <c r="B1459" s="1832" t="s">
        <v>1912</v>
      </c>
      <c r="C1459" s="1744"/>
      <c r="D1459" s="1744"/>
      <c r="E1459" s="1744"/>
      <c r="F1459" s="1744"/>
      <c r="G1459" s="1744"/>
      <c r="H1459" s="1744"/>
      <c r="I1459" s="1744"/>
      <c r="J1459" s="1744"/>
      <c r="K1459" s="1744"/>
      <c r="L1459" s="1744"/>
      <c r="M1459" s="1744"/>
      <c r="N1459" s="1744"/>
      <c r="O1459" s="1744"/>
      <c r="P1459" s="1744"/>
      <c r="Q1459" s="1848"/>
    </row>
    <row r="1460" spans="2:17" ht="29.25" customHeight="1" x14ac:dyDescent="0.2">
      <c r="B1460" s="1936" t="s">
        <v>111</v>
      </c>
      <c r="C1460" s="1937"/>
      <c r="D1460" s="1938"/>
      <c r="E1460" s="1134" t="s">
        <v>1913</v>
      </c>
      <c r="F1460" s="1939">
        <f>F1462+F1463+F1464+F1465+F1466+F1467+F1468+F1469</f>
        <v>26969.3</v>
      </c>
      <c r="G1460" s="1939">
        <f>G1462+G1463+G1464+G1465+G1466+G1467+G1468+G1469</f>
        <v>17259.2</v>
      </c>
      <c r="H1460" s="1940">
        <f>H1462+H1464+H1465+H1466+H1467+H1468</f>
        <v>17259.2</v>
      </c>
      <c r="I1460" s="1940">
        <f>I1462+I1464+I1465+I1466+I1467+I1468</f>
        <v>21869.9</v>
      </c>
      <c r="J1460" s="1940">
        <f>J1462+J1464+J1465+J1466+J1467+J1468</f>
        <v>22078.6</v>
      </c>
      <c r="K1460" s="1849" t="s">
        <v>1832</v>
      </c>
      <c r="L1460" s="1756" t="s">
        <v>16</v>
      </c>
      <c r="M1460" s="1135"/>
      <c r="N1460" s="1135"/>
      <c r="O1460" s="1135"/>
      <c r="P1460" s="528"/>
      <c r="Q1460" s="1136"/>
    </row>
    <row r="1461" spans="2:17" ht="29.25" customHeight="1" x14ac:dyDescent="0.2">
      <c r="B1461" s="1936"/>
      <c r="C1461" s="1937"/>
      <c r="D1461" s="1938"/>
      <c r="E1461" s="1137" t="s">
        <v>1914</v>
      </c>
      <c r="F1461" s="1890"/>
      <c r="G1461" s="1890"/>
      <c r="H1461" s="1941"/>
      <c r="I1461" s="1941"/>
      <c r="J1461" s="1941"/>
      <c r="K1461" s="1849"/>
      <c r="L1461" s="1756"/>
      <c r="M1461" s="528"/>
      <c r="N1461" s="1135"/>
      <c r="O1461" s="1135"/>
      <c r="P1461" s="528"/>
      <c r="Q1461" s="1136"/>
    </row>
    <row r="1462" spans="2:17" ht="29.25" customHeight="1" x14ac:dyDescent="0.2">
      <c r="B1462" s="1470"/>
      <c r="C1462" s="87" t="s">
        <v>114</v>
      </c>
      <c r="D1462" s="87"/>
      <c r="E1462" s="641" t="s">
        <v>17</v>
      </c>
      <c r="F1462" s="1537">
        <v>8225.6</v>
      </c>
      <c r="G1462" s="1537">
        <v>5264</v>
      </c>
      <c r="H1462" s="1537">
        <v>5264</v>
      </c>
      <c r="I1462" s="1537">
        <v>6670.3</v>
      </c>
      <c r="J1462" s="1537">
        <v>6734</v>
      </c>
      <c r="K1462" s="528" t="s">
        <v>692</v>
      </c>
      <c r="L1462" s="88" t="s">
        <v>19</v>
      </c>
      <c r="M1462" s="528"/>
      <c r="N1462" s="528"/>
      <c r="O1462" s="528"/>
      <c r="P1462" s="528"/>
      <c r="Q1462" s="1136"/>
    </row>
    <row r="1463" spans="2:17" ht="29.25" customHeight="1" x14ac:dyDescent="0.2">
      <c r="B1463" s="1470"/>
      <c r="C1463" s="87" t="s">
        <v>116</v>
      </c>
      <c r="D1463" s="87"/>
      <c r="E1463" s="473" t="s">
        <v>1833</v>
      </c>
      <c r="F1463" s="1537">
        <v>0</v>
      </c>
      <c r="G1463" s="1537">
        <v>0</v>
      </c>
      <c r="H1463" s="1537">
        <v>0</v>
      </c>
      <c r="I1463" s="1537">
        <v>0</v>
      </c>
      <c r="J1463" s="1537">
        <v>0</v>
      </c>
      <c r="K1463" s="528"/>
      <c r="L1463" s="88"/>
      <c r="M1463" s="528"/>
      <c r="N1463" s="528"/>
      <c r="O1463" s="528"/>
      <c r="P1463" s="528"/>
      <c r="Q1463" s="1136"/>
    </row>
    <row r="1464" spans="2:17" ht="29.25" customHeight="1" x14ac:dyDescent="0.2">
      <c r="B1464" s="1470"/>
      <c r="C1464" s="87" t="s">
        <v>119</v>
      </c>
      <c r="D1464" s="87"/>
      <c r="E1464" s="600" t="s">
        <v>23</v>
      </c>
      <c r="F1464" s="1537">
        <v>2912.7</v>
      </c>
      <c r="G1464" s="1537">
        <v>1864</v>
      </c>
      <c r="H1464" s="1537">
        <v>1864</v>
      </c>
      <c r="I1464" s="1537">
        <v>2361.9</v>
      </c>
      <c r="J1464" s="1537">
        <v>2384.5</v>
      </c>
      <c r="K1464" s="697" t="s">
        <v>1915</v>
      </c>
      <c r="L1464" s="88" t="s">
        <v>16</v>
      </c>
      <c r="M1464" s="528"/>
      <c r="N1464" s="528"/>
      <c r="O1464" s="528"/>
      <c r="P1464" s="528"/>
      <c r="Q1464" s="1136"/>
    </row>
    <row r="1465" spans="2:17" ht="29.25" customHeight="1" x14ac:dyDescent="0.2">
      <c r="B1465" s="1470"/>
      <c r="C1465" s="87" t="s">
        <v>124</v>
      </c>
      <c r="D1465" s="87"/>
      <c r="E1465" s="600" t="s">
        <v>25</v>
      </c>
      <c r="F1465" s="1537">
        <v>2670</v>
      </c>
      <c r="G1465" s="1537">
        <v>1708.7</v>
      </c>
      <c r="H1465" s="1537">
        <v>1708.7</v>
      </c>
      <c r="I1465" s="1537">
        <v>2165.1</v>
      </c>
      <c r="J1465" s="1537">
        <v>2185.8000000000002</v>
      </c>
      <c r="K1465" s="697" t="s">
        <v>1837</v>
      </c>
      <c r="L1465" s="88" t="s">
        <v>262</v>
      </c>
      <c r="M1465" s="528"/>
      <c r="N1465" s="528"/>
      <c r="O1465" s="528"/>
      <c r="P1465" s="528"/>
      <c r="Q1465" s="1136"/>
    </row>
    <row r="1466" spans="2:17" ht="29.25" customHeight="1" x14ac:dyDescent="0.2">
      <c r="B1466" s="1470"/>
      <c r="C1466" s="87" t="s">
        <v>128</v>
      </c>
      <c r="D1466" s="87"/>
      <c r="E1466" s="1138" t="s">
        <v>1652</v>
      </c>
      <c r="F1466" s="1537">
        <v>485.4</v>
      </c>
      <c r="G1466" s="1537">
        <v>310.7</v>
      </c>
      <c r="H1466" s="1537">
        <v>310.7</v>
      </c>
      <c r="I1466" s="1591">
        <v>393.7</v>
      </c>
      <c r="J1466" s="1537">
        <v>397.4</v>
      </c>
      <c r="K1466" s="697" t="s">
        <v>1916</v>
      </c>
      <c r="L1466" s="88" t="s">
        <v>262</v>
      </c>
      <c r="M1466" s="528"/>
      <c r="N1466" s="528"/>
      <c r="O1466" s="528"/>
      <c r="P1466" s="528"/>
      <c r="Q1466" s="1136"/>
    </row>
    <row r="1467" spans="2:17" ht="29.25" customHeight="1" x14ac:dyDescent="0.2">
      <c r="B1467" s="1470"/>
      <c r="C1467" s="87" t="s">
        <v>202</v>
      </c>
      <c r="D1467" s="87"/>
      <c r="E1467" s="563" t="s">
        <v>1917</v>
      </c>
      <c r="F1467" s="1537">
        <v>3937.6</v>
      </c>
      <c r="G1467" s="1537">
        <v>2519.8000000000002</v>
      </c>
      <c r="H1467" s="1537">
        <v>2519.8000000000002</v>
      </c>
      <c r="I1467" s="1591">
        <v>3193</v>
      </c>
      <c r="J1467" s="1537">
        <v>3223.4</v>
      </c>
      <c r="K1467" s="697" t="s">
        <v>1866</v>
      </c>
      <c r="L1467" s="88">
        <v>10</v>
      </c>
      <c r="M1467" s="88"/>
      <c r="N1467" s="88"/>
      <c r="O1467" s="88"/>
      <c r="P1467" s="88"/>
      <c r="Q1467" s="1139"/>
    </row>
    <row r="1468" spans="2:17" ht="29.25" customHeight="1" x14ac:dyDescent="0.2">
      <c r="B1468" s="1470"/>
      <c r="C1468" s="87" t="s">
        <v>149</v>
      </c>
      <c r="D1468" s="87"/>
      <c r="E1468" s="528" t="s">
        <v>1918</v>
      </c>
      <c r="F1468" s="1537">
        <v>8738</v>
      </c>
      <c r="G1468" s="1537">
        <v>5592</v>
      </c>
      <c r="H1468" s="1537">
        <v>5592</v>
      </c>
      <c r="I1468" s="1537">
        <v>7085.9</v>
      </c>
      <c r="J1468" s="1537">
        <v>7153.5</v>
      </c>
      <c r="K1468" s="528"/>
      <c r="L1468" s="88">
        <v>40</v>
      </c>
      <c r="M1468" s="741"/>
      <c r="N1468" s="741"/>
      <c r="O1468" s="741"/>
      <c r="P1468" s="88"/>
      <c r="Q1468" s="1139"/>
    </row>
    <row r="1469" spans="2:17" ht="29.25" customHeight="1" x14ac:dyDescent="0.2">
      <c r="B1469" s="1470"/>
      <c r="C1469" s="87" t="s">
        <v>152</v>
      </c>
      <c r="D1469" s="87"/>
      <c r="E1469" s="624" t="s">
        <v>1919</v>
      </c>
      <c r="F1469" s="1537">
        <v>0</v>
      </c>
      <c r="G1469" s="1537">
        <v>0</v>
      </c>
      <c r="H1469" s="1537">
        <v>0</v>
      </c>
      <c r="I1469" s="1537">
        <v>0</v>
      </c>
      <c r="J1469" s="1537">
        <v>0</v>
      </c>
      <c r="K1469" s="528"/>
      <c r="L1469" s="88"/>
      <c r="M1469" s="741"/>
      <c r="N1469" s="741"/>
      <c r="O1469" s="741"/>
      <c r="P1469" s="88"/>
      <c r="Q1469" s="1139"/>
    </row>
    <row r="1470" spans="2:17" ht="29.25" customHeight="1" x14ac:dyDescent="0.2">
      <c r="B1470" s="1471" t="s">
        <v>131</v>
      </c>
      <c r="C1470" s="87"/>
      <c r="D1470" s="87"/>
      <c r="E1470" s="836" t="s">
        <v>2958</v>
      </c>
      <c r="F1470" s="1584">
        <v>0</v>
      </c>
      <c r="G1470" s="1584">
        <f>G1471</f>
        <v>4200</v>
      </c>
      <c r="H1470" s="1584">
        <f>H1471</f>
        <v>4200</v>
      </c>
      <c r="I1470" s="1584">
        <v>0</v>
      </c>
      <c r="J1470" s="1584">
        <v>0</v>
      </c>
      <c r="K1470" s="528"/>
      <c r="L1470" s="88"/>
      <c r="M1470" s="741"/>
      <c r="N1470" s="741"/>
      <c r="O1470" s="528"/>
      <c r="P1470" s="528"/>
      <c r="Q1470" s="1136"/>
    </row>
    <row r="1471" spans="2:17" ht="29.25" customHeight="1" x14ac:dyDescent="0.2">
      <c r="B1471" s="1470"/>
      <c r="C1471" s="87" t="s">
        <v>114</v>
      </c>
      <c r="D1471" s="87"/>
      <c r="E1471" s="1140" t="s">
        <v>2959</v>
      </c>
      <c r="F1471" s="1537">
        <v>0</v>
      </c>
      <c r="G1471" s="1537">
        <v>4200</v>
      </c>
      <c r="H1471" s="1537">
        <v>4200</v>
      </c>
      <c r="I1471" s="1537">
        <v>0</v>
      </c>
      <c r="J1471" s="1537">
        <v>0</v>
      </c>
      <c r="K1471" s="528"/>
      <c r="L1471" s="88"/>
      <c r="M1471" s="741"/>
      <c r="N1471" s="741"/>
      <c r="O1471" s="528"/>
      <c r="P1471" s="528"/>
      <c r="Q1471" s="1136"/>
    </row>
    <row r="1472" spans="2:17" ht="29.25" customHeight="1" x14ac:dyDescent="0.2">
      <c r="B1472" s="1471" t="s">
        <v>2960</v>
      </c>
      <c r="C1472" s="83" t="s">
        <v>1358</v>
      </c>
      <c r="D1472" s="87"/>
      <c r="E1472" s="1140" t="s">
        <v>2961</v>
      </c>
      <c r="F1472" s="1584">
        <v>0</v>
      </c>
      <c r="G1472" s="1584">
        <v>0</v>
      </c>
      <c r="H1472" s="1584">
        <v>1400460</v>
      </c>
      <c r="I1472" s="1584">
        <v>0</v>
      </c>
      <c r="J1472" s="1584">
        <v>0</v>
      </c>
      <c r="K1472" s="528"/>
      <c r="L1472" s="88"/>
      <c r="M1472" s="741"/>
      <c r="N1472" s="741"/>
      <c r="O1472" s="528"/>
      <c r="P1472" s="528"/>
      <c r="Q1472" s="1136"/>
    </row>
    <row r="1473" spans="2:17" ht="29.25" customHeight="1" x14ac:dyDescent="0.2">
      <c r="B1473" s="1719" t="s">
        <v>3104</v>
      </c>
      <c r="C1473" s="1720"/>
      <c r="D1473" s="1720"/>
      <c r="E1473" s="1721"/>
      <c r="F1473" s="1572">
        <f t="shared" ref="F1473" si="81">F1460+F1470+F1472</f>
        <v>26969.3</v>
      </c>
      <c r="G1473" s="1572">
        <f>G1460+G1470+G1472</f>
        <v>21459.200000000001</v>
      </c>
      <c r="H1473" s="1572">
        <f>H1460+H1470+H1472</f>
        <v>1421919.2</v>
      </c>
      <c r="I1473" s="1572">
        <f>I1471+I1470+I1460</f>
        <v>21869.9</v>
      </c>
      <c r="J1473" s="1572">
        <f>J1471+J1470+J1460</f>
        <v>22078.6</v>
      </c>
      <c r="K1473" s="704"/>
      <c r="L1473" s="1829"/>
      <c r="M1473" s="1829"/>
      <c r="N1473" s="1829"/>
      <c r="O1473" s="1829"/>
      <c r="P1473" s="1829"/>
      <c r="Q1473" s="1830"/>
    </row>
    <row r="1474" spans="2:17" ht="29.25" customHeight="1" x14ac:dyDescent="0.2">
      <c r="B1474" s="1850" t="s">
        <v>1920</v>
      </c>
      <c r="C1474" s="1851"/>
      <c r="D1474" s="1851"/>
      <c r="E1474" s="1851"/>
      <c r="F1474" s="1851"/>
      <c r="G1474" s="1851"/>
      <c r="H1474" s="1851"/>
      <c r="I1474" s="1851"/>
      <c r="J1474" s="1851"/>
      <c r="K1474" s="1851"/>
      <c r="L1474" s="1851"/>
      <c r="M1474" s="1851"/>
      <c r="N1474" s="1851"/>
      <c r="O1474" s="1851"/>
      <c r="P1474" s="1851"/>
      <c r="Q1474" s="1852"/>
    </row>
    <row r="1475" spans="2:17" ht="60" customHeight="1" x14ac:dyDescent="0.2">
      <c r="B1475" s="954">
        <v>1</v>
      </c>
      <c r="C1475" s="205"/>
      <c r="D1475" s="206"/>
      <c r="E1475" s="135" t="s">
        <v>2542</v>
      </c>
      <c r="F1475" s="1588">
        <f>SUM(F1476+F1477+F1478+F1479+F1480+F1481+F1482+F1483)</f>
        <v>177312.5</v>
      </c>
      <c r="G1475" s="1588">
        <f>SUM(G1476+G1477+G1478+G1479+G1480+G1481+G1482+G1483)</f>
        <v>207705.8</v>
      </c>
      <c r="H1475" s="1588">
        <f t="shared" ref="H1475:J1475" si="82">SUM(H1476+H1477+H1478+H1479+H1480+H1481+H1482+H1483)</f>
        <v>165291.4</v>
      </c>
      <c r="I1475" s="1588">
        <f t="shared" si="82"/>
        <v>168580.4</v>
      </c>
      <c r="J1475" s="1588">
        <f t="shared" si="82"/>
        <v>169966</v>
      </c>
      <c r="K1475" s="1359" t="s">
        <v>2891</v>
      </c>
      <c r="L1475" s="521" t="s">
        <v>16</v>
      </c>
      <c r="M1475" s="95">
        <v>100</v>
      </c>
      <c r="N1475" s="95">
        <v>100</v>
      </c>
      <c r="O1475" s="95">
        <v>100</v>
      </c>
      <c r="P1475" s="95">
        <v>100</v>
      </c>
      <c r="Q1475" s="1141">
        <v>100</v>
      </c>
    </row>
    <row r="1476" spans="2:17" ht="29.25" customHeight="1" x14ac:dyDescent="0.2">
      <c r="B1476" s="954"/>
      <c r="C1476" s="603">
        <v>1</v>
      </c>
      <c r="D1476" s="205"/>
      <c r="E1476" s="641" t="s">
        <v>17</v>
      </c>
      <c r="F1476" s="1538"/>
      <c r="G1476" s="1538"/>
      <c r="H1476" s="1538"/>
      <c r="I1476" s="1538"/>
      <c r="J1476" s="1538"/>
      <c r="K1476" s="1360" t="s">
        <v>1921</v>
      </c>
      <c r="L1476" s="95" t="s">
        <v>19</v>
      </c>
      <c r="M1476" s="95">
        <v>18</v>
      </c>
      <c r="N1476" s="95">
        <v>19</v>
      </c>
      <c r="O1476" s="95">
        <v>20</v>
      </c>
      <c r="P1476" s="95">
        <v>22</v>
      </c>
      <c r="Q1476" s="1141">
        <v>22</v>
      </c>
    </row>
    <row r="1477" spans="2:17" ht="29.25" customHeight="1" x14ac:dyDescent="0.2">
      <c r="B1477" s="954"/>
      <c r="C1477" s="603">
        <v>2</v>
      </c>
      <c r="D1477" s="205"/>
      <c r="E1477" s="473" t="s">
        <v>1833</v>
      </c>
      <c r="F1477" s="1538"/>
      <c r="G1477" s="1538">
        <v>207705.8</v>
      </c>
      <c r="H1477" s="1538">
        <v>159537.79999999999</v>
      </c>
      <c r="I1477" s="1538">
        <v>159537.79999999999</v>
      </c>
      <c r="J1477" s="1538">
        <v>159537.79999999999</v>
      </c>
      <c r="K1477" s="1360" t="s">
        <v>419</v>
      </c>
      <c r="L1477" s="95" t="s">
        <v>16</v>
      </c>
      <c r="M1477" s="95">
        <v>97</v>
      </c>
      <c r="N1477" s="95">
        <v>98</v>
      </c>
      <c r="O1477" s="95">
        <v>99</v>
      </c>
      <c r="P1477" s="95">
        <v>99</v>
      </c>
      <c r="Q1477" s="1141">
        <v>100</v>
      </c>
    </row>
    <row r="1478" spans="2:17" ht="29.25" customHeight="1" x14ac:dyDescent="0.2">
      <c r="B1478" s="954"/>
      <c r="C1478" s="603">
        <v>3</v>
      </c>
      <c r="D1478" s="205"/>
      <c r="E1478" s="600" t="s">
        <v>23</v>
      </c>
      <c r="F1478" s="1538"/>
      <c r="G1478" s="1538"/>
      <c r="H1478" s="1538"/>
      <c r="I1478" s="1538"/>
      <c r="J1478" s="1538"/>
      <c r="K1478" s="1360" t="s">
        <v>1915</v>
      </c>
      <c r="L1478" s="95" t="s">
        <v>16</v>
      </c>
      <c r="M1478" s="95">
        <v>90</v>
      </c>
      <c r="N1478" s="95">
        <v>90</v>
      </c>
      <c r="O1478" s="95">
        <v>90</v>
      </c>
      <c r="P1478" s="95">
        <v>92</v>
      </c>
      <c r="Q1478" s="1141">
        <v>92</v>
      </c>
    </row>
    <row r="1479" spans="2:17" ht="29.25" customHeight="1" x14ac:dyDescent="0.2">
      <c r="B1479" s="954"/>
      <c r="C1479" s="603">
        <v>4</v>
      </c>
      <c r="D1479" s="205"/>
      <c r="E1479" s="600" t="s">
        <v>25</v>
      </c>
      <c r="F1479" s="1538"/>
      <c r="G1479" s="1538"/>
      <c r="H1479" s="1538"/>
      <c r="I1479" s="1538"/>
      <c r="J1479" s="1538"/>
      <c r="K1479" s="1360" t="s">
        <v>1837</v>
      </c>
      <c r="L1479" s="95" t="s">
        <v>122</v>
      </c>
      <c r="M1479" s="95">
        <v>10</v>
      </c>
      <c r="N1479" s="95">
        <v>10</v>
      </c>
      <c r="O1479" s="95">
        <v>10</v>
      </c>
      <c r="P1479" s="95">
        <v>10</v>
      </c>
      <c r="Q1479" s="1141">
        <v>10</v>
      </c>
    </row>
    <row r="1480" spans="2:17" ht="29.25" customHeight="1" x14ac:dyDescent="0.2">
      <c r="B1480" s="954"/>
      <c r="C1480" s="603">
        <v>5</v>
      </c>
      <c r="D1480" s="205"/>
      <c r="E1480" s="1138" t="s">
        <v>1652</v>
      </c>
      <c r="F1480" s="1538"/>
      <c r="G1480" s="1538"/>
      <c r="H1480" s="1538"/>
      <c r="I1480" s="1538"/>
      <c r="J1480" s="1538"/>
      <c r="K1480" s="1360" t="s">
        <v>1916</v>
      </c>
      <c r="L1480" s="95" t="s">
        <v>122</v>
      </c>
      <c r="M1480" s="95">
        <v>2</v>
      </c>
      <c r="N1480" s="95">
        <v>4</v>
      </c>
      <c r="O1480" s="95">
        <v>5</v>
      </c>
      <c r="P1480" s="95">
        <v>6</v>
      </c>
      <c r="Q1480" s="1141">
        <v>8</v>
      </c>
    </row>
    <row r="1481" spans="2:17" ht="29.25" customHeight="1" x14ac:dyDescent="0.2">
      <c r="B1481" s="954"/>
      <c r="C1481" s="603">
        <v>6</v>
      </c>
      <c r="D1481" s="205"/>
      <c r="E1481" s="563" t="s">
        <v>1917</v>
      </c>
      <c r="F1481" s="1538">
        <v>177312.5</v>
      </c>
      <c r="G1481" s="1538"/>
      <c r="H1481" s="1538">
        <v>5753.6</v>
      </c>
      <c r="I1481" s="1538">
        <v>9042.5999999999985</v>
      </c>
      <c r="J1481" s="1538">
        <v>10428.199999999999</v>
      </c>
      <c r="K1481" s="1360" t="s">
        <v>1838</v>
      </c>
      <c r="L1481" s="95" t="s">
        <v>16</v>
      </c>
      <c r="M1481" s="95">
        <v>1.3</v>
      </c>
      <c r="N1481" s="95">
        <v>1.3</v>
      </c>
      <c r="O1481" s="95">
        <v>1.3</v>
      </c>
      <c r="P1481" s="95">
        <v>1.3</v>
      </c>
      <c r="Q1481" s="1141">
        <v>1.3</v>
      </c>
    </row>
    <row r="1482" spans="2:17" ht="29.25" customHeight="1" x14ac:dyDescent="0.2">
      <c r="B1482" s="954"/>
      <c r="C1482" s="603">
        <v>7</v>
      </c>
      <c r="D1482" s="205"/>
      <c r="E1482" s="528" t="s">
        <v>1918</v>
      </c>
      <c r="F1482" s="1538"/>
      <c r="G1482" s="1538"/>
      <c r="H1482" s="1538"/>
      <c r="I1482" s="1538"/>
      <c r="J1482" s="1538"/>
      <c r="K1482" s="1360"/>
      <c r="L1482" s="95"/>
      <c r="M1482" s="521"/>
      <c r="N1482" s="521"/>
      <c r="O1482" s="521"/>
      <c r="P1482" s="521"/>
      <c r="Q1482" s="1142"/>
    </row>
    <row r="1483" spans="2:17" ht="29.25" customHeight="1" x14ac:dyDescent="0.2">
      <c r="B1483" s="954"/>
      <c r="C1483" s="603">
        <v>8</v>
      </c>
      <c r="D1483" s="205"/>
      <c r="E1483" s="624" t="s">
        <v>1919</v>
      </c>
      <c r="F1483" s="1588"/>
      <c r="G1483" s="1538"/>
      <c r="H1483" s="1538"/>
      <c r="I1483" s="1538"/>
      <c r="J1483" s="1538"/>
      <c r="K1483" s="1360"/>
      <c r="L1483" s="95"/>
      <c r="M1483" s="521"/>
      <c r="N1483" s="521"/>
      <c r="O1483" s="521"/>
      <c r="P1483" s="521"/>
      <c r="Q1483" s="1142"/>
    </row>
    <row r="1484" spans="2:17" ht="67.5" customHeight="1" x14ac:dyDescent="0.2">
      <c r="B1484" s="2423"/>
      <c r="C1484" s="2424"/>
      <c r="D1484" s="2424"/>
      <c r="E1484" s="2425" t="s">
        <v>2543</v>
      </c>
      <c r="F1484" s="1853"/>
      <c r="G1484" s="1853"/>
      <c r="H1484" s="1853"/>
      <c r="I1484" s="1853"/>
      <c r="J1484" s="1853"/>
      <c r="K1484" s="1346" t="s">
        <v>1922</v>
      </c>
      <c r="L1484" s="95" t="s">
        <v>16</v>
      </c>
      <c r="M1484" s="95">
        <v>85</v>
      </c>
      <c r="N1484" s="474">
        <v>85</v>
      </c>
      <c r="O1484" s="474">
        <v>87</v>
      </c>
      <c r="P1484" s="474">
        <v>88</v>
      </c>
      <c r="Q1484" s="1143">
        <v>88</v>
      </c>
    </row>
    <row r="1485" spans="2:17" ht="29.25" customHeight="1" x14ac:dyDescent="0.2">
      <c r="B1485" s="2423"/>
      <c r="C1485" s="2424"/>
      <c r="D1485" s="2424"/>
      <c r="E1485" s="2425"/>
      <c r="F1485" s="1853"/>
      <c r="G1485" s="1853"/>
      <c r="H1485" s="1853"/>
      <c r="I1485" s="1853"/>
      <c r="J1485" s="1853"/>
      <c r="K1485" s="1346" t="s">
        <v>1923</v>
      </c>
      <c r="L1485" s="95" t="s">
        <v>16</v>
      </c>
      <c r="M1485" s="95">
        <v>75</v>
      </c>
      <c r="N1485" s="474">
        <v>77</v>
      </c>
      <c r="O1485" s="474">
        <v>78</v>
      </c>
      <c r="P1485" s="474">
        <v>80</v>
      </c>
      <c r="Q1485" s="1143">
        <v>80</v>
      </c>
    </row>
    <row r="1486" spans="2:17" ht="29.25" customHeight="1" x14ac:dyDescent="0.2">
      <c r="B1486" s="2423"/>
      <c r="C1486" s="2424"/>
      <c r="D1486" s="2424"/>
      <c r="E1486" s="2041" t="s">
        <v>1924</v>
      </c>
      <c r="F1486" s="1842"/>
      <c r="G1486" s="1740"/>
      <c r="H1486" s="1740"/>
      <c r="I1486" s="1740"/>
      <c r="J1486" s="1740"/>
      <c r="K1486" s="1346" t="s">
        <v>1925</v>
      </c>
      <c r="L1486" s="95" t="s">
        <v>16</v>
      </c>
      <c r="M1486" s="95">
        <v>20</v>
      </c>
      <c r="N1486" s="491">
        <v>21</v>
      </c>
      <c r="O1486" s="491">
        <v>22</v>
      </c>
      <c r="P1486" s="491">
        <v>23</v>
      </c>
      <c r="Q1486" s="1144">
        <v>23</v>
      </c>
    </row>
    <row r="1487" spans="2:17" ht="29.25" customHeight="1" x14ac:dyDescent="0.2">
      <c r="B1487" s="2423"/>
      <c r="C1487" s="2424"/>
      <c r="D1487" s="2424"/>
      <c r="E1487" s="2041"/>
      <c r="F1487" s="1844"/>
      <c r="G1487" s="1740"/>
      <c r="H1487" s="1740"/>
      <c r="I1487" s="1740"/>
      <c r="J1487" s="1740"/>
      <c r="K1487" s="1346" t="s">
        <v>1926</v>
      </c>
      <c r="L1487" s="95" t="s">
        <v>122</v>
      </c>
      <c r="M1487" s="95">
        <v>7</v>
      </c>
      <c r="N1487" s="491">
        <v>7</v>
      </c>
      <c r="O1487" s="491">
        <v>8</v>
      </c>
      <c r="P1487" s="491">
        <v>9</v>
      </c>
      <c r="Q1487" s="1144">
        <v>9</v>
      </c>
    </row>
    <row r="1488" spans="2:17" ht="29.25" customHeight="1" x14ac:dyDescent="0.2">
      <c r="B1488" s="1719" t="s">
        <v>3104</v>
      </c>
      <c r="C1488" s="1720"/>
      <c r="D1488" s="1720"/>
      <c r="E1488" s="1721"/>
      <c r="F1488" s="1572">
        <f>F1475</f>
        <v>177312.5</v>
      </c>
      <c r="G1488" s="1572">
        <f t="shared" ref="G1488:J1488" si="83">G1475</f>
        <v>207705.8</v>
      </c>
      <c r="H1488" s="1572">
        <f t="shared" si="83"/>
        <v>165291.4</v>
      </c>
      <c r="I1488" s="1572">
        <f t="shared" si="83"/>
        <v>168580.4</v>
      </c>
      <c r="J1488" s="1572">
        <f t="shared" si="83"/>
        <v>169966</v>
      </c>
      <c r="K1488" s="1345"/>
      <c r="L1488" s="1829"/>
      <c r="M1488" s="1829"/>
      <c r="N1488" s="1829"/>
      <c r="O1488" s="1829"/>
      <c r="P1488" s="1829"/>
      <c r="Q1488" s="1830"/>
    </row>
    <row r="1489" spans="2:17" ht="29.25" customHeight="1" x14ac:dyDescent="0.2">
      <c r="B1489" s="1722" t="s">
        <v>1927</v>
      </c>
      <c r="C1489" s="1723"/>
      <c r="D1489" s="1723"/>
      <c r="E1489" s="1723"/>
      <c r="F1489" s="1723"/>
      <c r="G1489" s="1723"/>
      <c r="H1489" s="1723"/>
      <c r="I1489" s="1723"/>
      <c r="J1489" s="1723"/>
      <c r="K1489" s="1723"/>
      <c r="L1489" s="1723"/>
      <c r="M1489" s="1723"/>
      <c r="N1489" s="1723"/>
      <c r="O1489" s="1723"/>
      <c r="P1489" s="1723"/>
      <c r="Q1489" s="1724"/>
    </row>
    <row r="1490" spans="2:17" ht="75.75" customHeight="1" x14ac:dyDescent="0.2">
      <c r="B1490" s="1472" t="s">
        <v>111</v>
      </c>
      <c r="C1490" s="625"/>
      <c r="D1490" s="635"/>
      <c r="E1490" s="1145" t="s">
        <v>3075</v>
      </c>
      <c r="F1490" s="1684">
        <f>F1491+F1492</f>
        <v>314650.59999999998</v>
      </c>
      <c r="G1490" s="1684">
        <f>G1491+G1492</f>
        <v>279835.3</v>
      </c>
      <c r="H1490" s="1684">
        <f>H1491+H1492</f>
        <v>282754.09999999998</v>
      </c>
      <c r="I1490" s="1684">
        <f t="shared" ref="I1490:J1490" si="84">I1491+I1492</f>
        <v>282052.40000000002</v>
      </c>
      <c r="J1490" s="1684">
        <f t="shared" si="84"/>
        <v>284740.40000000002</v>
      </c>
      <c r="K1490" s="1147" t="s">
        <v>1928</v>
      </c>
      <c r="L1490" s="1148" t="s">
        <v>16</v>
      </c>
      <c r="M1490" s="1149">
        <v>4.5</v>
      </c>
      <c r="N1490" s="1149">
        <v>4.5</v>
      </c>
      <c r="O1490" s="1149">
        <v>4.5</v>
      </c>
      <c r="P1490" s="1058">
        <v>4.5</v>
      </c>
      <c r="Q1490" s="1056">
        <v>4.7</v>
      </c>
    </row>
    <row r="1491" spans="2:17" ht="52.5" customHeight="1" x14ac:dyDescent="0.2">
      <c r="B1491" s="1158"/>
      <c r="C1491" s="1159" t="s">
        <v>2962</v>
      </c>
      <c r="D1491" s="635"/>
      <c r="E1491" s="760" t="s">
        <v>1929</v>
      </c>
      <c r="F1491" s="1591">
        <v>37246</v>
      </c>
      <c r="G1491" s="1591">
        <v>35312.400000000001</v>
      </c>
      <c r="H1491" s="1537">
        <f>32232.4+5998.8</f>
        <v>38231.200000000004</v>
      </c>
      <c r="I1491" s="1537">
        <v>32849.300000000003</v>
      </c>
      <c r="J1491" s="1537">
        <v>33162.400000000001</v>
      </c>
      <c r="K1491" s="760" t="s">
        <v>1930</v>
      </c>
      <c r="L1491" s="95" t="s">
        <v>122</v>
      </c>
      <c r="M1491" s="635">
        <v>36</v>
      </c>
      <c r="N1491" s="635">
        <v>37</v>
      </c>
      <c r="O1491" s="635">
        <v>20</v>
      </c>
      <c r="P1491" s="1058">
        <v>20</v>
      </c>
      <c r="Q1491" s="1056">
        <v>20</v>
      </c>
    </row>
    <row r="1492" spans="2:17" ht="73.5" customHeight="1" x14ac:dyDescent="0.2">
      <c r="B1492" s="1158"/>
      <c r="C1492" s="1159" t="s">
        <v>2963</v>
      </c>
      <c r="D1492" s="635"/>
      <c r="E1492" s="698" t="s">
        <v>1931</v>
      </c>
      <c r="F1492" s="1591">
        <v>277404.59999999998</v>
      </c>
      <c r="G1492" s="1591">
        <v>244522.9</v>
      </c>
      <c r="H1492" s="1537">
        <v>244522.9</v>
      </c>
      <c r="I1492" s="1537">
        <v>249203.1</v>
      </c>
      <c r="J1492" s="1537">
        <v>251578</v>
      </c>
      <c r="K1492" s="1150" t="s">
        <v>1932</v>
      </c>
      <c r="L1492" s="625" t="s">
        <v>1933</v>
      </c>
      <c r="M1492" s="635">
        <v>200</v>
      </c>
      <c r="N1492" s="635">
        <v>200</v>
      </c>
      <c r="O1492" s="635">
        <v>240</v>
      </c>
      <c r="P1492" s="1058">
        <v>260</v>
      </c>
      <c r="Q1492" s="1056">
        <v>270</v>
      </c>
    </row>
    <row r="1493" spans="2:17" ht="84.75" customHeight="1" x14ac:dyDescent="0.2">
      <c r="B1493" s="1472" t="s">
        <v>131</v>
      </c>
      <c r="C1493" s="1153"/>
      <c r="D1493" s="1146"/>
      <c r="E1493" s="1151" t="s">
        <v>3076</v>
      </c>
      <c r="F1493" s="1684">
        <f>F1494+F1496+F1498</f>
        <v>288492.79999999999</v>
      </c>
      <c r="G1493" s="1684">
        <f t="shared" ref="G1493:J1493" si="85">G1494+G1496+G1498</f>
        <v>227753.19999999998</v>
      </c>
      <c r="H1493" s="1684">
        <f>H1494+H1496+H1498</f>
        <v>228353.19999999998</v>
      </c>
      <c r="I1493" s="1684">
        <f t="shared" si="85"/>
        <v>233137.9</v>
      </c>
      <c r="J1493" s="1684">
        <f t="shared" si="85"/>
        <v>235317</v>
      </c>
      <c r="K1493" s="1152" t="s">
        <v>1934</v>
      </c>
      <c r="L1493" s="1153" t="s">
        <v>16</v>
      </c>
      <c r="M1493" s="1146">
        <v>70</v>
      </c>
      <c r="N1493" s="1146">
        <v>70</v>
      </c>
      <c r="O1493" s="1146">
        <v>80</v>
      </c>
      <c r="P1493" s="1154">
        <v>85</v>
      </c>
      <c r="Q1493" s="1155">
        <v>87</v>
      </c>
    </row>
    <row r="1494" spans="2:17" ht="64.5" customHeight="1" x14ac:dyDescent="0.2">
      <c r="B1494" s="1933"/>
      <c r="C1494" s="1935" t="s">
        <v>114</v>
      </c>
      <c r="D1494" s="1924"/>
      <c r="E1494" s="1922" t="s">
        <v>1935</v>
      </c>
      <c r="F1494" s="1831">
        <v>110550</v>
      </c>
      <c r="G1494" s="1831">
        <v>86962.9</v>
      </c>
      <c r="H1494" s="1831">
        <v>86962.9</v>
      </c>
      <c r="I1494" s="1831">
        <v>88627.5</v>
      </c>
      <c r="J1494" s="1831">
        <v>89477.1</v>
      </c>
      <c r="K1494" s="1156" t="s">
        <v>2964</v>
      </c>
      <c r="L1494" s="636" t="s">
        <v>1936</v>
      </c>
      <c r="M1494" s="635">
        <v>150</v>
      </c>
      <c r="N1494" s="635">
        <v>150</v>
      </c>
      <c r="O1494" s="635">
        <v>120</v>
      </c>
      <c r="P1494" s="1058">
        <v>120</v>
      </c>
      <c r="Q1494" s="1056">
        <v>110</v>
      </c>
    </row>
    <row r="1495" spans="2:17" ht="29.25" customHeight="1" x14ac:dyDescent="0.2">
      <c r="B1495" s="1934"/>
      <c r="C1495" s="1935"/>
      <c r="D1495" s="1925"/>
      <c r="E1495" s="1923"/>
      <c r="F1495" s="1831"/>
      <c r="G1495" s="1831"/>
      <c r="H1495" s="1831"/>
      <c r="I1495" s="1831"/>
      <c r="J1495" s="1831"/>
      <c r="K1495" s="1156" t="s">
        <v>1937</v>
      </c>
      <c r="L1495" s="636" t="s">
        <v>1938</v>
      </c>
      <c r="M1495" s="635">
        <v>22.5</v>
      </c>
      <c r="N1495" s="635">
        <v>22.5</v>
      </c>
      <c r="O1495" s="635">
        <v>22.9</v>
      </c>
      <c r="P1495" s="1058">
        <v>23.1</v>
      </c>
      <c r="Q1495" s="1056">
        <v>23.5</v>
      </c>
    </row>
    <row r="1496" spans="2:17" ht="29.25" customHeight="1" x14ac:dyDescent="0.2">
      <c r="B1496" s="1473"/>
      <c r="C1496" s="1935" t="s">
        <v>116</v>
      </c>
      <c r="D1496" s="1924"/>
      <c r="E1496" s="1922" t="s">
        <v>1939</v>
      </c>
      <c r="F1496" s="1831">
        <v>147942.79999999999</v>
      </c>
      <c r="G1496" s="1831">
        <v>140790.29999999999</v>
      </c>
      <c r="H1496" s="1831">
        <v>141390.29999999999</v>
      </c>
      <c r="I1496" s="1831">
        <v>144510.39999999999</v>
      </c>
      <c r="J1496" s="1831">
        <v>145839.9</v>
      </c>
      <c r="K1496" s="1157" t="s">
        <v>1940</v>
      </c>
      <c r="L1496" s="625" t="s">
        <v>1941</v>
      </c>
      <c r="M1496" s="635">
        <v>3500</v>
      </c>
      <c r="N1496" s="635">
        <v>3500</v>
      </c>
      <c r="O1496" s="635">
        <v>3700</v>
      </c>
      <c r="P1496" s="635">
        <v>3800</v>
      </c>
      <c r="Q1496" s="1056">
        <v>3900</v>
      </c>
    </row>
    <row r="1497" spans="2:17" ht="29.25" customHeight="1" x14ac:dyDescent="0.2">
      <c r="B1497" s="1474"/>
      <c r="C1497" s="1935"/>
      <c r="D1497" s="1925"/>
      <c r="E1497" s="1923"/>
      <c r="F1497" s="1831"/>
      <c r="G1497" s="1831"/>
      <c r="H1497" s="1831"/>
      <c r="I1497" s="1831"/>
      <c r="J1497" s="1831"/>
      <c r="K1497" s="1157" t="s">
        <v>1942</v>
      </c>
      <c r="L1497" s="625" t="s">
        <v>1943</v>
      </c>
      <c r="M1497" s="635">
        <v>45.6</v>
      </c>
      <c r="N1497" s="635">
        <v>45.6</v>
      </c>
      <c r="O1497" s="635">
        <v>46</v>
      </c>
      <c r="P1497" s="635">
        <v>46.2</v>
      </c>
      <c r="Q1497" s="1056">
        <v>46.4</v>
      </c>
    </row>
    <row r="1498" spans="2:17" ht="29.25" customHeight="1" x14ac:dyDescent="0.2">
      <c r="B1498" s="1158"/>
      <c r="C1498" s="1159" t="s">
        <v>119</v>
      </c>
      <c r="D1498" s="635"/>
      <c r="E1498" s="1160" t="s">
        <v>1944</v>
      </c>
      <c r="F1498" s="1591">
        <v>30000</v>
      </c>
      <c r="G1498" s="1591"/>
      <c r="H1498" s="1537"/>
      <c r="I1498" s="1537"/>
      <c r="J1498" s="1537"/>
      <c r="K1498" s="1157" t="s">
        <v>2965</v>
      </c>
      <c r="L1498" s="625" t="s">
        <v>1943</v>
      </c>
      <c r="M1498" s="635">
        <v>1918.2</v>
      </c>
      <c r="N1498" s="635">
        <v>0.57499999999999996</v>
      </c>
      <c r="O1498" s="635">
        <v>1098.0999999999999</v>
      </c>
      <c r="P1498" s="635">
        <v>732</v>
      </c>
      <c r="Q1498" s="1056">
        <v>6266.7</v>
      </c>
    </row>
    <row r="1499" spans="2:17" ht="29.25" customHeight="1" x14ac:dyDescent="0.2">
      <c r="B1499" s="1719" t="s">
        <v>3104</v>
      </c>
      <c r="C1499" s="1720"/>
      <c r="D1499" s="1720"/>
      <c r="E1499" s="1721"/>
      <c r="F1499" s="1572">
        <f>F1493+F1490</f>
        <v>603143.39999999991</v>
      </c>
      <c r="G1499" s="1572">
        <f>G1493+G1490</f>
        <v>507588.5</v>
      </c>
      <c r="H1499" s="1572">
        <f>H1493+H1490</f>
        <v>511107.29999999993</v>
      </c>
      <c r="I1499" s="1572">
        <f>I1493+I1490</f>
        <v>515190.30000000005</v>
      </c>
      <c r="J1499" s="1572">
        <f>J1493+J1490</f>
        <v>520057.4</v>
      </c>
      <c r="K1499" s="704"/>
      <c r="L1499" s="1829"/>
      <c r="M1499" s="1829"/>
      <c r="N1499" s="1829"/>
      <c r="O1499" s="1829"/>
      <c r="P1499" s="1829"/>
      <c r="Q1499" s="1830"/>
    </row>
    <row r="1500" spans="2:17" ht="29.25" customHeight="1" x14ac:dyDescent="0.2">
      <c r="B1500" s="1722" t="s">
        <v>1945</v>
      </c>
      <c r="C1500" s="1723"/>
      <c r="D1500" s="1723"/>
      <c r="E1500" s="1723"/>
      <c r="F1500" s="1723"/>
      <c r="G1500" s="1723"/>
      <c r="H1500" s="1723"/>
      <c r="I1500" s="1723"/>
      <c r="J1500" s="1723"/>
      <c r="K1500" s="1723"/>
      <c r="L1500" s="1723"/>
      <c r="M1500" s="1723"/>
      <c r="N1500" s="1723"/>
      <c r="O1500" s="1723"/>
      <c r="P1500" s="1723"/>
      <c r="Q1500" s="1724"/>
    </row>
    <row r="1501" spans="2:17" ht="144.75" customHeight="1" x14ac:dyDescent="0.2">
      <c r="B1501" s="872" t="s">
        <v>111</v>
      </c>
      <c r="C1501" s="1161"/>
      <c r="D1501" s="872"/>
      <c r="E1501" s="160" t="s">
        <v>3077</v>
      </c>
      <c r="F1501" s="1343">
        <v>43021</v>
      </c>
      <c r="G1501" s="1343">
        <v>53320.3</v>
      </c>
      <c r="H1501" s="1343">
        <f>SUM(H1502:H1502)</f>
        <v>46335.199999999997</v>
      </c>
      <c r="I1501" s="1343">
        <f>SUM(I1502:I1502)</f>
        <v>46381.535199999991</v>
      </c>
      <c r="J1501" s="1343">
        <f>SUM(J1502:J1502)</f>
        <v>46474.298270399988</v>
      </c>
      <c r="K1501" s="207" t="s">
        <v>1946</v>
      </c>
      <c r="L1501" s="207"/>
      <c r="M1501" s="1162"/>
      <c r="N1501" s="731"/>
      <c r="O1501" s="731"/>
      <c r="P1501" s="731"/>
      <c r="Q1501" s="731"/>
    </row>
    <row r="1502" spans="2:17" ht="78.75" customHeight="1" x14ac:dyDescent="0.2">
      <c r="B1502" s="1161"/>
      <c r="C1502" s="581" t="s">
        <v>1327</v>
      </c>
      <c r="D1502" s="581"/>
      <c r="E1502" s="604" t="s">
        <v>1947</v>
      </c>
      <c r="F1502" s="1340">
        <v>0</v>
      </c>
      <c r="G1502" s="1685">
        <v>53320.3</v>
      </c>
      <c r="H1502" s="1685">
        <v>46335.199999999997</v>
      </c>
      <c r="I1502" s="1686">
        <f>H1502*100.1%</f>
        <v>46381.535199999991</v>
      </c>
      <c r="J1502" s="1686">
        <f>I1502*100.2%</f>
        <v>46474.298270399988</v>
      </c>
      <c r="K1502" s="604" t="s">
        <v>1921</v>
      </c>
      <c r="L1502" s="668" t="s">
        <v>16</v>
      </c>
      <c r="M1502" s="1163"/>
      <c r="N1502" s="476"/>
      <c r="O1502" s="476"/>
      <c r="P1502" s="476"/>
      <c r="Q1502" s="476"/>
    </row>
    <row r="1503" spans="2:17" ht="79.5" customHeight="1" x14ac:dyDescent="0.2">
      <c r="B1503" s="872" t="s">
        <v>131</v>
      </c>
      <c r="C1503" s="1161"/>
      <c r="D1503" s="872"/>
      <c r="E1503" s="216" t="s">
        <v>3078</v>
      </c>
      <c r="F1503" s="1343">
        <v>610361.19999999995</v>
      </c>
      <c r="G1503" s="1343">
        <v>39487</v>
      </c>
      <c r="H1503" s="1343">
        <f>SUM(H1504:H1505)</f>
        <v>47878.1</v>
      </c>
      <c r="I1503" s="1343">
        <f>SUM(I1504:I1505)</f>
        <v>47878.1</v>
      </c>
      <c r="J1503" s="1343">
        <f>SUM(J1504:J1505)</f>
        <v>47878.1</v>
      </c>
      <c r="K1503" s="826" t="s">
        <v>1948</v>
      </c>
      <c r="L1503" s="520"/>
      <c r="M1503" s="1164"/>
      <c r="N1503" s="1164"/>
      <c r="O1503" s="1165"/>
      <c r="P1503" s="1165"/>
      <c r="Q1503" s="1165"/>
    </row>
    <row r="1504" spans="2:17" ht="69.75" customHeight="1" x14ac:dyDescent="0.2">
      <c r="B1504" s="581"/>
      <c r="C1504" s="581" t="s">
        <v>114</v>
      </c>
      <c r="D1504" s="581"/>
      <c r="E1504" s="697" t="s">
        <v>1949</v>
      </c>
      <c r="F1504" s="1538">
        <v>0</v>
      </c>
      <c r="G1504" s="1538">
        <v>39487</v>
      </c>
      <c r="H1504" s="1538">
        <v>33778.1</v>
      </c>
      <c r="I1504" s="1538">
        <v>33778.1</v>
      </c>
      <c r="J1504" s="1538">
        <v>33778.1</v>
      </c>
      <c r="K1504" s="586" t="s">
        <v>1950</v>
      </c>
      <c r="L1504" s="520" t="s">
        <v>1178</v>
      </c>
      <c r="M1504" s="436"/>
      <c r="N1504" s="436"/>
      <c r="O1504" s="436"/>
      <c r="P1504" s="436"/>
      <c r="Q1504" s="436"/>
    </row>
    <row r="1505" spans="2:17" ht="29.25" customHeight="1" x14ac:dyDescent="0.2">
      <c r="B1505" s="581"/>
      <c r="C1505" s="581" t="s">
        <v>124</v>
      </c>
      <c r="D1505" s="581"/>
      <c r="E1505" s="697" t="s">
        <v>1951</v>
      </c>
      <c r="F1505" s="1538"/>
      <c r="G1505" s="1538"/>
      <c r="H1505" s="1538">
        <v>14100</v>
      </c>
      <c r="I1505" s="1538">
        <v>14100</v>
      </c>
      <c r="J1505" s="1538">
        <v>14100</v>
      </c>
      <c r="K1505" s="604" t="s">
        <v>1952</v>
      </c>
      <c r="L1505" s="520" t="s">
        <v>16</v>
      </c>
      <c r="M1505" s="1167"/>
      <c r="N1505" s="1167"/>
      <c r="O1505" s="1167"/>
      <c r="P1505" s="1167"/>
      <c r="Q1505" s="1167"/>
    </row>
    <row r="1506" spans="2:17" ht="73.5" customHeight="1" x14ac:dyDescent="0.2">
      <c r="B1506" s="749" t="s">
        <v>155</v>
      </c>
      <c r="C1506" s="1161"/>
      <c r="D1506" s="749"/>
      <c r="E1506" s="218" t="s">
        <v>3079</v>
      </c>
      <c r="F1506" s="1588">
        <v>104076.6</v>
      </c>
      <c r="G1506" s="1588">
        <v>256297.2</v>
      </c>
      <c r="H1506" s="1588">
        <f>SUM(H1507:H1509)</f>
        <v>140492.4</v>
      </c>
      <c r="I1506" s="1588">
        <f>SUM(I1507:I1509)</f>
        <v>140632.89239999998</v>
      </c>
      <c r="J1506" s="1588">
        <f>SUM(J1507:J1509)</f>
        <v>140914.15818480001</v>
      </c>
      <c r="K1506" s="659" t="s">
        <v>1953</v>
      </c>
      <c r="L1506" s="521" t="s">
        <v>16</v>
      </c>
      <c r="M1506" s="1168">
        <v>98.6</v>
      </c>
      <c r="N1506" s="1168">
        <v>98.8</v>
      </c>
      <c r="O1506" s="1168">
        <v>98.9</v>
      </c>
      <c r="P1506" s="1169">
        <v>99</v>
      </c>
      <c r="Q1506" s="1168">
        <v>99.1</v>
      </c>
    </row>
    <row r="1507" spans="2:17" ht="29.25" customHeight="1" x14ac:dyDescent="0.2">
      <c r="B1507" s="1170"/>
      <c r="C1507" s="1170" t="s">
        <v>114</v>
      </c>
      <c r="D1507" s="1170"/>
      <c r="E1507" s="1171" t="s">
        <v>1954</v>
      </c>
      <c r="F1507" s="1686">
        <v>0</v>
      </c>
      <c r="G1507" s="1686">
        <v>71684.100000000006</v>
      </c>
      <c r="H1507" s="1686">
        <v>63692.4</v>
      </c>
      <c r="I1507" s="1686">
        <f>H1507*100.1%</f>
        <v>63756.092399999994</v>
      </c>
      <c r="J1507" s="1686">
        <f>I1507*100.2%</f>
        <v>63883.604584799992</v>
      </c>
      <c r="K1507" s="432" t="s">
        <v>1955</v>
      </c>
      <c r="L1507" s="520" t="s">
        <v>1178</v>
      </c>
      <c r="M1507" s="1163">
        <v>289</v>
      </c>
      <c r="N1507" s="1172" t="s">
        <v>1362</v>
      </c>
      <c r="O1507" s="1172" t="s">
        <v>1363</v>
      </c>
      <c r="P1507" s="94" t="s">
        <v>1364</v>
      </c>
      <c r="Q1507" s="94" t="s">
        <v>1360</v>
      </c>
    </row>
    <row r="1508" spans="2:17" ht="29.25" customHeight="1" x14ac:dyDescent="0.2">
      <c r="B1508" s="94"/>
      <c r="C1508" s="94" t="s">
        <v>124</v>
      </c>
      <c r="D1508" s="94"/>
      <c r="E1508" s="606" t="s">
        <v>1956</v>
      </c>
      <c r="F1508" s="1678">
        <v>0</v>
      </c>
      <c r="G1508" s="1678">
        <v>5100</v>
      </c>
      <c r="H1508" s="1678">
        <v>2500</v>
      </c>
      <c r="I1508" s="1678">
        <f>H1508*100.1%</f>
        <v>2502.4999999999995</v>
      </c>
      <c r="J1508" s="1678">
        <f>I1508*100.2%</f>
        <v>2507.5049999999997</v>
      </c>
      <c r="K1508" s="586" t="s">
        <v>1957</v>
      </c>
      <c r="L1508" s="520" t="s">
        <v>1178</v>
      </c>
      <c r="M1508" s="680">
        <v>434</v>
      </c>
      <c r="N1508" s="680">
        <v>450</v>
      </c>
      <c r="O1508" s="1173">
        <v>460</v>
      </c>
      <c r="P1508" s="688">
        <v>470</v>
      </c>
      <c r="Q1508" s="688">
        <v>480</v>
      </c>
    </row>
    <row r="1509" spans="2:17" ht="29.25" customHeight="1" x14ac:dyDescent="0.2">
      <c r="B1509" s="1170"/>
      <c r="C1509" s="1170" t="s">
        <v>128</v>
      </c>
      <c r="D1509" s="1170"/>
      <c r="E1509" s="606" t="s">
        <v>1958</v>
      </c>
      <c r="F1509" s="1686">
        <v>0</v>
      </c>
      <c r="G1509" s="1686">
        <v>148500</v>
      </c>
      <c r="H1509" s="1686">
        <v>74300</v>
      </c>
      <c r="I1509" s="1678">
        <f>H1509*100.1%</f>
        <v>74374.299999999988</v>
      </c>
      <c r="J1509" s="1678">
        <f>I1509*100.2%</f>
        <v>74523.048599999995</v>
      </c>
      <c r="K1509" s="586" t="s">
        <v>1959</v>
      </c>
      <c r="L1509" s="520" t="s">
        <v>1178</v>
      </c>
      <c r="M1509" s="22">
        <v>27204</v>
      </c>
      <c r="N1509" s="22">
        <v>24071</v>
      </c>
      <c r="O1509" s="794">
        <v>25101</v>
      </c>
      <c r="P1509" s="599">
        <v>25458</v>
      </c>
      <c r="Q1509" s="599">
        <v>24876</v>
      </c>
    </row>
    <row r="1510" spans="2:17" ht="29.25" customHeight="1" x14ac:dyDescent="0.2">
      <c r="B1510" s="749" t="s">
        <v>164</v>
      </c>
      <c r="C1510" s="749"/>
      <c r="D1510" s="749"/>
      <c r="E1510" s="216" t="s">
        <v>2967</v>
      </c>
      <c r="F1510" s="1588">
        <v>727679</v>
      </c>
      <c r="G1510" s="1588">
        <v>423000</v>
      </c>
      <c r="H1510" s="1588">
        <f>H1511</f>
        <v>850000</v>
      </c>
      <c r="I1510" s="1588">
        <f>I1511</f>
        <v>0</v>
      </c>
      <c r="J1510" s="1588">
        <f>J1511</f>
        <v>0</v>
      </c>
      <c r="K1510" s="659"/>
      <c r="L1510" s="521"/>
      <c r="M1510" s="521"/>
      <c r="N1510" s="521"/>
      <c r="O1510" s="521"/>
      <c r="P1510" s="521"/>
      <c r="Q1510" s="521"/>
    </row>
    <row r="1511" spans="2:17" ht="29.25" customHeight="1" x14ac:dyDescent="0.2">
      <c r="B1511" s="94"/>
      <c r="C1511" s="94" t="s">
        <v>114</v>
      </c>
      <c r="D1511" s="94"/>
      <c r="E1511" s="606" t="s">
        <v>1960</v>
      </c>
      <c r="F1511" s="1538">
        <v>727679</v>
      </c>
      <c r="G1511" s="1538">
        <v>423000</v>
      </c>
      <c r="H1511" s="1538">
        <v>850000</v>
      </c>
      <c r="I1511" s="1538"/>
      <c r="J1511" s="1538"/>
      <c r="K1511" s="659"/>
      <c r="L1511" s="520" t="s">
        <v>1961</v>
      </c>
      <c r="M1511" s="521"/>
      <c r="N1511" s="521"/>
      <c r="O1511" s="521"/>
      <c r="P1511" s="521"/>
      <c r="Q1511" s="521"/>
    </row>
    <row r="1512" spans="2:17" ht="29.25" customHeight="1" x14ac:dyDescent="0.2">
      <c r="B1512" s="1719" t="s">
        <v>2722</v>
      </c>
      <c r="C1512" s="1720"/>
      <c r="D1512" s="1720"/>
      <c r="E1512" s="1721"/>
      <c r="F1512" s="1572">
        <f>F1501+F1503+F1506+F1510</f>
        <v>1485137.7999999998</v>
      </c>
      <c r="G1512" s="1572">
        <f>G1501+G1503+G1506+G1510</f>
        <v>772104.5</v>
      </c>
      <c r="H1512" s="1572">
        <f>H1501+H1503+H1506+H1510</f>
        <v>1084705.7</v>
      </c>
      <c r="I1512" s="1572">
        <f>I1501+I1503+I1506+I1510</f>
        <v>234892.52759999997</v>
      </c>
      <c r="J1512" s="1572">
        <f>J1501+J1503+J1506+J1510</f>
        <v>235266.55645519999</v>
      </c>
      <c r="K1512" s="704"/>
      <c r="L1512" s="1829"/>
      <c r="M1512" s="1829"/>
      <c r="N1512" s="1829"/>
      <c r="O1512" s="1829"/>
      <c r="P1512" s="1829"/>
      <c r="Q1512" s="1830"/>
    </row>
    <row r="1513" spans="2:17" ht="29.25" customHeight="1" x14ac:dyDescent="0.2">
      <c r="B1513" s="1722" t="s">
        <v>1962</v>
      </c>
      <c r="C1513" s="1723"/>
      <c r="D1513" s="1723"/>
      <c r="E1513" s="1723"/>
      <c r="F1513" s="1723"/>
      <c r="G1513" s="1723"/>
      <c r="H1513" s="1723"/>
      <c r="I1513" s="1723"/>
      <c r="J1513" s="1723"/>
      <c r="K1513" s="1723"/>
      <c r="L1513" s="1723"/>
      <c r="M1513" s="1723"/>
      <c r="N1513" s="1723"/>
      <c r="O1513" s="1723"/>
      <c r="P1513" s="1723"/>
      <c r="Q1513" s="1724"/>
    </row>
    <row r="1514" spans="2:17" ht="29.25" customHeight="1" x14ac:dyDescent="0.2">
      <c r="B1514" s="242">
        <v>1</v>
      </c>
      <c r="C1514" s="581"/>
      <c r="D1514" s="242"/>
      <c r="E1514" s="160" t="s">
        <v>1821</v>
      </c>
      <c r="F1514" s="1561">
        <f>F1515+F1516</f>
        <v>43022</v>
      </c>
      <c r="G1514" s="1561">
        <f>G1515+G1516</f>
        <v>36724.799999999996</v>
      </c>
      <c r="H1514" s="1561">
        <f t="shared" ref="H1514:J1514" si="86">H1515+H1516</f>
        <v>36724.800000000003</v>
      </c>
      <c r="I1514" s="1561">
        <f t="shared" si="86"/>
        <v>37834.9</v>
      </c>
      <c r="J1514" s="1561">
        <f t="shared" si="86"/>
        <v>38543.199999999997</v>
      </c>
      <c r="K1514" s="571"/>
      <c r="L1514" s="523"/>
      <c r="M1514" s="415">
        <f>M1515+M1516</f>
        <v>5707</v>
      </c>
      <c r="N1514" s="415">
        <f>N1515+N1516</f>
        <v>7853</v>
      </c>
      <c r="O1514" s="415">
        <f t="shared" ref="O1514:Q1514" si="87">O1515+O1516</f>
        <v>7856.9</v>
      </c>
      <c r="P1514" s="415">
        <f t="shared" si="87"/>
        <v>7875.7999999999993</v>
      </c>
      <c r="Q1514" s="415">
        <f t="shared" si="87"/>
        <v>7926.2999999999993</v>
      </c>
    </row>
    <row r="1515" spans="2:17" ht="29.25" customHeight="1" x14ac:dyDescent="0.2">
      <c r="B1515" s="242"/>
      <c r="C1515" s="581" t="s">
        <v>114</v>
      </c>
      <c r="D1515" s="242"/>
      <c r="E1515" s="41" t="s">
        <v>1963</v>
      </c>
      <c r="F1515" s="1547">
        <v>2180.9</v>
      </c>
      <c r="G1515" s="1547">
        <v>2180.9</v>
      </c>
      <c r="H1515" s="1547">
        <v>2180.9</v>
      </c>
      <c r="I1515" s="1547">
        <v>2180.9</v>
      </c>
      <c r="J1515" s="1547">
        <v>2180.9</v>
      </c>
      <c r="K1515" s="1360" t="s">
        <v>1964</v>
      </c>
      <c r="L1515" s="1175">
        <v>1</v>
      </c>
      <c r="M1515" s="22">
        <v>2180.9</v>
      </c>
      <c r="N1515" s="22">
        <v>2180.9</v>
      </c>
      <c r="O1515" s="22">
        <v>2180.9</v>
      </c>
      <c r="P1515" s="22">
        <v>2180.9</v>
      </c>
      <c r="Q1515" s="22">
        <v>2180.9</v>
      </c>
    </row>
    <row r="1516" spans="2:17" ht="29.25" customHeight="1" x14ac:dyDescent="0.2">
      <c r="B1516" s="242"/>
      <c r="C1516" s="581" t="s">
        <v>202</v>
      </c>
      <c r="D1516" s="242"/>
      <c r="E1516" s="563" t="s">
        <v>1917</v>
      </c>
      <c r="F1516" s="1547">
        <v>40841.1</v>
      </c>
      <c r="G1516" s="1547">
        <v>34543.899999999994</v>
      </c>
      <c r="H1516" s="1547">
        <v>34543.9</v>
      </c>
      <c r="I1516" s="1547">
        <v>35654</v>
      </c>
      <c r="J1516" s="1547">
        <v>36362.299999999996</v>
      </c>
      <c r="K1516" s="1360"/>
      <c r="L1516" s="693" t="s">
        <v>1365</v>
      </c>
      <c r="M1516" s="22">
        <v>3526.1</v>
      </c>
      <c r="N1516" s="22">
        <v>5672.1</v>
      </c>
      <c r="O1516" s="22">
        <v>5676</v>
      </c>
      <c r="P1516" s="22">
        <v>5694.9</v>
      </c>
      <c r="Q1516" s="22">
        <v>5745.4</v>
      </c>
    </row>
    <row r="1517" spans="2:17" ht="29.25" customHeight="1" x14ac:dyDescent="0.2">
      <c r="B1517" s="1719" t="s">
        <v>2722</v>
      </c>
      <c r="C1517" s="1720"/>
      <c r="D1517" s="1720"/>
      <c r="E1517" s="1721"/>
      <c r="F1517" s="1572">
        <f>F1514</f>
        <v>43022</v>
      </c>
      <c r="G1517" s="1572">
        <f t="shared" ref="G1517:J1517" si="88">G1514</f>
        <v>36724.799999999996</v>
      </c>
      <c r="H1517" s="1572">
        <f t="shared" si="88"/>
        <v>36724.800000000003</v>
      </c>
      <c r="I1517" s="1572">
        <f t="shared" si="88"/>
        <v>37834.9</v>
      </c>
      <c r="J1517" s="1572">
        <f t="shared" si="88"/>
        <v>38543.199999999997</v>
      </c>
      <c r="K1517" s="1345"/>
      <c r="L1517" s="1829"/>
      <c r="M1517" s="1829"/>
      <c r="N1517" s="1829"/>
      <c r="O1517" s="1829"/>
      <c r="P1517" s="1829"/>
      <c r="Q1517" s="1830"/>
    </row>
    <row r="1518" spans="2:17" ht="29.25" customHeight="1" x14ac:dyDescent="0.2">
      <c r="B1518" s="1832" t="s">
        <v>1965</v>
      </c>
      <c r="C1518" s="1723"/>
      <c r="D1518" s="1723"/>
      <c r="E1518" s="1723"/>
      <c r="F1518" s="1723"/>
      <c r="G1518" s="1723"/>
      <c r="H1518" s="1723"/>
      <c r="I1518" s="1723"/>
      <c r="J1518" s="1723"/>
      <c r="K1518" s="1723"/>
      <c r="L1518" s="1723"/>
      <c r="M1518" s="1723"/>
      <c r="N1518" s="1723"/>
      <c r="O1518" s="1723"/>
      <c r="P1518" s="1723"/>
      <c r="Q1518" s="1724"/>
    </row>
    <row r="1519" spans="2:17" ht="79.5" customHeight="1" x14ac:dyDescent="0.2">
      <c r="B1519" s="1174">
        <v>1</v>
      </c>
      <c r="C1519" s="470"/>
      <c r="D1519" s="541"/>
      <c r="E1519" s="135" t="s">
        <v>3080</v>
      </c>
      <c r="F1519" s="1573"/>
      <c r="G1519" s="1573"/>
      <c r="H1519" s="1573">
        <f>H1520+H1521+H1522+H1523</f>
        <v>67364</v>
      </c>
      <c r="I1519" s="1573">
        <f t="shared" ref="I1519:J1519" si="89">I1520+I1521+I1522+I1523</f>
        <v>69030.899999999994</v>
      </c>
      <c r="J1519" s="1573">
        <f t="shared" si="89"/>
        <v>70038.499999999985</v>
      </c>
      <c r="K1519" s="1362" t="s">
        <v>1832</v>
      </c>
      <c r="L1519" s="638" t="s">
        <v>16</v>
      </c>
      <c r="M1519" s="638"/>
      <c r="N1519" s="638"/>
      <c r="O1519" s="638"/>
      <c r="P1519" s="638"/>
      <c r="Q1519" s="638"/>
    </row>
    <row r="1520" spans="2:17" ht="29.25" customHeight="1" x14ac:dyDescent="0.2">
      <c r="B1520" s="1178"/>
      <c r="C1520" s="687">
        <v>1</v>
      </c>
      <c r="D1520" s="470"/>
      <c r="E1520" s="641" t="s">
        <v>17</v>
      </c>
      <c r="F1520" s="1561"/>
      <c r="G1520" s="1561"/>
      <c r="H1520" s="1547">
        <v>65669.899999999994</v>
      </c>
      <c r="I1520" s="1547">
        <v>67016.600000000006</v>
      </c>
      <c r="J1520" s="1547">
        <v>68024.2</v>
      </c>
      <c r="K1520" s="1363"/>
      <c r="L1520" s="22" t="s">
        <v>19</v>
      </c>
      <c r="M1520" s="415"/>
      <c r="N1520" s="415"/>
      <c r="O1520" s="415"/>
      <c r="P1520" s="415"/>
      <c r="Q1520" s="415"/>
    </row>
    <row r="1521" spans="2:17" ht="29.25" customHeight="1" x14ac:dyDescent="0.2">
      <c r="B1521" s="1178"/>
      <c r="C1521" s="1399">
        <v>2</v>
      </c>
      <c r="D1521" s="470"/>
      <c r="E1521" s="473" t="s">
        <v>1833</v>
      </c>
      <c r="F1521" s="1561"/>
      <c r="G1521" s="1561"/>
      <c r="H1521" s="1547">
        <v>596.29999999999995</v>
      </c>
      <c r="I1521" s="1547">
        <v>752.4</v>
      </c>
      <c r="J1521" s="1547">
        <v>752.4</v>
      </c>
      <c r="K1521" s="674" t="s">
        <v>419</v>
      </c>
      <c r="L1521" s="22" t="s">
        <v>16</v>
      </c>
      <c r="M1521" s="415"/>
      <c r="N1521" s="415"/>
      <c r="O1521" s="415"/>
      <c r="P1521" s="415"/>
      <c r="Q1521" s="415"/>
    </row>
    <row r="1522" spans="2:17" ht="29.25" customHeight="1" x14ac:dyDescent="0.2">
      <c r="B1522" s="1178"/>
      <c r="C1522" s="1399">
        <v>3</v>
      </c>
      <c r="D1522" s="470"/>
      <c r="E1522" s="600" t="s">
        <v>23</v>
      </c>
      <c r="F1522" s="1561"/>
      <c r="G1522" s="1561"/>
      <c r="H1522" s="1547">
        <v>596.29999999999995</v>
      </c>
      <c r="I1522" s="1547">
        <v>752.4</v>
      </c>
      <c r="J1522" s="1547">
        <v>752.4</v>
      </c>
      <c r="K1522" s="674" t="s">
        <v>1915</v>
      </c>
      <c r="L1522" s="22" t="s">
        <v>16</v>
      </c>
      <c r="M1522" s="22">
        <v>0</v>
      </c>
      <c r="N1522" s="415"/>
      <c r="O1522" s="415"/>
      <c r="P1522" s="415"/>
      <c r="Q1522" s="415"/>
    </row>
    <row r="1523" spans="2:17" ht="29.25" customHeight="1" x14ac:dyDescent="0.2">
      <c r="B1523" s="1178"/>
      <c r="C1523" s="598">
        <v>6</v>
      </c>
      <c r="D1523" s="470"/>
      <c r="E1523" s="563" t="s">
        <v>1917</v>
      </c>
      <c r="F1523" s="1561"/>
      <c r="G1523" s="1561"/>
      <c r="H1523" s="1547">
        <v>501.5</v>
      </c>
      <c r="I1523" s="1547">
        <v>509.5</v>
      </c>
      <c r="J1523" s="1547">
        <v>509.5</v>
      </c>
      <c r="K1523" s="674" t="s">
        <v>1866</v>
      </c>
      <c r="L1523" s="22" t="s">
        <v>16</v>
      </c>
      <c r="M1523" s="1175">
        <v>0.23</v>
      </c>
      <c r="N1523" s="415"/>
      <c r="O1523" s="415"/>
      <c r="P1523" s="415"/>
      <c r="Q1523" s="415"/>
    </row>
    <row r="1524" spans="2:17" ht="29.25" customHeight="1" x14ac:dyDescent="0.2">
      <c r="B1524" s="1833" t="s">
        <v>131</v>
      </c>
      <c r="C1524" s="1792"/>
      <c r="D1524" s="1835"/>
      <c r="E1524" s="1837" t="s">
        <v>1966</v>
      </c>
      <c r="F1524" s="1660"/>
      <c r="G1524" s="1660"/>
      <c r="H1524" s="1839">
        <f>H1526</f>
        <v>101075.3</v>
      </c>
      <c r="I1524" s="1839">
        <f t="shared" ref="I1524:J1524" si="90">I1526</f>
        <v>102632.4</v>
      </c>
      <c r="J1524" s="1839">
        <f t="shared" si="90"/>
        <v>103262.39999999999</v>
      </c>
      <c r="K1524" s="1840" t="s">
        <v>1967</v>
      </c>
      <c r="L1524" s="1827" t="s">
        <v>262</v>
      </c>
      <c r="M1524" s="1827"/>
      <c r="N1524" s="1827" t="s">
        <v>1536</v>
      </c>
      <c r="O1524" s="1827" t="s">
        <v>1536</v>
      </c>
      <c r="P1524" s="1827" t="s">
        <v>1536</v>
      </c>
      <c r="Q1524" s="1827" t="s">
        <v>1536</v>
      </c>
    </row>
    <row r="1525" spans="2:17" ht="29.25" customHeight="1" x14ac:dyDescent="0.2">
      <c r="B1525" s="1834"/>
      <c r="C1525" s="1793"/>
      <c r="D1525" s="1836"/>
      <c r="E1525" s="1838"/>
      <c r="F1525" s="1573"/>
      <c r="G1525" s="1573"/>
      <c r="H1525" s="1839"/>
      <c r="I1525" s="1839"/>
      <c r="J1525" s="1839"/>
      <c r="K1525" s="1841"/>
      <c r="L1525" s="1828"/>
      <c r="M1525" s="1828"/>
      <c r="N1525" s="1828"/>
      <c r="O1525" s="1828"/>
      <c r="P1525" s="1828"/>
      <c r="Q1525" s="1828"/>
    </row>
    <row r="1526" spans="2:17" ht="29.25" customHeight="1" x14ac:dyDescent="0.2">
      <c r="B1526" s="2426"/>
      <c r="C1526" s="1792" t="s">
        <v>114</v>
      </c>
      <c r="D1526" s="1835"/>
      <c r="E1526" s="1822" t="s">
        <v>1968</v>
      </c>
      <c r="F1526" s="1660"/>
      <c r="G1526" s="1660"/>
      <c r="H1526" s="1773">
        <v>101075.3</v>
      </c>
      <c r="I1526" s="1773">
        <v>102632.4</v>
      </c>
      <c r="J1526" s="1773">
        <v>103262.39999999999</v>
      </c>
      <c r="K1526" s="1840" t="s">
        <v>1969</v>
      </c>
      <c r="L1526" s="1822" t="s">
        <v>122</v>
      </c>
      <c r="M1526" s="1822"/>
      <c r="N1526" s="1827" t="s">
        <v>1536</v>
      </c>
      <c r="O1526" s="1827" t="s">
        <v>1536</v>
      </c>
      <c r="P1526" s="1827" t="s">
        <v>1536</v>
      </c>
      <c r="Q1526" s="1827" t="s">
        <v>1536</v>
      </c>
    </row>
    <row r="1527" spans="2:17" ht="29.25" customHeight="1" x14ac:dyDescent="0.2">
      <c r="B1527" s="2427"/>
      <c r="C1527" s="1793"/>
      <c r="D1527" s="1836"/>
      <c r="E1527" s="1823"/>
      <c r="F1527" s="1573"/>
      <c r="G1527" s="1573"/>
      <c r="H1527" s="1773"/>
      <c r="I1527" s="1773"/>
      <c r="J1527" s="1773"/>
      <c r="K1527" s="1841"/>
      <c r="L1527" s="2048"/>
      <c r="M1527" s="2048"/>
      <c r="N1527" s="1828"/>
      <c r="O1527" s="1828"/>
      <c r="P1527" s="1828"/>
      <c r="Q1527" s="1828"/>
    </row>
    <row r="1528" spans="2:17" ht="29.25" customHeight="1" x14ac:dyDescent="0.2">
      <c r="B1528" s="1719" t="s">
        <v>2722</v>
      </c>
      <c r="C1528" s="1720"/>
      <c r="D1528" s="1720"/>
      <c r="E1528" s="1721"/>
      <c r="F1528" s="1572"/>
      <c r="G1528" s="1572"/>
      <c r="H1528" s="1572">
        <f>H1519+H1524</f>
        <v>168439.3</v>
      </c>
      <c r="I1528" s="1572">
        <f t="shared" ref="I1528:J1528" si="91">I1519+I1524</f>
        <v>171663.3</v>
      </c>
      <c r="J1528" s="1572">
        <f t="shared" si="91"/>
        <v>173300.89999999997</v>
      </c>
      <c r="K1528" s="1345"/>
      <c r="L1528" s="1829"/>
      <c r="M1528" s="1829"/>
      <c r="N1528" s="1829"/>
      <c r="O1528" s="1829"/>
      <c r="P1528" s="1829"/>
      <c r="Q1528" s="1830"/>
    </row>
    <row r="1529" spans="2:17" ht="29.25" customHeight="1" x14ac:dyDescent="0.2">
      <c r="B1529" s="1722" t="s">
        <v>1970</v>
      </c>
      <c r="C1529" s="1723"/>
      <c r="D1529" s="1723"/>
      <c r="E1529" s="1723"/>
      <c r="F1529" s="1723"/>
      <c r="G1529" s="1723"/>
      <c r="H1529" s="1723"/>
      <c r="I1529" s="1723"/>
      <c r="J1529" s="1723"/>
      <c r="K1529" s="1723"/>
      <c r="L1529" s="1723"/>
      <c r="M1529" s="1723"/>
      <c r="N1529" s="1723"/>
      <c r="O1529" s="1723"/>
      <c r="P1529" s="1723"/>
      <c r="Q1529" s="1724"/>
    </row>
    <row r="1530" spans="2:17" ht="81.75" customHeight="1" x14ac:dyDescent="0.2">
      <c r="B1530" s="1089">
        <v>1</v>
      </c>
      <c r="C1530" s="213"/>
      <c r="D1530" s="213"/>
      <c r="E1530" s="135" t="s">
        <v>3080</v>
      </c>
      <c r="F1530" s="1561">
        <f>F1531+F1532</f>
        <v>3363.5999999999995</v>
      </c>
      <c r="G1530" s="1561">
        <f>G1531+G1532</f>
        <v>2937</v>
      </c>
      <c r="H1530" s="1561">
        <f>H1531+H1532</f>
        <v>2937</v>
      </c>
      <c r="I1530" s="1561">
        <f>I1531+I1532</f>
        <v>2954.2999999999997</v>
      </c>
      <c r="J1530" s="1561">
        <f>J1531+J1532</f>
        <v>2976</v>
      </c>
      <c r="K1530" s="659" t="s">
        <v>1480</v>
      </c>
      <c r="L1530" s="22" t="s">
        <v>16</v>
      </c>
      <c r="M1530" s="624">
        <v>29</v>
      </c>
      <c r="N1530" s="624">
        <f t="shared" ref="N1530:Q1530" si="92">N1531+N1532</f>
        <v>29</v>
      </c>
      <c r="O1530" s="624">
        <f t="shared" si="92"/>
        <v>29</v>
      </c>
      <c r="P1530" s="624">
        <f t="shared" si="92"/>
        <v>29</v>
      </c>
      <c r="Q1530" s="1180">
        <f t="shared" si="92"/>
        <v>29</v>
      </c>
    </row>
    <row r="1531" spans="2:17" ht="29.25" customHeight="1" x14ac:dyDescent="0.2">
      <c r="B1531" s="935"/>
      <c r="C1531" s="223">
        <v>1</v>
      </c>
      <c r="D1531" s="213"/>
      <c r="E1531" s="641" t="s">
        <v>17</v>
      </c>
      <c r="F1531" s="1547">
        <f>'[2]3-х знач.'!$D$17+'[2]3-х знач.'!$D$18</f>
        <v>2311.1</v>
      </c>
      <c r="G1531" s="1547">
        <f>'[2]3-х знач.'!$E$17+'[2]3-х знач.'!$E$18</f>
        <v>2329.6</v>
      </c>
      <c r="H1531" s="1547">
        <f>'[2]3-х знач.'!$F$17+'[2]3-х знач.'!$F$18</f>
        <v>2329.6</v>
      </c>
      <c r="I1531" s="1547">
        <f>'[2]3-х знач.'!$I$17+'[2]3-х знач.'!$I$18</f>
        <v>2329.6</v>
      </c>
      <c r="J1531" s="1547">
        <f>'[2]3-х знач.'!$L$17+'[2]3-х знач.'!$L$18</f>
        <v>2329.6</v>
      </c>
      <c r="K1531" s="697" t="s">
        <v>692</v>
      </c>
      <c r="L1531" s="22" t="s">
        <v>19</v>
      </c>
      <c r="M1531" s="624"/>
      <c r="N1531" s="624"/>
      <c r="O1531" s="624"/>
      <c r="P1531" s="624"/>
      <c r="Q1531" s="1180"/>
    </row>
    <row r="1532" spans="2:17" ht="29.25" customHeight="1" x14ac:dyDescent="0.2">
      <c r="B1532" s="935"/>
      <c r="C1532" s="223">
        <v>2</v>
      </c>
      <c r="D1532" s="213"/>
      <c r="E1532" s="816" t="s">
        <v>1971</v>
      </c>
      <c r="F1532" s="1547">
        <f>'[2]3-х знач.'!$D$19+'[2]3-х знач.'!$D$20+'[2]3-х знач.'!$D$21</f>
        <v>1052.4999999999998</v>
      </c>
      <c r="G1532" s="1547">
        <f>'[2]3-х знач.'!$E$19+'[2]3-х знач.'!$E$20</f>
        <v>607.4</v>
      </c>
      <c r="H1532" s="1547">
        <f>'[2]3-х знач.'!$F$19+'[2]3-х знач.'!$F$20</f>
        <v>607.4</v>
      </c>
      <c r="I1532" s="1547">
        <f>'[2]3-х знач.'!$I$19+'[2]3-х знач.'!$I$20</f>
        <v>624.69999999999993</v>
      </c>
      <c r="J1532" s="1547">
        <f>'[2]3-х знач.'!$L$19+'[2]3-х знач.'!$L$20</f>
        <v>646.4</v>
      </c>
      <c r="K1532" s="697" t="s">
        <v>1482</v>
      </c>
      <c r="L1532" s="22" t="s">
        <v>16</v>
      </c>
      <c r="M1532" s="624">
        <v>29</v>
      </c>
      <c r="N1532" s="624">
        <v>29</v>
      </c>
      <c r="O1532" s="624">
        <v>29</v>
      </c>
      <c r="P1532" s="624">
        <v>29</v>
      </c>
      <c r="Q1532" s="1180">
        <v>29</v>
      </c>
    </row>
    <row r="1533" spans="2:17" ht="29.25" customHeight="1" x14ac:dyDescent="0.2">
      <c r="B1533" s="1719" t="s">
        <v>2722</v>
      </c>
      <c r="C1533" s="1720"/>
      <c r="D1533" s="1720"/>
      <c r="E1533" s="1721"/>
      <c r="F1533" s="1572">
        <f>F1530</f>
        <v>3363.5999999999995</v>
      </c>
      <c r="G1533" s="1572">
        <f>G1530</f>
        <v>2937</v>
      </c>
      <c r="H1533" s="1572">
        <f>H1530</f>
        <v>2937</v>
      </c>
      <c r="I1533" s="1572">
        <f>I1530</f>
        <v>2954.2999999999997</v>
      </c>
      <c r="J1533" s="1572">
        <f>J1530</f>
        <v>2976</v>
      </c>
      <c r="K1533" s="704"/>
      <c r="L1533" s="1829"/>
      <c r="M1533" s="1829"/>
      <c r="N1533" s="1829"/>
      <c r="O1533" s="1829"/>
      <c r="P1533" s="1829"/>
      <c r="Q1533" s="1830"/>
    </row>
    <row r="1534" spans="2:17" ht="29.25" customHeight="1" x14ac:dyDescent="0.2">
      <c r="B1534" s="1722" t="s">
        <v>1972</v>
      </c>
      <c r="C1534" s="1723"/>
      <c r="D1534" s="1723"/>
      <c r="E1534" s="1723"/>
      <c r="F1534" s="1723"/>
      <c r="G1534" s="1723"/>
      <c r="H1534" s="1723"/>
      <c r="I1534" s="1723"/>
      <c r="J1534" s="1723"/>
      <c r="K1534" s="1723"/>
      <c r="L1534" s="1723"/>
      <c r="M1534" s="1723"/>
      <c r="N1534" s="1723"/>
      <c r="O1534" s="1723"/>
      <c r="P1534" s="1723"/>
      <c r="Q1534" s="1724"/>
    </row>
    <row r="1535" spans="2:17" ht="72" customHeight="1" x14ac:dyDescent="0.2">
      <c r="B1535" s="1089">
        <v>1</v>
      </c>
      <c r="C1535" s="213"/>
      <c r="D1535" s="1054"/>
      <c r="E1535" s="523" t="s">
        <v>3081</v>
      </c>
      <c r="F1535" s="1561">
        <v>3010.2</v>
      </c>
      <c r="G1535" s="1561">
        <v>3010.2</v>
      </c>
      <c r="H1535" s="1561">
        <v>2817.7</v>
      </c>
      <c r="I1535" s="1561">
        <v>2817.7</v>
      </c>
      <c r="J1535" s="1561">
        <v>2817.7</v>
      </c>
      <c r="K1535" s="659" t="s">
        <v>1480</v>
      </c>
      <c r="L1535" s="415" t="s">
        <v>16</v>
      </c>
      <c r="M1535" s="415">
        <v>20</v>
      </c>
      <c r="N1535" s="415">
        <v>20</v>
      </c>
      <c r="O1535" s="415">
        <v>20</v>
      </c>
      <c r="P1535" s="415">
        <v>20</v>
      </c>
      <c r="Q1535" s="1181">
        <v>20</v>
      </c>
    </row>
    <row r="1536" spans="2:17" ht="29.25" customHeight="1" x14ac:dyDescent="0.2">
      <c r="B1536" s="1089"/>
      <c r="C1536" s="223">
        <v>1</v>
      </c>
      <c r="D1536" s="213"/>
      <c r="E1536" s="882" t="s">
        <v>1973</v>
      </c>
      <c r="F1536" s="1547">
        <v>3010.2</v>
      </c>
      <c r="G1536" s="1547">
        <v>3010.2</v>
      </c>
      <c r="H1536" s="1547">
        <v>2817.7</v>
      </c>
      <c r="I1536" s="1547">
        <v>2817.7</v>
      </c>
      <c r="J1536" s="1547">
        <v>2817.7</v>
      </c>
      <c r="K1536" s="697" t="s">
        <v>1974</v>
      </c>
      <c r="L1536" s="22" t="s">
        <v>16</v>
      </c>
      <c r="M1536" s="22">
        <v>100</v>
      </c>
      <c r="N1536" s="22">
        <v>100</v>
      </c>
      <c r="O1536" s="22">
        <v>100</v>
      </c>
      <c r="P1536" s="22">
        <v>100</v>
      </c>
      <c r="Q1536" s="926">
        <v>100</v>
      </c>
    </row>
    <row r="1537" spans="2:17" ht="29.25" customHeight="1" x14ac:dyDescent="0.2">
      <c r="B1537" s="1089">
        <v>2</v>
      </c>
      <c r="C1537" s="223"/>
      <c r="D1537" s="213"/>
      <c r="E1537" s="1182" t="s">
        <v>1975</v>
      </c>
      <c r="F1537" s="1561">
        <v>12034</v>
      </c>
      <c r="G1537" s="1561">
        <v>12034</v>
      </c>
      <c r="H1537" s="1561">
        <f>H1538</f>
        <v>11572.4</v>
      </c>
      <c r="I1537" s="1561">
        <f>I1538</f>
        <v>11847.8</v>
      </c>
      <c r="J1537" s="1561">
        <f>J1538</f>
        <v>11987.7</v>
      </c>
      <c r="K1537" s="523" t="s">
        <v>1976</v>
      </c>
      <c r="L1537" s="41"/>
      <c r="M1537" s="415">
        <v>30</v>
      </c>
      <c r="N1537" s="415">
        <v>30</v>
      </c>
      <c r="O1537" s="415">
        <v>30</v>
      </c>
      <c r="P1537" s="415">
        <v>30</v>
      </c>
      <c r="Q1537" s="1181">
        <v>30</v>
      </c>
    </row>
    <row r="1538" spans="2:17" ht="72" customHeight="1" x14ac:dyDescent="0.2">
      <c r="B1538" s="1089"/>
      <c r="C1538" s="223">
        <v>1</v>
      </c>
      <c r="D1538" s="213"/>
      <c r="E1538" s="816" t="s">
        <v>1977</v>
      </c>
      <c r="F1538" s="1547">
        <v>12034</v>
      </c>
      <c r="G1538" s="1547">
        <v>12034</v>
      </c>
      <c r="H1538" s="1547">
        <v>11572.4</v>
      </c>
      <c r="I1538" s="1547">
        <v>11847.8</v>
      </c>
      <c r="J1538" s="1547">
        <v>11987.7</v>
      </c>
      <c r="K1538" s="41" t="s">
        <v>1978</v>
      </c>
      <c r="L1538" s="41"/>
      <c r="M1538" s="22">
        <v>30</v>
      </c>
      <c r="N1538" s="22">
        <v>30</v>
      </c>
      <c r="O1538" s="22">
        <v>30</v>
      </c>
      <c r="P1538" s="22">
        <v>30</v>
      </c>
      <c r="Q1538" s="926">
        <v>30</v>
      </c>
    </row>
    <row r="1539" spans="2:17" ht="29.25" customHeight="1" x14ac:dyDescent="0.2">
      <c r="B1539" s="1719" t="s">
        <v>2722</v>
      </c>
      <c r="C1539" s="1720"/>
      <c r="D1539" s="1720"/>
      <c r="E1539" s="1721"/>
      <c r="F1539" s="1572">
        <f>F1535+F1537</f>
        <v>15044.2</v>
      </c>
      <c r="G1539" s="1572">
        <f>G1535+G1537</f>
        <v>15044.2</v>
      </c>
      <c r="H1539" s="1572">
        <f>H1535+H1537</f>
        <v>14390.099999999999</v>
      </c>
      <c r="I1539" s="1572">
        <f>I1535+I1537</f>
        <v>14665.5</v>
      </c>
      <c r="J1539" s="1572">
        <f>J1535+J1537</f>
        <v>14805.400000000001</v>
      </c>
      <c r="K1539" s="704"/>
      <c r="L1539" s="1829"/>
      <c r="M1539" s="1829"/>
      <c r="N1539" s="1829"/>
      <c r="O1539" s="1829"/>
      <c r="P1539" s="1829"/>
      <c r="Q1539" s="1830"/>
    </row>
    <row r="1540" spans="2:17" ht="29.25" customHeight="1" x14ac:dyDescent="0.2">
      <c r="B1540" s="1722" t="s">
        <v>1979</v>
      </c>
      <c r="C1540" s="1723"/>
      <c r="D1540" s="1723"/>
      <c r="E1540" s="1723"/>
      <c r="F1540" s="1723"/>
      <c r="G1540" s="1723"/>
      <c r="H1540" s="1723"/>
      <c r="I1540" s="1723"/>
      <c r="J1540" s="1723"/>
      <c r="K1540" s="1723"/>
      <c r="L1540" s="1723"/>
      <c r="M1540" s="1723"/>
      <c r="N1540" s="1723"/>
      <c r="O1540" s="1723"/>
      <c r="P1540" s="1723"/>
      <c r="Q1540" s="1724"/>
    </row>
    <row r="1541" spans="2:17" ht="58.5" customHeight="1" x14ac:dyDescent="0.2">
      <c r="B1541" s="686">
        <v>1</v>
      </c>
      <c r="C1541" s="632"/>
      <c r="D1541" s="1475"/>
      <c r="E1541" s="135" t="s">
        <v>2542</v>
      </c>
      <c r="F1541" s="1573">
        <f t="shared" ref="F1541:J1541" si="93">F1542+F1543+F1544+F1545+F1546</f>
        <v>13194.699999999999</v>
      </c>
      <c r="G1541" s="1573">
        <f t="shared" si="93"/>
        <v>17218.2</v>
      </c>
      <c r="H1541" s="1573">
        <f t="shared" si="93"/>
        <v>17306.899999999998</v>
      </c>
      <c r="I1541" s="1573">
        <f t="shared" si="93"/>
        <v>17616.900000000001</v>
      </c>
      <c r="J1541" s="1573">
        <f t="shared" si="93"/>
        <v>17806.900000000001</v>
      </c>
      <c r="K1541" s="643"/>
      <c r="L1541" s="638" t="s">
        <v>16</v>
      </c>
      <c r="M1541" s="638"/>
      <c r="N1541" s="638"/>
      <c r="O1541" s="638"/>
      <c r="P1541" s="638"/>
      <c r="Q1541" s="638"/>
    </row>
    <row r="1542" spans="2:17" ht="29.25" customHeight="1" x14ac:dyDescent="0.2">
      <c r="B1542" s="685"/>
      <c r="C1542" s="687">
        <v>1</v>
      </c>
      <c r="D1542" s="632"/>
      <c r="E1542" s="641" t="s">
        <v>17</v>
      </c>
      <c r="F1542" s="1547">
        <f>3379.4</f>
        <v>3379.4</v>
      </c>
      <c r="G1542" s="1547">
        <f>3700+395.5+658.3+113.6+50+108.3</f>
        <v>5025.7000000000007</v>
      </c>
      <c r="H1542" s="1547">
        <v>5295.8</v>
      </c>
      <c r="I1542" s="1547">
        <f>5295.8+70+20</f>
        <v>5385.8</v>
      </c>
      <c r="J1542" s="1547">
        <f>5295.8+100</f>
        <v>5395.8</v>
      </c>
      <c r="K1542" s="367" t="s">
        <v>1980</v>
      </c>
      <c r="L1542" s="175" t="s">
        <v>16</v>
      </c>
      <c r="M1542" s="175">
        <v>100</v>
      </c>
      <c r="N1542" s="175">
        <v>100</v>
      </c>
      <c r="O1542" s="175">
        <v>100</v>
      </c>
      <c r="P1542" s="175">
        <v>100</v>
      </c>
      <c r="Q1542" s="175">
        <v>100</v>
      </c>
    </row>
    <row r="1543" spans="2:17" ht="29.25" customHeight="1" x14ac:dyDescent="0.2">
      <c r="B1543" s="685"/>
      <c r="C1543" s="1399">
        <v>2</v>
      </c>
      <c r="D1543" s="632"/>
      <c r="E1543" s="816" t="s">
        <v>1971</v>
      </c>
      <c r="F1543" s="1547">
        <f>3424.5</f>
        <v>3424.5</v>
      </c>
      <c r="G1543" s="1547">
        <f>1200+152+79.2+56.8+25+54.2</f>
        <v>1567.2</v>
      </c>
      <c r="H1543" s="1547">
        <v>1569.1</v>
      </c>
      <c r="I1543" s="1547">
        <f>1569.1+70+20</f>
        <v>1659.1</v>
      </c>
      <c r="J1543" s="1547">
        <f>1569.1+100</f>
        <v>1669.1</v>
      </c>
      <c r="K1543" s="697" t="s">
        <v>419</v>
      </c>
      <c r="L1543" s="175" t="s">
        <v>16</v>
      </c>
      <c r="M1543" s="175">
        <v>100</v>
      </c>
      <c r="N1543" s="175">
        <v>100</v>
      </c>
      <c r="O1543" s="175">
        <v>100</v>
      </c>
      <c r="P1543" s="175">
        <v>100</v>
      </c>
      <c r="Q1543" s="175">
        <v>100</v>
      </c>
    </row>
    <row r="1544" spans="2:17" ht="29.25" customHeight="1" x14ac:dyDescent="0.2">
      <c r="B1544" s="685"/>
      <c r="C1544" s="1399">
        <v>5</v>
      </c>
      <c r="D1544" s="632"/>
      <c r="E1544" s="600" t="s">
        <v>1981</v>
      </c>
      <c r="F1544" s="1547">
        <f>600</f>
        <v>600</v>
      </c>
      <c r="G1544" s="1547">
        <f>3400+442.7+987.5+170.2+75+162.5-372.9</f>
        <v>4865</v>
      </c>
      <c r="H1544" s="1547">
        <v>4553.7</v>
      </c>
      <c r="I1544" s="1547">
        <f>4553.7+70+20</f>
        <v>4643.7</v>
      </c>
      <c r="J1544" s="1547">
        <f>4553.7+100</f>
        <v>4653.7</v>
      </c>
      <c r="K1544" s="586" t="s">
        <v>1982</v>
      </c>
      <c r="L1544" s="680" t="s">
        <v>122</v>
      </c>
      <c r="M1544" s="175" t="s">
        <v>1983</v>
      </c>
      <c r="N1544" s="175" t="s">
        <v>1983</v>
      </c>
      <c r="O1544" s="175" t="s">
        <v>1983</v>
      </c>
      <c r="P1544" s="175" t="s">
        <v>1983</v>
      </c>
      <c r="Q1544" s="175" t="s">
        <v>1983</v>
      </c>
    </row>
    <row r="1545" spans="2:17" ht="29.25" customHeight="1" x14ac:dyDescent="0.2">
      <c r="B1545" s="685"/>
      <c r="C1545" s="598">
        <v>6</v>
      </c>
      <c r="D1545" s="632"/>
      <c r="E1545" s="563" t="s">
        <v>1917</v>
      </c>
      <c r="F1545" s="1547">
        <f>3989</f>
        <v>3989</v>
      </c>
      <c r="G1545" s="1547">
        <f>3200+471.5+325+337.4+150+325</f>
        <v>4808.8999999999996</v>
      </c>
      <c r="H1545" s="1547">
        <v>4915.8999999999996</v>
      </c>
      <c r="I1545" s="1547">
        <f>4915.9+70+20</f>
        <v>5005.8999999999996</v>
      </c>
      <c r="J1545" s="1547">
        <f>4915.9+100</f>
        <v>5015.8999999999996</v>
      </c>
      <c r="K1545" s="697" t="s">
        <v>1866</v>
      </c>
      <c r="L1545" s="175" t="s">
        <v>16</v>
      </c>
      <c r="M1545" s="175">
        <v>41.6</v>
      </c>
      <c r="N1545" s="175">
        <v>41.6</v>
      </c>
      <c r="O1545" s="175">
        <v>41.6</v>
      </c>
      <c r="P1545" s="175">
        <v>41.6</v>
      </c>
      <c r="Q1545" s="175">
        <v>41.6</v>
      </c>
    </row>
    <row r="1546" spans="2:17" ht="29.25" customHeight="1" x14ac:dyDescent="0.2">
      <c r="B1546" s="685"/>
      <c r="C1546" s="598">
        <v>7</v>
      </c>
      <c r="D1546" s="632"/>
      <c r="E1546" s="290" t="s">
        <v>1984</v>
      </c>
      <c r="F1546" s="1547">
        <f>1801.8</f>
        <v>1801.8</v>
      </c>
      <c r="G1546" s="1547">
        <f>650+84.3+150+27.5+12.5+27.1</f>
        <v>951.4</v>
      </c>
      <c r="H1546" s="1547">
        <v>972.4</v>
      </c>
      <c r="I1546" s="1547">
        <f>972.4-50</f>
        <v>922.4</v>
      </c>
      <c r="J1546" s="1547">
        <f>972.4+100</f>
        <v>1072.4000000000001</v>
      </c>
      <c r="K1546" s="586" t="s">
        <v>1985</v>
      </c>
      <c r="L1546" s="680" t="s">
        <v>122</v>
      </c>
      <c r="M1546" s="175" t="s">
        <v>1983</v>
      </c>
      <c r="N1546" s="175" t="s">
        <v>1983</v>
      </c>
      <c r="O1546" s="175" t="s">
        <v>1983</v>
      </c>
      <c r="P1546" s="175" t="s">
        <v>1983</v>
      </c>
      <c r="Q1546" s="175" t="s">
        <v>1983</v>
      </c>
    </row>
    <row r="1547" spans="2:17" ht="29.25" customHeight="1" x14ac:dyDescent="0.2">
      <c r="B1547" s="1184" t="s">
        <v>131</v>
      </c>
      <c r="C1547" s="917"/>
      <c r="D1547" s="917"/>
      <c r="E1547" s="301" t="s">
        <v>1986</v>
      </c>
      <c r="F1547" s="1561">
        <f t="shared" ref="F1547:J1547" si="94">F1548+F1549+F1550+F1551+F1552</f>
        <v>14008.4</v>
      </c>
      <c r="G1547" s="1561">
        <f t="shared" si="94"/>
        <v>18865.8</v>
      </c>
      <c r="H1547" s="1561">
        <f t="shared" si="94"/>
        <v>18777.100000000002</v>
      </c>
      <c r="I1547" s="1561">
        <f t="shared" si="94"/>
        <v>19157.800000000003</v>
      </c>
      <c r="J1547" s="1561">
        <f t="shared" si="94"/>
        <v>19318.600000000002</v>
      </c>
      <c r="K1547" s="41"/>
      <c r="L1547" s="41"/>
      <c r="M1547" s="41"/>
      <c r="N1547" s="42"/>
      <c r="O1547" s="42"/>
      <c r="P1547" s="42"/>
      <c r="Q1547" s="42"/>
    </row>
    <row r="1548" spans="2:17" ht="29.25" customHeight="1" x14ac:dyDescent="0.2">
      <c r="B1548" s="1184"/>
      <c r="C1548" s="917" t="s">
        <v>114</v>
      </c>
      <c r="D1548" s="917"/>
      <c r="E1548" s="131" t="s">
        <v>1987</v>
      </c>
      <c r="F1548" s="1547">
        <f>7432.6</f>
        <v>7432.6</v>
      </c>
      <c r="G1548" s="1547">
        <f>5500+726.4+1500+205+125+270.8+115.3+0.4</f>
        <v>8442.8999999999978</v>
      </c>
      <c r="H1548" s="1547">
        <v>8373</v>
      </c>
      <c r="I1548" s="1547">
        <f>8373+70+30.7</f>
        <v>8473.7000000000007</v>
      </c>
      <c r="J1548" s="1547">
        <f>8373+100+41.5</f>
        <v>8514.5</v>
      </c>
      <c r="K1548" s="414" t="s">
        <v>1988</v>
      </c>
      <c r="L1548" s="175" t="s">
        <v>1178</v>
      </c>
      <c r="M1548" s="175" t="s">
        <v>1536</v>
      </c>
      <c r="N1548" s="175" t="s">
        <v>1536</v>
      </c>
      <c r="O1548" s="175" t="s">
        <v>1536</v>
      </c>
      <c r="P1548" s="175" t="s">
        <v>1536</v>
      </c>
      <c r="Q1548" s="175" t="s">
        <v>1536</v>
      </c>
    </row>
    <row r="1549" spans="2:17" ht="29.25" customHeight="1" x14ac:dyDescent="0.2">
      <c r="B1549" s="1184"/>
      <c r="C1549" s="917" t="s">
        <v>116</v>
      </c>
      <c r="D1549" s="917"/>
      <c r="E1549" s="131" t="s">
        <v>1989</v>
      </c>
      <c r="F1549" s="1547">
        <f>1801.9</f>
        <v>1801.9</v>
      </c>
      <c r="G1549" s="1547">
        <f>1600+213+79.2+56.8+37.6+81.2+59.4</f>
        <v>2127.1999999999998</v>
      </c>
      <c r="H1549" s="1547">
        <v>2487.1</v>
      </c>
      <c r="I1549" s="1547">
        <f>2487.1+70</f>
        <v>2557.1</v>
      </c>
      <c r="J1549" s="1547">
        <f>2487.1+100</f>
        <v>2587.1</v>
      </c>
      <c r="K1549" s="414" t="s">
        <v>1990</v>
      </c>
      <c r="L1549" s="175" t="s">
        <v>1991</v>
      </c>
      <c r="M1549" s="175" t="s">
        <v>1536</v>
      </c>
      <c r="N1549" s="175" t="s">
        <v>1536</v>
      </c>
      <c r="O1549" s="175" t="s">
        <v>1536</v>
      </c>
      <c r="P1549" s="175" t="s">
        <v>1536</v>
      </c>
      <c r="Q1549" s="175" t="s">
        <v>1536</v>
      </c>
    </row>
    <row r="1550" spans="2:17" ht="99.75" customHeight="1" x14ac:dyDescent="0.2">
      <c r="B1550" s="1184"/>
      <c r="C1550" s="917" t="s">
        <v>119</v>
      </c>
      <c r="D1550" s="917"/>
      <c r="E1550" s="131" t="s">
        <v>1992</v>
      </c>
      <c r="F1550" s="1547">
        <f>2071</f>
        <v>2071</v>
      </c>
      <c r="G1550" s="1547">
        <f>2466.6+319.9+496.7+79.3+50+108.3+79.3</f>
        <v>3600.1000000000004</v>
      </c>
      <c r="H1550" s="1547">
        <v>3214.8</v>
      </c>
      <c r="I1550" s="1547">
        <f>3214.8+70</f>
        <v>3284.8</v>
      </c>
      <c r="J1550" s="1547">
        <f>3214.8+100</f>
        <v>3314.8</v>
      </c>
      <c r="K1550" s="188" t="s">
        <v>1993</v>
      </c>
      <c r="L1550" s="175" t="s">
        <v>16</v>
      </c>
      <c r="M1550" s="175">
        <v>100</v>
      </c>
      <c r="N1550" s="175">
        <v>100</v>
      </c>
      <c r="O1550" s="175">
        <v>100</v>
      </c>
      <c r="P1550" s="175">
        <v>100</v>
      </c>
      <c r="Q1550" s="175">
        <v>100</v>
      </c>
    </row>
    <row r="1551" spans="2:17" ht="29.25" customHeight="1" x14ac:dyDescent="0.2">
      <c r="B1551" s="1184"/>
      <c r="C1551" s="917" t="s">
        <v>124</v>
      </c>
      <c r="D1551" s="917"/>
      <c r="E1551" s="1186" t="s">
        <v>1994</v>
      </c>
      <c r="F1551" s="1547">
        <f>1351.4</f>
        <v>1351.4</v>
      </c>
      <c r="G1551" s="1547">
        <f>1100+141.5+50+39.6+25+54.2+39.6</f>
        <v>1449.8999999999999</v>
      </c>
      <c r="H1551" s="1547">
        <v>1429.7</v>
      </c>
      <c r="I1551" s="1547">
        <f>1429.7+70</f>
        <v>1499.7</v>
      </c>
      <c r="J1551" s="1547">
        <f>1429.7+100</f>
        <v>1529.7</v>
      </c>
      <c r="K1551" s="188" t="s">
        <v>1995</v>
      </c>
      <c r="L1551" s="175" t="s">
        <v>1178</v>
      </c>
      <c r="M1551" s="175" t="s">
        <v>1536</v>
      </c>
      <c r="N1551" s="175" t="s">
        <v>1536</v>
      </c>
      <c r="O1551" s="175" t="s">
        <v>1536</v>
      </c>
      <c r="P1551" s="175" t="s">
        <v>1536</v>
      </c>
      <c r="Q1551" s="175" t="s">
        <v>1536</v>
      </c>
    </row>
    <row r="1552" spans="2:17" ht="64.5" customHeight="1" x14ac:dyDescent="0.2">
      <c r="B1552" s="1184"/>
      <c r="C1552" s="917" t="s">
        <v>128</v>
      </c>
      <c r="D1552" s="917"/>
      <c r="E1552" s="586" t="s">
        <v>1996</v>
      </c>
      <c r="F1552" s="1547">
        <f>1351.5</f>
        <v>1351.5</v>
      </c>
      <c r="G1552" s="1547">
        <f>2500+328.6+100.1+79.3+50+108.4+79.3</f>
        <v>3245.7000000000003</v>
      </c>
      <c r="H1552" s="1547">
        <v>3272.5</v>
      </c>
      <c r="I1552" s="1547">
        <f>3272.5+70</f>
        <v>3342.5</v>
      </c>
      <c r="J1552" s="1547">
        <f>3272.5+100</f>
        <v>3372.5</v>
      </c>
      <c r="K1552" s="554" t="s">
        <v>1997</v>
      </c>
      <c r="L1552" s="175" t="s">
        <v>1178</v>
      </c>
      <c r="M1552" s="175" t="s">
        <v>1536</v>
      </c>
      <c r="N1552" s="175" t="s">
        <v>1536</v>
      </c>
      <c r="O1552" s="175" t="s">
        <v>1536</v>
      </c>
      <c r="P1552" s="175" t="s">
        <v>1536</v>
      </c>
      <c r="Q1552" s="175" t="s">
        <v>1536</v>
      </c>
    </row>
    <row r="1553" spans="2:17" ht="29.25" customHeight="1" x14ac:dyDescent="0.2">
      <c r="B1553" s="1719" t="s">
        <v>2722</v>
      </c>
      <c r="C1553" s="1720"/>
      <c r="D1553" s="1720"/>
      <c r="E1553" s="1721"/>
      <c r="F1553" s="1572">
        <f t="shared" ref="F1553:J1553" si="95">F1547+F1541</f>
        <v>27203.1</v>
      </c>
      <c r="G1553" s="1572">
        <f t="shared" si="95"/>
        <v>36084</v>
      </c>
      <c r="H1553" s="1572">
        <f t="shared" si="95"/>
        <v>36084</v>
      </c>
      <c r="I1553" s="1572">
        <f t="shared" si="95"/>
        <v>36774.700000000004</v>
      </c>
      <c r="J1553" s="1572">
        <f t="shared" si="95"/>
        <v>37125.5</v>
      </c>
      <c r="K1553" s="704"/>
      <c r="L1553" s="1829"/>
      <c r="M1553" s="1829"/>
      <c r="N1553" s="1829"/>
      <c r="O1553" s="1829"/>
      <c r="P1553" s="1829"/>
      <c r="Q1553" s="1830"/>
    </row>
    <row r="1554" spans="2:17" ht="29.25" customHeight="1" x14ac:dyDescent="0.2">
      <c r="B1554" s="1722" t="s">
        <v>1998</v>
      </c>
      <c r="C1554" s="1723"/>
      <c r="D1554" s="1723"/>
      <c r="E1554" s="1723"/>
      <c r="F1554" s="1723"/>
      <c r="G1554" s="1723"/>
      <c r="H1554" s="1723"/>
      <c r="I1554" s="1723"/>
      <c r="J1554" s="1723"/>
      <c r="K1554" s="1723"/>
      <c r="L1554" s="1723"/>
      <c r="M1554" s="1723"/>
      <c r="N1554" s="1723"/>
      <c r="O1554" s="1723"/>
      <c r="P1554" s="1723"/>
      <c r="Q1554" s="1724"/>
    </row>
    <row r="1555" spans="2:17" ht="77.25" customHeight="1" x14ac:dyDescent="0.2">
      <c r="B1555" s="1364">
        <v>1</v>
      </c>
      <c r="C1555" s="599"/>
      <c r="D1555" s="568"/>
      <c r="E1555" s="1187" t="s">
        <v>2544</v>
      </c>
      <c r="F1555" s="1782"/>
      <c r="G1555" s="1561">
        <f t="shared" ref="G1555:G1560" si="96">H1555</f>
        <v>45153.67</v>
      </c>
      <c r="H1555" s="1561">
        <f>H1556+H1557+H1558+H1559+H1560+H1561+H1563+H1565</f>
        <v>45153.67</v>
      </c>
      <c r="I1555" s="1561">
        <f>I1556+I1557+I1558+I1559+I1560+I1561+I1565+I1563</f>
        <v>45890.77</v>
      </c>
      <c r="J1555" s="1561">
        <f>J1556+J1557+J1558+J1559+J1560+J1561+J1565+J1563</f>
        <v>46346.570000000007</v>
      </c>
      <c r="K1555" s="659" t="s">
        <v>1480</v>
      </c>
      <c r="L1555" s="415" t="s">
        <v>16</v>
      </c>
      <c r="M1555" s="415"/>
      <c r="N1555" s="415"/>
      <c r="O1555" s="415"/>
      <c r="P1555" s="415"/>
      <c r="Q1555" s="934"/>
    </row>
    <row r="1556" spans="2:17" ht="29.25" customHeight="1" x14ac:dyDescent="0.2">
      <c r="B1556" s="1364"/>
      <c r="C1556" s="598">
        <v>1</v>
      </c>
      <c r="D1556" s="599"/>
      <c r="E1556" s="560" t="s">
        <v>563</v>
      </c>
      <c r="F1556" s="1782"/>
      <c r="G1556" s="1547">
        <f t="shared" si="96"/>
        <v>5390.1</v>
      </c>
      <c r="H1556" s="1574">
        <f>4990.1+400</f>
        <v>5390.1</v>
      </c>
      <c r="I1556" s="1574">
        <f>4990.1+400+100</f>
        <v>5490.1</v>
      </c>
      <c r="J1556" s="1574">
        <f>4990.1+400+150</f>
        <v>5540.1</v>
      </c>
      <c r="K1556" s="697" t="s">
        <v>692</v>
      </c>
      <c r="L1556" s="22" t="s">
        <v>19</v>
      </c>
      <c r="M1556" s="22">
        <v>31.6</v>
      </c>
      <c r="N1556" s="22" t="s">
        <v>1999</v>
      </c>
      <c r="O1556" s="22" t="s">
        <v>1999</v>
      </c>
      <c r="P1556" s="22" t="s">
        <v>1999</v>
      </c>
      <c r="Q1556" s="22" t="s">
        <v>1999</v>
      </c>
    </row>
    <row r="1557" spans="2:17" ht="29.25" customHeight="1" x14ac:dyDescent="0.2">
      <c r="B1557" s="1364"/>
      <c r="C1557" s="598">
        <v>2</v>
      </c>
      <c r="D1557" s="599"/>
      <c r="E1557" s="473" t="s">
        <v>2000</v>
      </c>
      <c r="F1557" s="1782"/>
      <c r="G1557" s="1547">
        <f t="shared" si="96"/>
        <v>2649.4</v>
      </c>
      <c r="H1557" s="1574">
        <f>2614.1+35.3</f>
        <v>2649.4</v>
      </c>
      <c r="I1557" s="1574">
        <f>2614.1+35.3+100</f>
        <v>2749.4</v>
      </c>
      <c r="J1557" s="1574">
        <f>2614.1+35.3+100+64.6</f>
        <v>2814</v>
      </c>
      <c r="K1557" s="697" t="s">
        <v>1482</v>
      </c>
      <c r="L1557" s="22" t="s">
        <v>16</v>
      </c>
      <c r="M1557" s="22">
        <v>100</v>
      </c>
      <c r="N1557" s="22">
        <v>100</v>
      </c>
      <c r="O1557" s="22">
        <v>100</v>
      </c>
      <c r="P1557" s="22">
        <v>100</v>
      </c>
      <c r="Q1557" s="926">
        <v>100</v>
      </c>
    </row>
    <row r="1558" spans="2:17" ht="29.25" customHeight="1" x14ac:dyDescent="0.2">
      <c r="B1558" s="1364"/>
      <c r="C1558" s="598">
        <v>3</v>
      </c>
      <c r="D1558" s="599"/>
      <c r="E1558" s="473" t="s">
        <v>23</v>
      </c>
      <c r="F1558" s="1782"/>
      <c r="G1558" s="1547">
        <f t="shared" si="96"/>
        <v>2928.3</v>
      </c>
      <c r="H1558" s="1574">
        <f>2525.3+3+400</f>
        <v>2928.3</v>
      </c>
      <c r="I1558" s="1574">
        <f>2525.3+3+400+100</f>
        <v>3028.3</v>
      </c>
      <c r="J1558" s="1574">
        <f>2525.3+3+400+100+64.6</f>
        <v>3092.9</v>
      </c>
      <c r="K1558" s="697" t="s">
        <v>2001</v>
      </c>
      <c r="L1558" s="22" t="s">
        <v>122</v>
      </c>
      <c r="M1558" s="22">
        <v>32</v>
      </c>
      <c r="N1558" s="22">
        <v>30</v>
      </c>
      <c r="O1558" s="22">
        <v>28</v>
      </c>
      <c r="P1558" s="22">
        <v>28</v>
      </c>
      <c r="Q1558" s="926">
        <v>28</v>
      </c>
    </row>
    <row r="1559" spans="2:17" ht="29.25" customHeight="1" x14ac:dyDescent="0.2">
      <c r="B1559" s="1364"/>
      <c r="C1559" s="598">
        <v>4</v>
      </c>
      <c r="D1559" s="599"/>
      <c r="E1559" s="473" t="s">
        <v>2002</v>
      </c>
      <c r="F1559" s="1782"/>
      <c r="G1559" s="1547">
        <f t="shared" si="96"/>
        <v>2828.1</v>
      </c>
      <c r="H1559" s="1574">
        <f>2428.1+400</f>
        <v>2828.1</v>
      </c>
      <c r="I1559" s="1574">
        <f>2428.1+400+100</f>
        <v>2928.1</v>
      </c>
      <c r="J1559" s="1574">
        <f>2428.1+400+100+64.6</f>
        <v>2992.7</v>
      </c>
      <c r="K1559" s="697" t="s">
        <v>1484</v>
      </c>
      <c r="L1559" s="22"/>
      <c r="M1559" s="22">
        <v>100</v>
      </c>
      <c r="N1559" s="22">
        <v>100</v>
      </c>
      <c r="O1559" s="22">
        <v>100</v>
      </c>
      <c r="P1559" s="22">
        <v>100</v>
      </c>
      <c r="Q1559" s="926">
        <v>100</v>
      </c>
    </row>
    <row r="1560" spans="2:17" ht="29.25" customHeight="1" x14ac:dyDescent="0.2">
      <c r="B1560" s="1364"/>
      <c r="C1560" s="598">
        <v>5</v>
      </c>
      <c r="D1560" s="599"/>
      <c r="E1560" s="916" t="s">
        <v>2003</v>
      </c>
      <c r="F1560" s="1782"/>
      <c r="G1560" s="1547">
        <f t="shared" si="96"/>
        <v>12568.27</v>
      </c>
      <c r="H1560" s="1547">
        <f>9568.27+3000</f>
        <v>12568.27</v>
      </c>
      <c r="I1560" s="1547">
        <f>9568.27+3000+100</f>
        <v>12668.27</v>
      </c>
      <c r="J1560" s="1547">
        <f>9568.27+3000+100+64.6</f>
        <v>12732.87</v>
      </c>
      <c r="K1560" s="697"/>
      <c r="L1560" s="22"/>
      <c r="M1560" s="22"/>
      <c r="N1560" s="22"/>
      <c r="O1560" s="22"/>
      <c r="P1560" s="22"/>
      <c r="Q1560" s="926"/>
    </row>
    <row r="1561" spans="2:17" ht="29.25" customHeight="1" x14ac:dyDescent="0.2">
      <c r="B1561" s="1767"/>
      <c r="C1561" s="1768">
        <v>6</v>
      </c>
      <c r="D1561" s="1769"/>
      <c r="E1561" s="1813" t="s">
        <v>2004</v>
      </c>
      <c r="F1561" s="1782"/>
      <c r="G1561" s="1773">
        <v>1015.8</v>
      </c>
      <c r="H1561" s="1773">
        <v>1112.7</v>
      </c>
      <c r="I1561" s="1773">
        <f>715.8+300+20</f>
        <v>1035.8</v>
      </c>
      <c r="J1561" s="1773">
        <f>715.8+300+64.6</f>
        <v>1080.3999999999999</v>
      </c>
      <c r="K1561" s="561" t="s">
        <v>2005</v>
      </c>
      <c r="L1561" s="22" t="s">
        <v>16</v>
      </c>
      <c r="M1561" s="22">
        <v>90</v>
      </c>
      <c r="N1561" s="22">
        <v>100</v>
      </c>
      <c r="O1561" s="22">
        <v>100</v>
      </c>
      <c r="P1561" s="22">
        <v>100</v>
      </c>
      <c r="Q1561" s="926">
        <v>100</v>
      </c>
    </row>
    <row r="1562" spans="2:17" ht="29.25" customHeight="1" x14ac:dyDescent="0.2">
      <c r="B1562" s="1767"/>
      <c r="C1562" s="1768"/>
      <c r="D1562" s="1769"/>
      <c r="E1562" s="1815"/>
      <c r="F1562" s="1782"/>
      <c r="G1562" s="1773"/>
      <c r="H1562" s="1773"/>
      <c r="I1562" s="1773"/>
      <c r="J1562" s="1773"/>
      <c r="K1562" s="41" t="s">
        <v>2006</v>
      </c>
      <c r="L1562" s="22" t="s">
        <v>16</v>
      </c>
      <c r="M1562" s="22">
        <v>100</v>
      </c>
      <c r="N1562" s="22">
        <v>100</v>
      </c>
      <c r="O1562" s="22">
        <v>100</v>
      </c>
      <c r="P1562" s="22">
        <v>100</v>
      </c>
      <c r="Q1562" s="926">
        <v>100</v>
      </c>
    </row>
    <row r="1563" spans="2:17" ht="29.25" customHeight="1" x14ac:dyDescent="0.2">
      <c r="B1563" s="1767"/>
      <c r="C1563" s="1768">
        <v>7</v>
      </c>
      <c r="D1563" s="1769"/>
      <c r="E1563" s="1813" t="s">
        <v>2968</v>
      </c>
      <c r="F1563" s="1782"/>
      <c r="G1563" s="1773">
        <v>871.5</v>
      </c>
      <c r="H1563" s="1547">
        <v>817.5</v>
      </c>
      <c r="I1563" s="1547">
        <f>818.5+13</f>
        <v>831.5</v>
      </c>
      <c r="J1563" s="1547">
        <f>819.5+64.8</f>
        <v>884.3</v>
      </c>
      <c r="K1563" s="561" t="s">
        <v>2007</v>
      </c>
      <c r="L1563" s="22" t="s">
        <v>122</v>
      </c>
      <c r="M1563" s="22"/>
      <c r="N1563" s="22"/>
      <c r="O1563" s="22"/>
      <c r="P1563" s="22"/>
      <c r="Q1563" s="926"/>
    </row>
    <row r="1564" spans="2:17" ht="29.25" customHeight="1" x14ac:dyDescent="0.2">
      <c r="B1564" s="1767"/>
      <c r="C1564" s="1768"/>
      <c r="D1564" s="1769"/>
      <c r="E1564" s="1815"/>
      <c r="F1564" s="1782"/>
      <c r="G1564" s="1773"/>
      <c r="H1564" s="1547"/>
      <c r="I1564" s="1547"/>
      <c r="J1564" s="1547"/>
      <c r="K1564" s="561" t="s">
        <v>2008</v>
      </c>
      <c r="L1564" s="22" t="s">
        <v>122</v>
      </c>
      <c r="M1564" s="22"/>
      <c r="N1564" s="22"/>
      <c r="O1564" s="22"/>
      <c r="P1564" s="22"/>
      <c r="Q1564" s="926"/>
    </row>
    <row r="1565" spans="2:17" ht="29.25" customHeight="1" x14ac:dyDescent="0.2">
      <c r="B1565" s="1364"/>
      <c r="C1565" s="598">
        <v>8</v>
      </c>
      <c r="D1565" s="599"/>
      <c r="E1565" s="916" t="s">
        <v>469</v>
      </c>
      <c r="F1565" s="1561"/>
      <c r="G1565" s="1547">
        <f>H1565</f>
        <v>16859.3</v>
      </c>
      <c r="H1565" s="1547">
        <v>16859.3</v>
      </c>
      <c r="I1565" s="1547">
        <f>16859.3+300</f>
        <v>17159.3</v>
      </c>
      <c r="J1565" s="1547">
        <f>16859.3+350</f>
        <v>17209.3</v>
      </c>
      <c r="K1565" s="697" t="s">
        <v>2009</v>
      </c>
      <c r="L1565" s="22" t="s">
        <v>115</v>
      </c>
      <c r="M1565" s="22" t="s">
        <v>1366</v>
      </c>
      <c r="N1565" s="22" t="s">
        <v>1366</v>
      </c>
      <c r="O1565" s="22" t="s">
        <v>1366</v>
      </c>
      <c r="P1565" s="22" t="s">
        <v>1366</v>
      </c>
      <c r="Q1565" s="926" t="s">
        <v>1366</v>
      </c>
    </row>
    <row r="1566" spans="2:17" ht="60" customHeight="1" x14ac:dyDescent="0.2">
      <c r="B1566" s="1365" t="s">
        <v>131</v>
      </c>
      <c r="C1566" s="696"/>
      <c r="D1566" s="696"/>
      <c r="E1566" s="1189" t="s">
        <v>3082</v>
      </c>
      <c r="F1566" s="1574"/>
      <c r="G1566" s="1561">
        <f>G1567+G1569+G1573+G1579</f>
        <v>16259.9</v>
      </c>
      <c r="H1566" s="1561">
        <f>H1567+H1569+H1572+H1573+H1579</f>
        <v>16259.9</v>
      </c>
      <c r="I1566" s="1561">
        <f>I1567+I1569+I1572+I1573+I1579</f>
        <v>16599.5</v>
      </c>
      <c r="J1566" s="1561">
        <f>J1567+J1569+J1572+J1573+J1579</f>
        <v>16739.900000000001</v>
      </c>
      <c r="K1566" s="41" t="s">
        <v>2545</v>
      </c>
      <c r="L1566" s="22" t="s">
        <v>122</v>
      </c>
      <c r="M1566" s="42"/>
      <c r="N1566" s="42"/>
      <c r="O1566" s="42"/>
      <c r="P1566" s="42"/>
      <c r="Q1566" s="929"/>
    </row>
    <row r="1567" spans="2:17" ht="29.25" customHeight="1" x14ac:dyDescent="0.2">
      <c r="B1567" s="1745"/>
      <c r="C1567" s="1746" t="s">
        <v>114</v>
      </c>
      <c r="D1567" s="1746"/>
      <c r="E1567" s="1822" t="s">
        <v>2010</v>
      </c>
      <c r="F1567" s="1782"/>
      <c r="G1567" s="1773">
        <f>H1567</f>
        <v>4616.8999999999996</v>
      </c>
      <c r="H1567" s="1787">
        <f>4316.9+300</f>
        <v>4616.8999999999996</v>
      </c>
      <c r="I1567" s="1787">
        <f>4316.9+300+84.9</f>
        <v>4701.7999999999993</v>
      </c>
      <c r="J1567" s="1787">
        <f>4316.9+300+120</f>
        <v>4736.8999999999996</v>
      </c>
      <c r="K1567" s="41" t="s">
        <v>2011</v>
      </c>
      <c r="L1567" s="22" t="s">
        <v>16</v>
      </c>
      <c r="M1567" s="815">
        <v>89</v>
      </c>
      <c r="N1567" s="815">
        <v>86</v>
      </c>
      <c r="O1567" s="815">
        <v>90</v>
      </c>
      <c r="P1567" s="815">
        <v>90</v>
      </c>
      <c r="Q1567" s="1190">
        <v>90</v>
      </c>
    </row>
    <row r="1568" spans="2:17" ht="29.25" customHeight="1" x14ac:dyDescent="0.2">
      <c r="B1568" s="1745"/>
      <c r="C1568" s="1746"/>
      <c r="D1568" s="1746"/>
      <c r="E1568" s="1823"/>
      <c r="F1568" s="1782"/>
      <c r="G1568" s="1773"/>
      <c r="H1568" s="1789"/>
      <c r="I1568" s="1789"/>
      <c r="J1568" s="1789"/>
      <c r="K1568" s="41" t="s">
        <v>2012</v>
      </c>
      <c r="L1568" s="22" t="s">
        <v>16</v>
      </c>
      <c r="M1568" s="815">
        <v>70</v>
      </c>
      <c r="N1568" s="815">
        <v>75</v>
      </c>
      <c r="O1568" s="815">
        <v>80</v>
      </c>
      <c r="P1568" s="815">
        <v>82</v>
      </c>
      <c r="Q1568" s="1190">
        <v>82</v>
      </c>
    </row>
    <row r="1569" spans="2:17" ht="29.25" customHeight="1" x14ac:dyDescent="0.2">
      <c r="B1569" s="1745"/>
      <c r="C1569" s="1746" t="s">
        <v>116</v>
      </c>
      <c r="D1569" s="1746"/>
      <c r="E1569" s="1824" t="s">
        <v>2013</v>
      </c>
      <c r="F1569" s="1740"/>
      <c r="G1569" s="1740">
        <f>H1569</f>
        <v>2703.9</v>
      </c>
      <c r="H1569" s="1740">
        <f>2403.9+300</f>
        <v>2703.9</v>
      </c>
      <c r="I1569" s="1740">
        <f>2403.9+300+84.9</f>
        <v>2788.8</v>
      </c>
      <c r="J1569" s="1740">
        <f>2403.9+300+120</f>
        <v>2823.9</v>
      </c>
      <c r="K1569" s="41" t="s">
        <v>2014</v>
      </c>
      <c r="L1569" s="22" t="s">
        <v>122</v>
      </c>
      <c r="M1569" s="815">
        <v>35</v>
      </c>
      <c r="N1569" s="44" t="s">
        <v>2015</v>
      </c>
      <c r="O1569" s="44" t="s">
        <v>2015</v>
      </c>
      <c r="P1569" s="44" t="s">
        <v>2015</v>
      </c>
      <c r="Q1569" s="44" t="s">
        <v>2015</v>
      </c>
    </row>
    <row r="1570" spans="2:17" ht="29.25" customHeight="1" x14ac:dyDescent="0.2">
      <c r="B1570" s="1745"/>
      <c r="C1570" s="1746"/>
      <c r="D1570" s="1746"/>
      <c r="E1570" s="1825"/>
      <c r="F1570" s="1740"/>
      <c r="G1570" s="1740"/>
      <c r="H1570" s="1740"/>
      <c r="I1570" s="1740"/>
      <c r="J1570" s="1740"/>
      <c r="K1570" s="41" t="s">
        <v>2969</v>
      </c>
      <c r="L1570" s="22" t="s">
        <v>122</v>
      </c>
      <c r="M1570" s="815">
        <v>1</v>
      </c>
      <c r="N1570" s="815">
        <v>1</v>
      </c>
      <c r="O1570" s="815">
        <v>1</v>
      </c>
      <c r="P1570" s="815">
        <v>1</v>
      </c>
      <c r="Q1570" s="1190">
        <v>1</v>
      </c>
    </row>
    <row r="1571" spans="2:17" ht="29.25" customHeight="1" x14ac:dyDescent="0.2">
      <c r="B1571" s="1745"/>
      <c r="C1571" s="1746"/>
      <c r="D1571" s="1746"/>
      <c r="E1571" s="1825"/>
      <c r="F1571" s="1740"/>
      <c r="G1571" s="1740"/>
      <c r="H1571" s="1740"/>
      <c r="I1571" s="1740"/>
      <c r="J1571" s="1740"/>
      <c r="K1571" s="41" t="s">
        <v>2016</v>
      </c>
      <c r="L1571" s="22" t="s">
        <v>122</v>
      </c>
      <c r="M1571" s="815">
        <v>11</v>
      </c>
      <c r="N1571" s="815">
        <v>12</v>
      </c>
      <c r="O1571" s="815">
        <v>13</v>
      </c>
      <c r="P1571" s="815">
        <v>14</v>
      </c>
      <c r="Q1571" s="1190">
        <v>14</v>
      </c>
    </row>
    <row r="1572" spans="2:17" ht="29.25" customHeight="1" x14ac:dyDescent="0.2">
      <c r="B1572" s="1745"/>
      <c r="C1572" s="1746"/>
      <c r="D1572" s="1746"/>
      <c r="E1572" s="1826"/>
      <c r="F1572" s="1740"/>
      <c r="G1572" s="1740"/>
      <c r="H1572" s="1740"/>
      <c r="I1572" s="1740"/>
      <c r="J1572" s="1740"/>
      <c r="K1572" s="41" t="s">
        <v>2017</v>
      </c>
      <c r="L1572" s="22" t="s">
        <v>122</v>
      </c>
      <c r="M1572" s="22" t="s">
        <v>2018</v>
      </c>
      <c r="N1572" s="22" t="s">
        <v>2018</v>
      </c>
      <c r="O1572" s="22" t="s">
        <v>2018</v>
      </c>
      <c r="P1572" s="22" t="s">
        <v>2018</v>
      </c>
      <c r="Q1572" s="22" t="s">
        <v>2018</v>
      </c>
    </row>
    <row r="1573" spans="2:17" ht="29.25" customHeight="1" x14ac:dyDescent="0.2">
      <c r="B1573" s="1745"/>
      <c r="C1573" s="1746" t="s">
        <v>119</v>
      </c>
      <c r="D1573" s="1746"/>
      <c r="E1573" s="1813" t="s">
        <v>2970</v>
      </c>
      <c r="F1573" s="1816"/>
      <c r="G1573" s="1818">
        <f>H1573</f>
        <v>4398.7</v>
      </c>
      <c r="H1573" s="1818">
        <f>4098.7+300</f>
        <v>4398.7</v>
      </c>
      <c r="I1573" s="1818">
        <f>4098.7+300+84.9</f>
        <v>4483.5999999999995</v>
      </c>
      <c r="J1573" s="1818">
        <f>4098.7+300+120</f>
        <v>4518.7</v>
      </c>
      <c r="K1573" s="41" t="s">
        <v>2019</v>
      </c>
      <c r="L1573" s="22" t="s">
        <v>16</v>
      </c>
      <c r="M1573" s="815">
        <v>99</v>
      </c>
      <c r="N1573" s="815">
        <v>90</v>
      </c>
      <c r="O1573" s="815">
        <v>90</v>
      </c>
      <c r="P1573" s="815">
        <v>90</v>
      </c>
      <c r="Q1573" s="1190">
        <v>90</v>
      </c>
    </row>
    <row r="1574" spans="2:17" ht="29.25" customHeight="1" x14ac:dyDescent="0.2">
      <c r="B1574" s="1745"/>
      <c r="C1574" s="1746"/>
      <c r="D1574" s="1746"/>
      <c r="E1574" s="1814"/>
      <c r="F1574" s="1817"/>
      <c r="G1574" s="1818"/>
      <c r="H1574" s="1818"/>
      <c r="I1574" s="1818"/>
      <c r="J1574" s="1818"/>
      <c r="K1574" s="41" t="s">
        <v>2020</v>
      </c>
      <c r="L1574" s="22" t="s">
        <v>16</v>
      </c>
      <c r="M1574" s="815">
        <v>100</v>
      </c>
      <c r="N1574" s="815">
        <v>90</v>
      </c>
      <c r="O1574" s="815">
        <v>90</v>
      </c>
      <c r="P1574" s="815">
        <v>90</v>
      </c>
      <c r="Q1574" s="1190">
        <v>90</v>
      </c>
    </row>
    <row r="1575" spans="2:17" ht="57" customHeight="1" x14ac:dyDescent="0.2">
      <c r="B1575" s="1745"/>
      <c r="C1575" s="1746"/>
      <c r="D1575" s="1746"/>
      <c r="E1575" s="1814"/>
      <c r="F1575" s="1817"/>
      <c r="G1575" s="1818"/>
      <c r="H1575" s="1818"/>
      <c r="I1575" s="1818"/>
      <c r="J1575" s="1818"/>
      <c r="K1575" s="41" t="s">
        <v>2021</v>
      </c>
      <c r="L1575" s="22" t="s">
        <v>16</v>
      </c>
      <c r="M1575" s="815">
        <v>100</v>
      </c>
      <c r="N1575" s="815">
        <v>80</v>
      </c>
      <c r="O1575" s="815">
        <v>80</v>
      </c>
      <c r="P1575" s="815">
        <v>80</v>
      </c>
      <c r="Q1575" s="1190">
        <v>80</v>
      </c>
    </row>
    <row r="1576" spans="2:17" ht="79.5" customHeight="1" x14ac:dyDescent="0.2">
      <c r="B1576" s="1745"/>
      <c r="C1576" s="1746"/>
      <c r="D1576" s="1746"/>
      <c r="E1576" s="1814"/>
      <c r="F1576" s="1817"/>
      <c r="G1576" s="1818"/>
      <c r="H1576" s="1818"/>
      <c r="I1576" s="1818"/>
      <c r="J1576" s="1818"/>
      <c r="K1576" s="41" t="s">
        <v>2022</v>
      </c>
      <c r="L1576" s="22" t="s">
        <v>16</v>
      </c>
      <c r="M1576" s="815">
        <v>100</v>
      </c>
      <c r="N1576" s="815">
        <v>90</v>
      </c>
      <c r="O1576" s="815">
        <v>90</v>
      </c>
      <c r="P1576" s="815">
        <v>90</v>
      </c>
      <c r="Q1576" s="1190">
        <v>90</v>
      </c>
    </row>
    <row r="1577" spans="2:17" ht="60" customHeight="1" x14ac:dyDescent="0.2">
      <c r="B1577" s="1745"/>
      <c r="C1577" s="1746"/>
      <c r="D1577" s="1746"/>
      <c r="E1577" s="1814"/>
      <c r="F1577" s="1817"/>
      <c r="G1577" s="1818"/>
      <c r="H1577" s="1818"/>
      <c r="I1577" s="1818"/>
      <c r="J1577" s="1818"/>
      <c r="K1577" s="41" t="s">
        <v>2022</v>
      </c>
      <c r="L1577" s="22" t="s">
        <v>16</v>
      </c>
      <c r="M1577" s="815">
        <v>100</v>
      </c>
      <c r="N1577" s="815">
        <v>90</v>
      </c>
      <c r="O1577" s="815">
        <v>90</v>
      </c>
      <c r="P1577" s="815">
        <v>90</v>
      </c>
      <c r="Q1577" s="1190">
        <v>90</v>
      </c>
    </row>
    <row r="1578" spans="2:17" ht="29.25" customHeight="1" x14ac:dyDescent="0.2">
      <c r="B1578" s="1745"/>
      <c r="C1578" s="1746"/>
      <c r="D1578" s="1746"/>
      <c r="E1578" s="1815"/>
      <c r="F1578" s="1734"/>
      <c r="G1578" s="1818"/>
      <c r="H1578" s="1818"/>
      <c r="I1578" s="1818"/>
      <c r="J1578" s="1818"/>
      <c r="K1578" s="41" t="s">
        <v>2023</v>
      </c>
      <c r="L1578" s="22" t="s">
        <v>16</v>
      </c>
      <c r="M1578" s="599">
        <v>100</v>
      </c>
      <c r="N1578" s="1819" t="s">
        <v>2024</v>
      </c>
      <c r="O1578" s="1820"/>
      <c r="P1578" s="1820"/>
      <c r="Q1578" s="1821"/>
    </row>
    <row r="1579" spans="2:17" ht="29.25" customHeight="1" x14ac:dyDescent="0.2">
      <c r="B1579" s="1745"/>
      <c r="C1579" s="1746" t="s">
        <v>124</v>
      </c>
      <c r="D1579" s="1746"/>
      <c r="E1579" s="1813" t="s">
        <v>2971</v>
      </c>
      <c r="F1579" s="1782"/>
      <c r="G1579" s="1773">
        <f>H1579</f>
        <v>4540.3999999999996</v>
      </c>
      <c r="H1579" s="1773">
        <f>4240.4+300</f>
        <v>4540.3999999999996</v>
      </c>
      <c r="I1579" s="1773">
        <f>4240.4+300+84.9</f>
        <v>4625.2999999999993</v>
      </c>
      <c r="J1579" s="1773">
        <f>4240.4+300+120</f>
        <v>4660.3999999999996</v>
      </c>
      <c r="K1579" s="41" t="s">
        <v>2025</v>
      </c>
      <c r="L1579" s="22" t="s">
        <v>122</v>
      </c>
      <c r="M1579" s="22" t="s">
        <v>2018</v>
      </c>
      <c r="N1579" s="22" t="s">
        <v>2018</v>
      </c>
      <c r="O1579" s="22" t="s">
        <v>2018</v>
      </c>
      <c r="P1579" s="22" t="s">
        <v>2018</v>
      </c>
      <c r="Q1579" s="22" t="s">
        <v>2018</v>
      </c>
    </row>
    <row r="1580" spans="2:17" ht="29.25" customHeight="1" x14ac:dyDescent="0.2">
      <c r="B1580" s="1745"/>
      <c r="C1580" s="1746"/>
      <c r="D1580" s="1746"/>
      <c r="E1580" s="1814"/>
      <c r="F1580" s="1782"/>
      <c r="G1580" s="1773"/>
      <c r="H1580" s="1773"/>
      <c r="I1580" s="1773"/>
      <c r="J1580" s="1773"/>
      <c r="K1580" s="41" t="s">
        <v>2026</v>
      </c>
      <c r="L1580" s="22" t="s">
        <v>122</v>
      </c>
      <c r="M1580" s="22" t="s">
        <v>2018</v>
      </c>
      <c r="N1580" s="22" t="s">
        <v>2018</v>
      </c>
      <c r="O1580" s="22" t="s">
        <v>2018</v>
      </c>
      <c r="P1580" s="22" t="s">
        <v>2018</v>
      </c>
      <c r="Q1580" s="22" t="s">
        <v>2018</v>
      </c>
    </row>
    <row r="1581" spans="2:17" ht="29.25" customHeight="1" x14ac:dyDescent="0.2">
      <c r="B1581" s="1745"/>
      <c r="C1581" s="1746"/>
      <c r="D1581" s="1746"/>
      <c r="E1581" s="1815"/>
      <c r="F1581" s="1782"/>
      <c r="G1581" s="1773"/>
      <c r="H1581" s="1773"/>
      <c r="I1581" s="1773"/>
      <c r="J1581" s="1773"/>
      <c r="K1581" s="41" t="s">
        <v>2027</v>
      </c>
      <c r="L1581" s="22" t="s">
        <v>122</v>
      </c>
      <c r="M1581" s="22">
        <v>800</v>
      </c>
      <c r="N1581" s="22" t="s">
        <v>2018</v>
      </c>
      <c r="O1581" s="22" t="s">
        <v>2018</v>
      </c>
      <c r="P1581" s="22" t="s">
        <v>2018</v>
      </c>
      <c r="Q1581" s="22" t="s">
        <v>2018</v>
      </c>
    </row>
    <row r="1582" spans="2:17" ht="29.25" customHeight="1" x14ac:dyDescent="0.2">
      <c r="B1582" s="1719" t="s">
        <v>2722</v>
      </c>
      <c r="C1582" s="1720"/>
      <c r="D1582" s="1720"/>
      <c r="E1582" s="1721"/>
      <c r="F1582" s="1610"/>
      <c r="G1582" s="1610">
        <f>G1566+G1555</f>
        <v>61413.57</v>
      </c>
      <c r="H1582" s="1610">
        <f t="shared" ref="H1582:J1582" si="97">H1555+H1566</f>
        <v>61413.57</v>
      </c>
      <c r="I1582" s="1610">
        <f t="shared" si="97"/>
        <v>62490.27</v>
      </c>
      <c r="J1582" s="1610">
        <f t="shared" si="97"/>
        <v>63086.470000000008</v>
      </c>
      <c r="K1582" s="702"/>
      <c r="L1582" s="1191"/>
      <c r="M1582" s="702"/>
      <c r="N1582" s="702"/>
      <c r="O1582" s="702"/>
      <c r="P1582" s="702"/>
      <c r="Q1582" s="1192"/>
    </row>
    <row r="1583" spans="2:17" ht="29.25" customHeight="1" x14ac:dyDescent="0.2">
      <c r="B1583" s="1722" t="s">
        <v>2028</v>
      </c>
      <c r="C1583" s="1723"/>
      <c r="D1583" s="1723"/>
      <c r="E1583" s="1723"/>
      <c r="F1583" s="1723"/>
      <c r="G1583" s="1723"/>
      <c r="H1583" s="1723"/>
      <c r="I1583" s="1723"/>
      <c r="J1583" s="1723"/>
      <c r="K1583" s="1723"/>
      <c r="L1583" s="1723"/>
      <c r="M1583" s="1723"/>
      <c r="N1583" s="1723"/>
      <c r="O1583" s="1723"/>
      <c r="P1583" s="1723"/>
      <c r="Q1583" s="1724"/>
    </row>
    <row r="1584" spans="2:17" ht="78.75" customHeight="1" x14ac:dyDescent="0.2">
      <c r="B1584" s="1089">
        <v>1</v>
      </c>
      <c r="C1584" s="213"/>
      <c r="D1584" s="1054"/>
      <c r="E1584" s="135" t="s">
        <v>2542</v>
      </c>
      <c r="F1584" s="1571">
        <f>F1585</f>
        <v>15723.7</v>
      </c>
      <c r="G1584" s="1571">
        <f t="shared" ref="G1584:J1584" si="98">G1585</f>
        <v>15723.7</v>
      </c>
      <c r="H1584" s="1571">
        <f t="shared" si="98"/>
        <v>13384.5</v>
      </c>
      <c r="I1584" s="1571">
        <f t="shared" si="98"/>
        <v>14276.4</v>
      </c>
      <c r="J1584" s="1571">
        <f t="shared" si="98"/>
        <v>15179.3</v>
      </c>
      <c r="K1584" s="1134" t="s">
        <v>1832</v>
      </c>
      <c r="L1584" s="415" t="s">
        <v>16</v>
      </c>
      <c r="M1584" s="22">
        <v>27</v>
      </c>
      <c r="N1584" s="22">
        <v>27</v>
      </c>
      <c r="O1584" s="22">
        <v>27</v>
      </c>
      <c r="P1584" s="22">
        <v>27</v>
      </c>
      <c r="Q1584" s="926">
        <v>27</v>
      </c>
    </row>
    <row r="1585" spans="2:17" ht="29.25" customHeight="1" x14ac:dyDescent="0.2">
      <c r="B1585" s="1801"/>
      <c r="C1585" s="1804">
        <v>1</v>
      </c>
      <c r="D1585" s="1807"/>
      <c r="E1585" s="1747" t="s">
        <v>2029</v>
      </c>
      <c r="F1585" s="1787">
        <v>15723.7</v>
      </c>
      <c r="G1585" s="1787">
        <v>15723.7</v>
      </c>
      <c r="H1585" s="1787">
        <v>13384.5</v>
      </c>
      <c r="I1585" s="1787">
        <v>14276.4</v>
      </c>
      <c r="J1585" s="1787">
        <v>15179.3</v>
      </c>
      <c r="K1585" s="528" t="s">
        <v>18</v>
      </c>
      <c r="L1585" s="22" t="s">
        <v>19</v>
      </c>
      <c r="M1585" s="22"/>
      <c r="N1585" s="22">
        <v>100</v>
      </c>
      <c r="O1585" s="22">
        <v>100</v>
      </c>
      <c r="P1585" s="22">
        <v>100</v>
      </c>
      <c r="Q1585" s="926">
        <v>100</v>
      </c>
    </row>
    <row r="1586" spans="2:17" ht="29.25" customHeight="1" x14ac:dyDescent="0.2">
      <c r="B1586" s="1802"/>
      <c r="C1586" s="1805"/>
      <c r="D1586" s="1808"/>
      <c r="E1586" s="1810"/>
      <c r="F1586" s="1788"/>
      <c r="G1586" s="1788"/>
      <c r="H1586" s="1788"/>
      <c r="I1586" s="1788"/>
      <c r="J1586" s="1788"/>
      <c r="K1586" s="697" t="s">
        <v>419</v>
      </c>
      <c r="L1586" s="22" t="s">
        <v>16</v>
      </c>
      <c r="M1586" s="22">
        <v>100</v>
      </c>
      <c r="N1586" s="22">
        <v>100</v>
      </c>
      <c r="O1586" s="22">
        <v>100</v>
      </c>
      <c r="P1586" s="22">
        <v>100</v>
      </c>
      <c r="Q1586" s="926">
        <v>100</v>
      </c>
    </row>
    <row r="1587" spans="2:17" ht="29.25" customHeight="1" x14ac:dyDescent="0.2">
      <c r="B1587" s="1802"/>
      <c r="C1587" s="1805"/>
      <c r="D1587" s="1808"/>
      <c r="E1587" s="1810"/>
      <c r="F1587" s="1788"/>
      <c r="G1587" s="1788"/>
      <c r="H1587" s="1788"/>
      <c r="I1587" s="1788"/>
      <c r="J1587" s="1788"/>
      <c r="K1587" s="564" t="s">
        <v>2030</v>
      </c>
      <c r="L1587" s="22" t="s">
        <v>122</v>
      </c>
      <c r="M1587" s="22"/>
      <c r="N1587" s="965">
        <v>60</v>
      </c>
      <c r="O1587" s="22">
        <v>60</v>
      </c>
      <c r="P1587" s="22">
        <v>60</v>
      </c>
      <c r="Q1587" s="926">
        <v>60</v>
      </c>
    </row>
    <row r="1588" spans="2:17" ht="29.25" customHeight="1" x14ac:dyDescent="0.2">
      <c r="B1588" s="1802"/>
      <c r="C1588" s="1805"/>
      <c r="D1588" s="1808"/>
      <c r="E1588" s="1810"/>
      <c r="F1588" s="1788"/>
      <c r="G1588" s="1788"/>
      <c r="H1588" s="1788"/>
      <c r="I1588" s="1788"/>
      <c r="J1588" s="1788"/>
      <c r="K1588" s="564" t="s">
        <v>2031</v>
      </c>
      <c r="L1588" s="22" t="s">
        <v>16</v>
      </c>
      <c r="M1588" s="22">
        <v>100</v>
      </c>
      <c r="N1588" s="22">
        <v>100</v>
      </c>
      <c r="O1588" s="22">
        <v>100</v>
      </c>
      <c r="P1588" s="22">
        <v>100</v>
      </c>
      <c r="Q1588" s="926">
        <v>100</v>
      </c>
    </row>
    <row r="1589" spans="2:17" ht="29.25" customHeight="1" x14ac:dyDescent="0.2">
      <c r="B1589" s="1803"/>
      <c r="C1589" s="1806"/>
      <c r="D1589" s="1809"/>
      <c r="E1589" s="1748"/>
      <c r="F1589" s="1789"/>
      <c r="G1589" s="1789"/>
      <c r="H1589" s="1789"/>
      <c r="I1589" s="1789"/>
      <c r="J1589" s="1789"/>
      <c r="K1589" s="697" t="s">
        <v>1866</v>
      </c>
      <c r="L1589" s="22" t="s">
        <v>16</v>
      </c>
      <c r="M1589" s="22">
        <v>20</v>
      </c>
      <c r="N1589" s="22">
        <v>20</v>
      </c>
      <c r="O1589" s="22">
        <v>20</v>
      </c>
      <c r="P1589" s="22">
        <v>20</v>
      </c>
      <c r="Q1589" s="926">
        <v>20</v>
      </c>
    </row>
    <row r="1590" spans="2:17" ht="66.75" customHeight="1" x14ac:dyDescent="0.2">
      <c r="B1590" s="1365" t="s">
        <v>131</v>
      </c>
      <c r="C1590" s="696"/>
      <c r="D1590" s="696"/>
      <c r="E1590" s="1193" t="s">
        <v>2546</v>
      </c>
      <c r="F1590" s="1571">
        <f>F1591+F1592+F1593+F1595+F1598</f>
        <v>75615.600000000006</v>
      </c>
      <c r="G1590" s="1571">
        <f>G1591+G1592+G1593+G1595+G1598+G1594</f>
        <v>76575.5</v>
      </c>
      <c r="H1590" s="1571">
        <f t="shared" ref="H1590:J1590" si="99">H1591+H1592+H1593+H1595+H1598+H1594</f>
        <v>79483.100000000006</v>
      </c>
      <c r="I1590" s="1571">
        <f t="shared" si="99"/>
        <v>77456.7</v>
      </c>
      <c r="J1590" s="1571">
        <f t="shared" si="99"/>
        <v>77456.7</v>
      </c>
      <c r="K1590" s="41"/>
      <c r="L1590" s="22"/>
      <c r="M1590" s="22"/>
      <c r="N1590" s="599"/>
      <c r="O1590" s="599"/>
      <c r="P1590" s="599"/>
      <c r="Q1590" s="1476"/>
    </row>
    <row r="1591" spans="2:17" ht="73.5" customHeight="1" x14ac:dyDescent="0.2">
      <c r="B1591" s="1365"/>
      <c r="C1591" s="696" t="s">
        <v>114</v>
      </c>
      <c r="D1591" s="696"/>
      <c r="E1591" s="1194" t="s">
        <v>2032</v>
      </c>
      <c r="F1591" s="1547">
        <v>5100</v>
      </c>
      <c r="G1591" s="1547">
        <v>3800</v>
      </c>
      <c r="H1591" s="1547">
        <v>5000</v>
      </c>
      <c r="I1591" s="1547">
        <v>5000</v>
      </c>
      <c r="J1591" s="1547">
        <v>5000</v>
      </c>
      <c r="K1591" s="131" t="s">
        <v>2033</v>
      </c>
      <c r="L1591" s="22" t="s">
        <v>122</v>
      </c>
      <c r="M1591" s="22" t="s">
        <v>2034</v>
      </c>
      <c r="N1591" s="22" t="s">
        <v>1369</v>
      </c>
      <c r="O1591" s="22" t="s">
        <v>1367</v>
      </c>
      <c r="P1591" s="22" t="s">
        <v>1367</v>
      </c>
      <c r="Q1591" s="926" t="s">
        <v>1367</v>
      </c>
    </row>
    <row r="1592" spans="2:17" ht="69.75" customHeight="1" x14ac:dyDescent="0.2">
      <c r="B1592" s="1365"/>
      <c r="C1592" s="696" t="s">
        <v>116</v>
      </c>
      <c r="D1592" s="696"/>
      <c r="E1592" s="1194" t="s">
        <v>2035</v>
      </c>
      <c r="F1592" s="1547">
        <v>5047.8</v>
      </c>
      <c r="G1592" s="1547">
        <v>3860.8</v>
      </c>
      <c r="H1592" s="1547">
        <v>5000</v>
      </c>
      <c r="I1592" s="1547">
        <v>5000</v>
      </c>
      <c r="J1592" s="1547">
        <v>5000</v>
      </c>
      <c r="K1592" s="1195" t="s">
        <v>2036</v>
      </c>
      <c r="L1592" s="22" t="s">
        <v>122</v>
      </c>
      <c r="M1592" s="88" t="s">
        <v>1370</v>
      </c>
      <c r="N1592" s="22" t="s">
        <v>1368</v>
      </c>
      <c r="O1592" s="22" t="s">
        <v>1368</v>
      </c>
      <c r="P1592" s="22" t="s">
        <v>1368</v>
      </c>
      <c r="Q1592" s="926" t="s">
        <v>1368</v>
      </c>
    </row>
    <row r="1593" spans="2:17" ht="29.25" customHeight="1" x14ac:dyDescent="0.2">
      <c r="B1593" s="1790"/>
      <c r="C1593" s="1792" t="s">
        <v>119</v>
      </c>
      <c r="D1593" s="1792"/>
      <c r="E1593" s="1811" t="s">
        <v>2037</v>
      </c>
      <c r="F1593" s="1787">
        <v>19484</v>
      </c>
      <c r="G1593" s="1787">
        <v>19000</v>
      </c>
      <c r="H1593" s="1787">
        <v>19000</v>
      </c>
      <c r="I1593" s="1787">
        <v>19000</v>
      </c>
      <c r="J1593" s="1787">
        <v>19000</v>
      </c>
      <c r="K1593" s="1195" t="s">
        <v>2038</v>
      </c>
      <c r="L1593" s="22" t="s">
        <v>122</v>
      </c>
      <c r="M1593" s="22">
        <v>133</v>
      </c>
      <c r="N1593" s="22">
        <v>133</v>
      </c>
      <c r="O1593" s="22">
        <v>133</v>
      </c>
      <c r="P1593" s="22">
        <v>133</v>
      </c>
      <c r="Q1593" s="926">
        <v>133</v>
      </c>
    </row>
    <row r="1594" spans="2:17" ht="29.25" customHeight="1" x14ac:dyDescent="0.2">
      <c r="B1594" s="1791"/>
      <c r="C1594" s="1793"/>
      <c r="D1594" s="1793"/>
      <c r="E1594" s="1812"/>
      <c r="F1594" s="1789"/>
      <c r="G1594" s="1789"/>
      <c r="H1594" s="1789"/>
      <c r="I1594" s="1789"/>
      <c r="J1594" s="1789"/>
      <c r="K1594" s="1196" t="s">
        <v>2039</v>
      </c>
      <c r="L1594" s="22" t="s">
        <v>122</v>
      </c>
      <c r="M1594" s="22">
        <v>408</v>
      </c>
      <c r="N1594" s="22">
        <v>408</v>
      </c>
      <c r="O1594" s="22">
        <v>408</v>
      </c>
      <c r="P1594" s="22">
        <v>408</v>
      </c>
      <c r="Q1594" s="926">
        <v>408</v>
      </c>
    </row>
    <row r="1595" spans="2:17" ht="29.25" customHeight="1" x14ac:dyDescent="0.2">
      <c r="B1595" s="1790"/>
      <c r="C1595" s="1792" t="s">
        <v>124</v>
      </c>
      <c r="D1595" s="1792"/>
      <c r="E1595" s="2247" t="s">
        <v>2040</v>
      </c>
      <c r="F1595" s="1787">
        <v>27225</v>
      </c>
      <c r="G1595" s="1787">
        <v>29675</v>
      </c>
      <c r="H1595" s="1787">
        <v>30175</v>
      </c>
      <c r="I1595" s="1787">
        <v>29675</v>
      </c>
      <c r="J1595" s="1787">
        <v>29675</v>
      </c>
      <c r="K1595" s="1195" t="s">
        <v>2041</v>
      </c>
      <c r="L1595" s="22" t="s">
        <v>122</v>
      </c>
      <c r="M1595" s="695">
        <v>5375</v>
      </c>
      <c r="N1595" s="695">
        <v>5000</v>
      </c>
      <c r="O1595" s="695">
        <v>5000</v>
      </c>
      <c r="P1595" s="695">
        <v>5000</v>
      </c>
      <c r="Q1595" s="506">
        <v>5000</v>
      </c>
    </row>
    <row r="1596" spans="2:17" ht="29.25" customHeight="1" x14ac:dyDescent="0.2">
      <c r="B1596" s="2437"/>
      <c r="C1596" s="2079"/>
      <c r="D1596" s="2079"/>
      <c r="E1596" s="2247"/>
      <c r="F1596" s="1788"/>
      <c r="G1596" s="1788"/>
      <c r="H1596" s="1788"/>
      <c r="I1596" s="1788"/>
      <c r="J1596" s="1788"/>
      <c r="K1596" s="1195" t="s">
        <v>2042</v>
      </c>
      <c r="L1596" s="22" t="s">
        <v>122</v>
      </c>
      <c r="M1596" s="695">
        <v>61370</v>
      </c>
      <c r="N1596" s="695">
        <v>60000</v>
      </c>
      <c r="O1596" s="695">
        <v>60000</v>
      </c>
      <c r="P1596" s="695">
        <v>60000</v>
      </c>
      <c r="Q1596" s="506">
        <v>60000</v>
      </c>
    </row>
    <row r="1597" spans="2:17" ht="29.25" customHeight="1" x14ac:dyDescent="0.2">
      <c r="B1597" s="1791"/>
      <c r="C1597" s="1793"/>
      <c r="D1597" s="1793"/>
      <c r="E1597" s="2247"/>
      <c r="F1597" s="1789"/>
      <c r="G1597" s="1789"/>
      <c r="H1597" s="1789"/>
      <c r="I1597" s="1789"/>
      <c r="J1597" s="1789"/>
      <c r="K1597" s="1195" t="s">
        <v>2043</v>
      </c>
      <c r="L1597" s="22" t="s">
        <v>1371</v>
      </c>
      <c r="M1597" s="1477">
        <v>66.2</v>
      </c>
      <c r="N1597" s="695">
        <v>60</v>
      </c>
      <c r="O1597" s="695">
        <v>60</v>
      </c>
      <c r="P1597" s="695">
        <v>60</v>
      </c>
      <c r="Q1597" s="506">
        <v>60</v>
      </c>
    </row>
    <row r="1598" spans="2:17" ht="73.5" customHeight="1" x14ac:dyDescent="0.2">
      <c r="B1598" s="1790"/>
      <c r="C1598" s="1792" t="s">
        <v>149</v>
      </c>
      <c r="D1598" s="1792"/>
      <c r="E1598" s="1794" t="s">
        <v>2044</v>
      </c>
      <c r="F1598" s="1787">
        <v>18758.8</v>
      </c>
      <c r="G1598" s="1787">
        <v>20239.7</v>
      </c>
      <c r="H1598" s="1787">
        <v>20308.099999999999</v>
      </c>
      <c r="I1598" s="1787">
        <v>18781.7</v>
      </c>
      <c r="J1598" s="1787">
        <v>18781.7</v>
      </c>
      <c r="K1598" s="564" t="s">
        <v>2045</v>
      </c>
      <c r="L1598" s="22" t="s">
        <v>122</v>
      </c>
      <c r="M1598" s="1477">
        <v>62830</v>
      </c>
      <c r="N1598" s="695">
        <v>63000</v>
      </c>
      <c r="O1598" s="695">
        <v>63000</v>
      </c>
      <c r="P1598" s="695">
        <v>63000</v>
      </c>
      <c r="Q1598" s="506">
        <v>63000</v>
      </c>
    </row>
    <row r="1599" spans="2:17" ht="29.25" customHeight="1" x14ac:dyDescent="0.2">
      <c r="B1599" s="1791"/>
      <c r="C1599" s="1793"/>
      <c r="D1599" s="1793"/>
      <c r="E1599" s="1795"/>
      <c r="F1599" s="1789"/>
      <c r="G1599" s="1789"/>
      <c r="H1599" s="1789"/>
      <c r="I1599" s="1789"/>
      <c r="J1599" s="1789"/>
      <c r="K1599" s="697" t="s">
        <v>2972</v>
      </c>
      <c r="L1599" s="22" t="s">
        <v>590</v>
      </c>
      <c r="M1599" s="1477">
        <v>14.4</v>
      </c>
      <c r="N1599" s="695">
        <v>14</v>
      </c>
      <c r="O1599" s="695">
        <v>14</v>
      </c>
      <c r="P1599" s="695">
        <v>14</v>
      </c>
      <c r="Q1599" s="506">
        <v>14</v>
      </c>
    </row>
    <row r="1600" spans="2:17" ht="29.25" customHeight="1" x14ac:dyDescent="0.2">
      <c r="B1600" s="1719" t="s">
        <v>2722</v>
      </c>
      <c r="C1600" s="1720"/>
      <c r="D1600" s="1720"/>
      <c r="E1600" s="1721"/>
      <c r="F1600" s="1610">
        <f>F1584+F1590</f>
        <v>91339.3</v>
      </c>
      <c r="G1600" s="1610">
        <f t="shared" ref="G1600:J1600" si="100">G1584+G1590</f>
        <v>92299.199999999997</v>
      </c>
      <c r="H1600" s="1610">
        <f t="shared" si="100"/>
        <v>92867.6</v>
      </c>
      <c r="I1600" s="1610">
        <f t="shared" si="100"/>
        <v>91733.099999999991</v>
      </c>
      <c r="J1600" s="1610">
        <f t="shared" si="100"/>
        <v>92636</v>
      </c>
      <c r="K1600" s="702"/>
      <c r="L1600" s="1191"/>
      <c r="M1600" s="702"/>
      <c r="N1600" s="702"/>
      <c r="O1600" s="702"/>
      <c r="P1600" s="702"/>
      <c r="Q1600" s="1192"/>
    </row>
    <row r="1601" spans="2:17" ht="29.25" customHeight="1" x14ac:dyDescent="0.2">
      <c r="B1601" s="1722" t="s">
        <v>2046</v>
      </c>
      <c r="C1601" s="1723"/>
      <c r="D1601" s="1723"/>
      <c r="E1601" s="1723"/>
      <c r="F1601" s="1723"/>
      <c r="G1601" s="1723"/>
      <c r="H1601" s="1723"/>
      <c r="I1601" s="1723"/>
      <c r="J1601" s="1723"/>
      <c r="K1601" s="1723"/>
      <c r="L1601" s="1723"/>
      <c r="M1601" s="1723"/>
      <c r="N1601" s="1723"/>
      <c r="O1601" s="1723"/>
      <c r="P1601" s="1723"/>
      <c r="Q1601" s="1724"/>
    </row>
    <row r="1602" spans="2:17" ht="71.25" customHeight="1" x14ac:dyDescent="0.2">
      <c r="B1602" s="1197">
        <v>1</v>
      </c>
      <c r="C1602" s="1198"/>
      <c r="D1602" s="1199"/>
      <c r="E1602" s="1200" t="s">
        <v>3083</v>
      </c>
      <c r="F1602" s="1679">
        <v>25998.3</v>
      </c>
      <c r="G1602" s="1679">
        <v>15232.6</v>
      </c>
      <c r="H1602" s="1679">
        <f>H1603</f>
        <v>14968.1</v>
      </c>
      <c r="I1602" s="1679">
        <v>86430.6</v>
      </c>
      <c r="J1602" s="1679">
        <v>86430.6</v>
      </c>
      <c r="K1602" s="1134" t="s">
        <v>1832</v>
      </c>
      <c r="L1602" s="1201" t="s">
        <v>16</v>
      </c>
      <c r="M1602" s="1478">
        <v>34.4</v>
      </c>
      <c r="N1602" s="1201">
        <v>34.4</v>
      </c>
      <c r="O1602" s="1201">
        <v>34.4</v>
      </c>
      <c r="P1602" s="1201">
        <v>34.4</v>
      </c>
      <c r="Q1602" s="1479">
        <v>34.4</v>
      </c>
    </row>
    <row r="1603" spans="2:17" ht="29.25" customHeight="1" x14ac:dyDescent="0.2">
      <c r="B1603" s="1796"/>
      <c r="C1603" s="1797">
        <v>1</v>
      </c>
      <c r="D1603" s="1798"/>
      <c r="E1603" s="1799" t="s">
        <v>2047</v>
      </c>
      <c r="F1603" s="1800">
        <v>25998.3</v>
      </c>
      <c r="G1603" s="1800">
        <v>15232.6</v>
      </c>
      <c r="H1603" s="1800">
        <f>12460.9+1726.1+150+631.1</f>
        <v>14968.1</v>
      </c>
      <c r="I1603" s="1800">
        <v>86430.6</v>
      </c>
      <c r="J1603" s="1800">
        <v>86430.6</v>
      </c>
      <c r="K1603" s="1202" t="s">
        <v>2048</v>
      </c>
      <c r="L1603" s="175" t="s">
        <v>16</v>
      </c>
      <c r="M1603" s="175">
        <v>100</v>
      </c>
      <c r="N1603" s="175">
        <v>100</v>
      </c>
      <c r="O1603" s="175">
        <v>100</v>
      </c>
      <c r="P1603" s="175">
        <v>100</v>
      </c>
      <c r="Q1603" s="1480">
        <v>100</v>
      </c>
    </row>
    <row r="1604" spans="2:17" ht="29.25" customHeight="1" x14ac:dyDescent="0.2">
      <c r="B1604" s="1796"/>
      <c r="C1604" s="1797"/>
      <c r="D1604" s="1798"/>
      <c r="E1604" s="1799"/>
      <c r="F1604" s="1800"/>
      <c r="G1604" s="1800"/>
      <c r="H1604" s="1800"/>
      <c r="I1604" s="1800"/>
      <c r="J1604" s="1800"/>
      <c r="K1604" s="1202" t="s">
        <v>2049</v>
      </c>
      <c r="L1604" s="175" t="s">
        <v>16</v>
      </c>
      <c r="M1604" s="175">
        <v>20</v>
      </c>
      <c r="N1604" s="175">
        <v>25</v>
      </c>
      <c r="O1604" s="175">
        <v>30</v>
      </c>
      <c r="P1604" s="175">
        <v>35</v>
      </c>
      <c r="Q1604" s="1480">
        <v>35</v>
      </c>
    </row>
    <row r="1605" spans="2:17" ht="79.5" customHeight="1" x14ac:dyDescent="0.2">
      <c r="B1605" s="1203">
        <v>2</v>
      </c>
      <c r="C1605" s="1204"/>
      <c r="D1605" s="1204"/>
      <c r="E1605" s="1205" t="s">
        <v>3084</v>
      </c>
      <c r="F1605" s="1338">
        <v>437028.7</v>
      </c>
      <c r="G1605" s="1338">
        <v>647984.19999999995</v>
      </c>
      <c r="H1605" s="1338">
        <f>H1606+H1607+H1608</f>
        <v>622521</v>
      </c>
      <c r="I1605" s="1338">
        <v>458919.00000000006</v>
      </c>
      <c r="J1605" s="1338">
        <v>461817.60000000003</v>
      </c>
      <c r="K1605" s="1206" t="s">
        <v>2050</v>
      </c>
      <c r="L1605" s="1207" t="s">
        <v>270</v>
      </c>
      <c r="M1605" s="1481">
        <v>90</v>
      </c>
      <c r="N1605" s="1481">
        <v>90</v>
      </c>
      <c r="O1605" s="1481">
        <v>90</v>
      </c>
      <c r="P1605" s="1481">
        <v>90</v>
      </c>
      <c r="Q1605" s="1482">
        <v>90</v>
      </c>
    </row>
    <row r="1606" spans="2:17" ht="29.25" customHeight="1" x14ac:dyDescent="0.2">
      <c r="B1606" s="1208"/>
      <c r="C1606" s="1209">
        <v>1</v>
      </c>
      <c r="D1606" s="1210"/>
      <c r="E1606" s="1211" t="s">
        <v>2051</v>
      </c>
      <c r="F1606" s="1639">
        <v>215505.3</v>
      </c>
      <c r="G1606" s="1639">
        <v>247808.2</v>
      </c>
      <c r="H1606" s="1639">
        <f>2484+480+11900+836+1200+194629.7+27848.1+14636.5+5111.2</f>
        <v>259125.50000000003</v>
      </c>
      <c r="I1606" s="1639">
        <v>410900.4</v>
      </c>
      <c r="J1606" s="1639">
        <v>413799</v>
      </c>
      <c r="K1606" s="1202" t="s">
        <v>2052</v>
      </c>
      <c r="L1606" s="1212" t="s">
        <v>2053</v>
      </c>
      <c r="M1606" s="1483">
        <v>662.3</v>
      </c>
      <c r="N1606" s="1483">
        <v>662.3</v>
      </c>
      <c r="O1606" s="1483">
        <v>662.3</v>
      </c>
      <c r="P1606" s="1483">
        <v>662.3</v>
      </c>
      <c r="Q1606" s="1484">
        <v>662.3</v>
      </c>
    </row>
    <row r="1607" spans="2:17" ht="29.25" customHeight="1" x14ac:dyDescent="0.2">
      <c r="B1607" s="1213"/>
      <c r="C1607" s="342">
        <v>2</v>
      </c>
      <c r="D1607" s="1214"/>
      <c r="E1607" s="290" t="s">
        <v>2054</v>
      </c>
      <c r="F1607" s="1687">
        <v>197998.7</v>
      </c>
      <c r="G1607" s="1687">
        <v>357381.8</v>
      </c>
      <c r="H1607" s="1639">
        <f>311019+10874.6</f>
        <v>321893.59999999998</v>
      </c>
      <c r="I1607" s="1639">
        <v>6516.7</v>
      </c>
      <c r="J1607" s="1639">
        <v>6516.7</v>
      </c>
      <c r="K1607" s="1202" t="s">
        <v>2055</v>
      </c>
      <c r="L1607" s="1212" t="s">
        <v>2053</v>
      </c>
      <c r="M1607" s="1483">
        <v>6000</v>
      </c>
      <c r="N1607" s="1483">
        <v>6000</v>
      </c>
      <c r="O1607" s="1483">
        <v>6200</v>
      </c>
      <c r="P1607" s="1483">
        <v>6300</v>
      </c>
      <c r="Q1607" s="1484">
        <v>6360</v>
      </c>
    </row>
    <row r="1608" spans="2:17" ht="29.25" customHeight="1" x14ac:dyDescent="0.2">
      <c r="B1608" s="1215"/>
      <c r="C1608" s="180">
        <v>3</v>
      </c>
      <c r="D1608" s="1216"/>
      <c r="E1608" s="1217" t="s">
        <v>2056</v>
      </c>
      <c r="F1608" s="1574">
        <v>23524.7</v>
      </c>
      <c r="G1608" s="1574">
        <v>42794.2</v>
      </c>
      <c r="H1608" s="1639">
        <f>1400+225+955+1770+650+28478.5+3800+4223.4</f>
        <v>41501.9</v>
      </c>
      <c r="I1608" s="1639">
        <v>41501.9</v>
      </c>
      <c r="J1608" s="1639">
        <v>41501.9</v>
      </c>
      <c r="K1608" s="1202" t="s">
        <v>2057</v>
      </c>
      <c r="L1608" s="175" t="s">
        <v>122</v>
      </c>
      <c r="M1608" s="175">
        <v>880.4</v>
      </c>
      <c r="N1608" s="175">
        <v>895.2</v>
      </c>
      <c r="O1608" s="175">
        <v>900</v>
      </c>
      <c r="P1608" s="175">
        <v>950.1</v>
      </c>
      <c r="Q1608" s="1480">
        <v>981.4</v>
      </c>
    </row>
    <row r="1609" spans="2:17" ht="109.5" customHeight="1" x14ac:dyDescent="0.2">
      <c r="B1609" s="1203">
        <v>3</v>
      </c>
      <c r="C1609" s="1204"/>
      <c r="D1609" s="1204"/>
      <c r="E1609" s="1205" t="s">
        <v>3085</v>
      </c>
      <c r="F1609" s="1338">
        <v>32538</v>
      </c>
      <c r="G1609" s="1338">
        <v>58728</v>
      </c>
      <c r="H1609" s="1338">
        <f>H1610</f>
        <v>106906.5</v>
      </c>
      <c r="I1609" s="1338">
        <v>165502.70000000001</v>
      </c>
      <c r="J1609" s="1338">
        <v>166202.70000000001</v>
      </c>
      <c r="K1609" s="826" t="s">
        <v>2058</v>
      </c>
      <c r="L1609" s="1207"/>
      <c r="M1609" s="1485"/>
      <c r="N1609" s="1485"/>
      <c r="O1609" s="1485"/>
      <c r="P1609" s="1485"/>
      <c r="Q1609" s="1486"/>
    </row>
    <row r="1610" spans="2:17" ht="141.75" customHeight="1" x14ac:dyDescent="0.2">
      <c r="B1610" s="1777"/>
      <c r="C1610" s="1778">
        <v>1</v>
      </c>
      <c r="D1610" s="1779"/>
      <c r="E1610" s="1780" t="s">
        <v>2059</v>
      </c>
      <c r="F1610" s="1782">
        <v>32538</v>
      </c>
      <c r="G1610" s="1782">
        <v>58728</v>
      </c>
      <c r="H1610" s="1782">
        <f>28600.5+4440.2+201.6+164.2+21000+10000+42500</f>
        <v>106906.5</v>
      </c>
      <c r="I1610" s="1782">
        <v>165502.70000000001</v>
      </c>
      <c r="J1610" s="1782">
        <v>166202.70000000001</v>
      </c>
      <c r="K1610" s="1202" t="s">
        <v>2060</v>
      </c>
      <c r="L1610" s="1212" t="s">
        <v>2053</v>
      </c>
      <c r="M1610" s="1188">
        <v>1191.3999999999999</v>
      </c>
      <c r="N1610" s="1188">
        <v>1192.8</v>
      </c>
      <c r="O1610" s="1188">
        <v>1198.8</v>
      </c>
      <c r="P1610" s="1188">
        <v>1194.9999999999998</v>
      </c>
      <c r="Q1610" s="1487">
        <v>1194.9999999999998</v>
      </c>
    </row>
    <row r="1611" spans="2:17" ht="109.5" customHeight="1" x14ac:dyDescent="0.2">
      <c r="B1611" s="1777"/>
      <c r="C1611" s="1778"/>
      <c r="D1611" s="1779"/>
      <c r="E1611" s="1781"/>
      <c r="F1611" s="1782"/>
      <c r="G1611" s="1782"/>
      <c r="H1611" s="1782"/>
      <c r="I1611" s="1782"/>
      <c r="J1611" s="1782"/>
      <c r="K1611" s="1202" t="s">
        <v>2061</v>
      </c>
      <c r="L1611" s="1218" t="s">
        <v>16</v>
      </c>
      <c r="M1611" s="436">
        <v>100</v>
      </c>
      <c r="N1611" s="436">
        <v>100</v>
      </c>
      <c r="O1611" s="436">
        <v>100</v>
      </c>
      <c r="P1611" s="436">
        <v>100</v>
      </c>
      <c r="Q1611" s="1488">
        <v>100</v>
      </c>
    </row>
    <row r="1612" spans="2:17" ht="109.5" customHeight="1" x14ac:dyDescent="0.2">
      <c r="B1612" s="1219">
        <v>4</v>
      </c>
      <c r="C1612" s="1220"/>
      <c r="D1612" s="728"/>
      <c r="E1612" s="1221" t="s">
        <v>3086</v>
      </c>
      <c r="F1612" s="1338">
        <v>4338.3999999999996</v>
      </c>
      <c r="G1612" s="1338">
        <v>6852.1</v>
      </c>
      <c r="H1612" s="1338">
        <f>H1613+H1614</f>
        <v>6662.1</v>
      </c>
      <c r="I1612" s="1338">
        <v>9562.1</v>
      </c>
      <c r="J1612" s="1338">
        <v>9562.1</v>
      </c>
      <c r="K1612" s="1222" t="s">
        <v>2062</v>
      </c>
      <c r="L1612" s="1207" t="s">
        <v>16</v>
      </c>
      <c r="M1612" s="474"/>
      <c r="N1612" s="474"/>
      <c r="O1612" s="474"/>
      <c r="P1612" s="474"/>
      <c r="Q1612" s="1143"/>
    </row>
    <row r="1613" spans="2:17" ht="29.25" customHeight="1" x14ac:dyDescent="0.2">
      <c r="B1613" s="1223"/>
      <c r="C1613" s="342">
        <v>1</v>
      </c>
      <c r="D1613" s="106"/>
      <c r="E1613" s="1224" t="s">
        <v>2063</v>
      </c>
      <c r="F1613" s="1574">
        <v>3096.7999999999997</v>
      </c>
      <c r="G1613" s="1574">
        <v>5610.5</v>
      </c>
      <c r="H1613" s="1574">
        <f>100+4000+590.8+729.7</f>
        <v>5420.5</v>
      </c>
      <c r="I1613" s="1574">
        <v>8320.5</v>
      </c>
      <c r="J1613" s="1574">
        <v>8320.5</v>
      </c>
      <c r="K1613" s="1225" t="s">
        <v>2064</v>
      </c>
      <c r="L1613" s="1218" t="s">
        <v>16</v>
      </c>
      <c r="M1613" s="436">
        <v>30.7</v>
      </c>
      <c r="N1613" s="436">
        <v>30.7</v>
      </c>
      <c r="O1613" s="436">
        <v>30.7</v>
      </c>
      <c r="P1613" s="436">
        <v>30.7</v>
      </c>
      <c r="Q1613" s="1488">
        <v>30.7</v>
      </c>
    </row>
    <row r="1614" spans="2:17" ht="29.25" customHeight="1" x14ac:dyDescent="0.2">
      <c r="B1614" s="1783"/>
      <c r="C1614" s="1778">
        <v>2</v>
      </c>
      <c r="D1614" s="1785"/>
      <c r="E1614" s="1786" t="s">
        <v>2065</v>
      </c>
      <c r="F1614" s="1782">
        <v>1241.5999999999999</v>
      </c>
      <c r="G1614" s="1782">
        <v>1241.5999999999999</v>
      </c>
      <c r="H1614" s="1782">
        <v>1241.5999999999999</v>
      </c>
      <c r="I1614" s="1782">
        <v>1241.6000000000001</v>
      </c>
      <c r="J1614" s="1782">
        <v>1241.6000000000001</v>
      </c>
      <c r="K1614" s="1226" t="s">
        <v>2066</v>
      </c>
      <c r="L1614" s="1227" t="s">
        <v>16</v>
      </c>
      <c r="M1614" s="436">
        <v>20</v>
      </c>
      <c r="N1614" s="436">
        <v>20</v>
      </c>
      <c r="O1614" s="436">
        <v>20</v>
      </c>
      <c r="P1614" s="436">
        <v>20</v>
      </c>
      <c r="Q1614" s="1488">
        <v>20</v>
      </c>
    </row>
    <row r="1615" spans="2:17" ht="29.25" customHeight="1" x14ac:dyDescent="0.2">
      <c r="B1615" s="1784"/>
      <c r="C1615" s="1778"/>
      <c r="D1615" s="1785"/>
      <c r="E1615" s="1786"/>
      <c r="F1615" s="1782"/>
      <c r="G1615" s="1782"/>
      <c r="H1615" s="1782"/>
      <c r="I1615" s="1782"/>
      <c r="J1615" s="1782"/>
      <c r="K1615" s="1228" t="s">
        <v>2067</v>
      </c>
      <c r="L1615" s="1218" t="s">
        <v>122</v>
      </c>
      <c r="M1615" s="436">
        <v>4</v>
      </c>
      <c r="N1615" s="436">
        <v>4</v>
      </c>
      <c r="O1615" s="436">
        <v>4</v>
      </c>
      <c r="P1615" s="436">
        <v>4</v>
      </c>
      <c r="Q1615" s="1488">
        <v>4</v>
      </c>
    </row>
    <row r="1616" spans="2:17" ht="29.25" customHeight="1" x14ac:dyDescent="0.2">
      <c r="B1616" s="1719" t="s">
        <v>2722</v>
      </c>
      <c r="C1616" s="1720"/>
      <c r="D1616" s="1720"/>
      <c r="E1616" s="1721"/>
      <c r="F1616" s="1610">
        <f>F1602+F1605+F1609+F1612</f>
        <v>499903.4</v>
      </c>
      <c r="G1616" s="1610">
        <f>G1602+G1605+G1609+G1612</f>
        <v>728796.89999999991</v>
      </c>
      <c r="H1616" s="1610">
        <f>H1602+H1605+H1609+H1612</f>
        <v>751057.7</v>
      </c>
      <c r="I1616" s="1610">
        <f>I1602+I1605+I1609+I1612</f>
        <v>720414.4</v>
      </c>
      <c r="J1616" s="1610">
        <f>J1602+J1605+J1609+J1612</f>
        <v>724013.00000000012</v>
      </c>
      <c r="K1616" s="702"/>
      <c r="L1616" s="1191"/>
      <c r="M1616" s="702"/>
      <c r="N1616" s="702"/>
      <c r="O1616" s="702"/>
      <c r="P1616" s="702"/>
      <c r="Q1616" s="1192"/>
    </row>
    <row r="1617" spans="2:17" ht="29.25" customHeight="1" x14ac:dyDescent="0.2">
      <c r="B1617" s="1722" t="s">
        <v>2068</v>
      </c>
      <c r="C1617" s="1723"/>
      <c r="D1617" s="1723"/>
      <c r="E1617" s="1723"/>
      <c r="F1617" s="1723"/>
      <c r="G1617" s="1723"/>
      <c r="H1617" s="1723"/>
      <c r="I1617" s="1723"/>
      <c r="J1617" s="1723"/>
      <c r="K1617" s="1723"/>
      <c r="L1617" s="1723"/>
      <c r="M1617" s="1723"/>
      <c r="N1617" s="1723"/>
      <c r="O1617" s="1723"/>
      <c r="P1617" s="1723"/>
      <c r="Q1617" s="1724"/>
    </row>
    <row r="1618" spans="2:17" ht="82.5" customHeight="1" x14ac:dyDescent="0.2">
      <c r="B1618" s="1089">
        <v>1</v>
      </c>
      <c r="C1618" s="213"/>
      <c r="D1618" s="1054"/>
      <c r="E1618" s="659" t="s">
        <v>2069</v>
      </c>
      <c r="F1618" s="1561">
        <f>SUM(F1619:F1626)</f>
        <v>58167</v>
      </c>
      <c r="G1618" s="1561">
        <f>SUM(G1619:G1626)</f>
        <v>58167</v>
      </c>
      <c r="H1618" s="1561">
        <f>SUM(H1619:H1626)</f>
        <v>58387.7</v>
      </c>
      <c r="I1618" s="1561">
        <f>SUM(I1619:I1626)</f>
        <v>49313.9</v>
      </c>
      <c r="J1618" s="1561">
        <f>SUM(J1619:J1626)</f>
        <v>49784.3</v>
      </c>
      <c r="K1618" s="659" t="s">
        <v>2070</v>
      </c>
      <c r="L1618" s="415" t="s">
        <v>16</v>
      </c>
      <c r="M1618" s="415"/>
      <c r="N1618" s="415"/>
      <c r="O1618" s="415"/>
      <c r="P1618" s="415"/>
      <c r="Q1618" s="1488"/>
    </row>
    <row r="1619" spans="2:17" ht="29.25" customHeight="1" x14ac:dyDescent="0.2">
      <c r="B1619" s="1767"/>
      <c r="C1619" s="1768">
        <v>1</v>
      </c>
      <c r="D1619" s="1769"/>
      <c r="E1619" s="1770" t="s">
        <v>3087</v>
      </c>
      <c r="F1619" s="1773">
        <v>29548.9</v>
      </c>
      <c r="G1619" s="1773">
        <v>29548.9</v>
      </c>
      <c r="H1619" s="1773">
        <f>24951.7+4964.4</f>
        <v>29916.1</v>
      </c>
      <c r="I1619" s="1774">
        <v>25427.7</v>
      </c>
      <c r="J1619" s="1774">
        <v>25669.4</v>
      </c>
      <c r="K1619" s="697" t="s">
        <v>18</v>
      </c>
      <c r="L1619" s="22" t="s">
        <v>19</v>
      </c>
      <c r="M1619" s="22">
        <v>0.65</v>
      </c>
      <c r="N1619" s="22">
        <v>0.83</v>
      </c>
      <c r="O1619" s="22">
        <v>0.85</v>
      </c>
      <c r="P1619" s="1489">
        <v>0.9</v>
      </c>
      <c r="Q1619" s="1488">
        <v>0.95</v>
      </c>
    </row>
    <row r="1620" spans="2:17" ht="29.25" customHeight="1" x14ac:dyDescent="0.2">
      <c r="B1620" s="1767"/>
      <c r="C1620" s="1768"/>
      <c r="D1620" s="1769"/>
      <c r="E1620" s="1771"/>
      <c r="F1620" s="1773"/>
      <c r="G1620" s="1773"/>
      <c r="H1620" s="1773"/>
      <c r="I1620" s="1774"/>
      <c r="J1620" s="1774"/>
      <c r="K1620" s="697" t="s">
        <v>2071</v>
      </c>
      <c r="L1620" s="22" t="s">
        <v>16</v>
      </c>
      <c r="M1620" s="22">
        <v>93.6</v>
      </c>
      <c r="N1620" s="95">
        <v>100</v>
      </c>
      <c r="O1620" s="95">
        <v>100</v>
      </c>
      <c r="P1620" s="474">
        <v>100</v>
      </c>
      <c r="Q1620" s="1143">
        <v>100</v>
      </c>
    </row>
    <row r="1621" spans="2:17" ht="29.25" customHeight="1" x14ac:dyDescent="0.2">
      <c r="B1621" s="1767"/>
      <c r="C1621" s="1768"/>
      <c r="D1621" s="1769"/>
      <c r="E1621" s="1772"/>
      <c r="F1621" s="1773"/>
      <c r="G1621" s="1773"/>
      <c r="H1621" s="1773"/>
      <c r="I1621" s="1774"/>
      <c r="J1621" s="1774"/>
      <c r="K1621" s="606" t="s">
        <v>2072</v>
      </c>
      <c r="L1621" s="95" t="s">
        <v>16</v>
      </c>
      <c r="M1621" s="95">
        <v>100</v>
      </c>
      <c r="N1621" s="95">
        <v>100</v>
      </c>
      <c r="O1621" s="95">
        <v>100</v>
      </c>
      <c r="P1621" s="95">
        <v>100</v>
      </c>
      <c r="Q1621" s="1141">
        <v>100</v>
      </c>
    </row>
    <row r="1622" spans="2:17" ht="60" customHeight="1" x14ac:dyDescent="0.2">
      <c r="B1622" s="1767"/>
      <c r="C1622" s="1768">
        <v>2</v>
      </c>
      <c r="D1622" s="1769"/>
      <c r="E1622" s="1770" t="s">
        <v>3088</v>
      </c>
      <c r="F1622" s="1773">
        <v>28618.1</v>
      </c>
      <c r="G1622" s="1773">
        <v>28618.1</v>
      </c>
      <c r="H1622" s="1773">
        <f>23436+5035.6</f>
        <v>28471.599999999999</v>
      </c>
      <c r="I1622" s="1773">
        <v>23886.2</v>
      </c>
      <c r="J1622" s="1774">
        <v>24114.9</v>
      </c>
      <c r="K1622" s="41" t="s">
        <v>2073</v>
      </c>
      <c r="L1622" s="22" t="s">
        <v>590</v>
      </c>
      <c r="M1622" s="476">
        <v>1695.8</v>
      </c>
      <c r="N1622" s="476">
        <v>2200</v>
      </c>
      <c r="O1622" s="476">
        <v>1200</v>
      </c>
      <c r="P1622" s="476">
        <v>1200</v>
      </c>
      <c r="Q1622" s="1490">
        <v>1200</v>
      </c>
    </row>
    <row r="1623" spans="2:17" ht="29.25" customHeight="1" x14ac:dyDescent="0.2">
      <c r="B1623" s="1767"/>
      <c r="C1623" s="1768"/>
      <c r="D1623" s="1769"/>
      <c r="E1623" s="1775"/>
      <c r="F1623" s="1773"/>
      <c r="G1623" s="1773"/>
      <c r="H1623" s="1773"/>
      <c r="I1623" s="1773"/>
      <c r="J1623" s="1774"/>
      <c r="K1623" s="41" t="s">
        <v>2074</v>
      </c>
      <c r="L1623" s="22" t="s">
        <v>590</v>
      </c>
      <c r="M1623" s="95">
        <v>517.9</v>
      </c>
      <c r="N1623" s="257">
        <v>550</v>
      </c>
      <c r="O1623" s="257">
        <v>440</v>
      </c>
      <c r="P1623" s="257">
        <v>456</v>
      </c>
      <c r="Q1623" s="1491">
        <v>461.1</v>
      </c>
    </row>
    <row r="1624" spans="2:17" ht="29.25" customHeight="1" x14ac:dyDescent="0.2">
      <c r="B1624" s="1767"/>
      <c r="C1624" s="1768"/>
      <c r="D1624" s="1769"/>
      <c r="E1624" s="1775"/>
      <c r="F1624" s="1773"/>
      <c r="G1624" s="1773"/>
      <c r="H1624" s="1773"/>
      <c r="I1624" s="1773"/>
      <c r="J1624" s="1774"/>
      <c r="K1624" s="108" t="s">
        <v>2075</v>
      </c>
      <c r="L1624" s="22" t="s">
        <v>590</v>
      </c>
      <c r="M1624" s="95"/>
      <c r="N1624" s="257"/>
      <c r="O1624" s="257"/>
      <c r="P1624" s="257"/>
      <c r="Q1624" s="1491"/>
    </row>
    <row r="1625" spans="2:17" ht="29.25" customHeight="1" x14ac:dyDescent="0.2">
      <c r="B1625" s="1767"/>
      <c r="C1625" s="1768"/>
      <c r="D1625" s="1769"/>
      <c r="E1625" s="1775"/>
      <c r="F1625" s="1773"/>
      <c r="G1625" s="1773"/>
      <c r="H1625" s="1773"/>
      <c r="I1625" s="1773"/>
      <c r="J1625" s="1774"/>
      <c r="K1625" s="108" t="s">
        <v>2076</v>
      </c>
      <c r="L1625" s="22" t="s">
        <v>590</v>
      </c>
      <c r="M1625" s="476">
        <v>191.5</v>
      </c>
      <c r="N1625" s="257">
        <v>100</v>
      </c>
      <c r="O1625" s="257">
        <v>150</v>
      </c>
      <c r="P1625" s="257">
        <v>180</v>
      </c>
      <c r="Q1625" s="1491">
        <v>200</v>
      </c>
    </row>
    <row r="1626" spans="2:17" ht="29.25" customHeight="1" x14ac:dyDescent="0.2">
      <c r="B1626" s="1767"/>
      <c r="C1626" s="1768"/>
      <c r="D1626" s="1769"/>
      <c r="E1626" s="1776"/>
      <c r="F1626" s="1773"/>
      <c r="G1626" s="1773"/>
      <c r="H1626" s="1773"/>
      <c r="I1626" s="1773"/>
      <c r="J1626" s="1774"/>
      <c r="K1626" s="41" t="s">
        <v>2973</v>
      </c>
      <c r="L1626" s="22" t="s">
        <v>16</v>
      </c>
      <c r="M1626" s="257">
        <v>98</v>
      </c>
      <c r="N1626" s="257">
        <v>100</v>
      </c>
      <c r="O1626" s="257">
        <v>100</v>
      </c>
      <c r="P1626" s="257">
        <v>100</v>
      </c>
      <c r="Q1626" s="1491">
        <v>100</v>
      </c>
    </row>
    <row r="1627" spans="2:17" ht="29.25" customHeight="1" x14ac:dyDescent="0.2">
      <c r="B1627" s="1364">
        <v>3</v>
      </c>
      <c r="C1627" s="1492">
        <v>1</v>
      </c>
      <c r="D1627" s="568"/>
      <c r="E1627" s="1182" t="s">
        <v>2974</v>
      </c>
      <c r="F1627" s="1561"/>
      <c r="G1627" s="1561"/>
      <c r="H1627" s="1561">
        <v>5000</v>
      </c>
      <c r="I1627" s="1561"/>
      <c r="J1627" s="1562"/>
      <c r="K1627" s="1354"/>
      <c r="L1627" s="415"/>
      <c r="M1627" s="1493"/>
      <c r="N1627" s="1493"/>
      <c r="O1627" s="1493"/>
      <c r="P1627" s="1493"/>
      <c r="Q1627" s="1494"/>
    </row>
    <row r="1628" spans="2:17" ht="29.25" customHeight="1" x14ac:dyDescent="0.2">
      <c r="B1628" s="1719" t="s">
        <v>2722</v>
      </c>
      <c r="C1628" s="1720"/>
      <c r="D1628" s="1720"/>
      <c r="E1628" s="1721"/>
      <c r="F1628" s="1610">
        <f>F1618</f>
        <v>58167</v>
      </c>
      <c r="G1628" s="1610">
        <f t="shared" ref="G1628:J1628" si="101">G1618</f>
        <v>58167</v>
      </c>
      <c r="H1628" s="1610">
        <f>H1618+H1627</f>
        <v>63387.7</v>
      </c>
      <c r="I1628" s="1610">
        <f t="shared" si="101"/>
        <v>49313.9</v>
      </c>
      <c r="J1628" s="1610">
        <f t="shared" si="101"/>
        <v>49784.3</v>
      </c>
      <c r="K1628" s="702"/>
      <c r="L1628" s="1191"/>
      <c r="M1628" s="702"/>
      <c r="N1628" s="702"/>
      <c r="O1628" s="702"/>
      <c r="P1628" s="702"/>
      <c r="Q1628" s="1192"/>
    </row>
    <row r="1629" spans="2:17" ht="29.25" customHeight="1" x14ac:dyDescent="0.2">
      <c r="B1629" s="1722" t="s">
        <v>2077</v>
      </c>
      <c r="C1629" s="1723"/>
      <c r="D1629" s="1723"/>
      <c r="E1629" s="1723"/>
      <c r="F1629" s="1723"/>
      <c r="G1629" s="1723"/>
      <c r="H1629" s="1723"/>
      <c r="I1629" s="1723"/>
      <c r="J1629" s="1723"/>
      <c r="K1629" s="1723"/>
      <c r="L1629" s="1723"/>
      <c r="M1629" s="1723"/>
      <c r="N1629" s="1723"/>
      <c r="O1629" s="1723"/>
      <c r="P1629" s="1723"/>
      <c r="Q1629" s="1724"/>
    </row>
    <row r="1630" spans="2:17" ht="84" customHeight="1" x14ac:dyDescent="0.2">
      <c r="B1630" s="1215">
        <v>1</v>
      </c>
      <c r="C1630" s="1229"/>
      <c r="D1630" s="1230"/>
      <c r="E1630" s="301" t="s">
        <v>2547</v>
      </c>
      <c r="F1630" s="1566">
        <f>F1631+F1632+F1633+F1634+F1635+F1636+F1637</f>
        <v>35471.4</v>
      </c>
      <c r="G1630" s="1566">
        <f>G1631+G1632+G1633+G1634+G1635+G1636+G1637</f>
        <v>39050.600000000006</v>
      </c>
      <c r="H1630" s="1566">
        <f>H1631+H1632+H1633+H1634+H1635+H1636+H1637</f>
        <v>38968.400000000001</v>
      </c>
      <c r="I1630" s="1566">
        <f>I1631+I1632+I1633+I1634+I1635+I1636+I1637</f>
        <v>40668.400000000001</v>
      </c>
      <c r="J1630" s="1566">
        <f>J1631+J1632+J1633+J1634+J1635+J1636+J1637</f>
        <v>40668.400000000001</v>
      </c>
      <c r="K1630" s="301" t="s">
        <v>1832</v>
      </c>
      <c r="L1630" s="174" t="s">
        <v>16</v>
      </c>
      <c r="M1630" s="182">
        <f>4873.4/30638.3*100</f>
        <v>15.906235006511457</v>
      </c>
      <c r="N1630" s="182">
        <f>4863.1/30648.6*100</f>
        <v>15.867282681753817</v>
      </c>
      <c r="O1630" s="182">
        <f>4870.8/30638.4*100</f>
        <v>15.897697007676642</v>
      </c>
      <c r="P1630" s="182">
        <f>4870.8/30638.4*100</f>
        <v>15.897697007676642</v>
      </c>
      <c r="Q1630" s="1495">
        <f>4870.8/30638.4*100</f>
        <v>15.897697007676642</v>
      </c>
    </row>
    <row r="1631" spans="2:17" ht="29.25" customHeight="1" x14ac:dyDescent="0.2">
      <c r="B1631" s="1215"/>
      <c r="C1631" s="180">
        <v>1</v>
      </c>
      <c r="D1631" s="1216"/>
      <c r="E1631" s="979" t="s">
        <v>17</v>
      </c>
      <c r="F1631" s="1559">
        <f>6232-497.4-21.2</f>
        <v>5713.4000000000005</v>
      </c>
      <c r="G1631" s="1559">
        <v>4255.8</v>
      </c>
      <c r="H1631" s="1559">
        <v>4240.2</v>
      </c>
      <c r="I1631" s="1559">
        <v>5940.2</v>
      </c>
      <c r="J1631" s="1559">
        <v>5940.2</v>
      </c>
      <c r="K1631" s="290" t="s">
        <v>18</v>
      </c>
      <c r="L1631" s="175" t="s">
        <v>19</v>
      </c>
      <c r="M1631" s="175">
        <v>0.62</v>
      </c>
      <c r="N1631" s="175">
        <v>0.7</v>
      </c>
      <c r="O1631" s="175">
        <v>0.7</v>
      </c>
      <c r="P1631" s="175">
        <v>0.7</v>
      </c>
      <c r="Q1631" s="1480">
        <v>0.7</v>
      </c>
    </row>
    <row r="1632" spans="2:17" ht="29.25" customHeight="1" x14ac:dyDescent="0.2">
      <c r="B1632" s="1215"/>
      <c r="C1632" s="180">
        <v>2</v>
      </c>
      <c r="D1632" s="1216"/>
      <c r="E1632" s="979" t="s">
        <v>1971</v>
      </c>
      <c r="F1632" s="1559">
        <f>3409.5-21.5</f>
        <v>3388</v>
      </c>
      <c r="G1632" s="1559">
        <v>3358.3</v>
      </c>
      <c r="H1632" s="1559">
        <v>3363.4</v>
      </c>
      <c r="I1632" s="1559">
        <v>3363.4</v>
      </c>
      <c r="J1632" s="1559">
        <v>3363.4</v>
      </c>
      <c r="K1632" s="290" t="s">
        <v>419</v>
      </c>
      <c r="L1632" s="175" t="s">
        <v>16</v>
      </c>
      <c r="M1632" s="175">
        <v>100</v>
      </c>
      <c r="N1632" s="175">
        <v>100</v>
      </c>
      <c r="O1632" s="175">
        <v>100</v>
      </c>
      <c r="P1632" s="175">
        <v>100</v>
      </c>
      <c r="Q1632" s="1480">
        <v>100</v>
      </c>
    </row>
    <row r="1633" spans="2:17" ht="29.25" customHeight="1" x14ac:dyDescent="0.2">
      <c r="B1633" s="1215"/>
      <c r="C1633" s="180">
        <v>3</v>
      </c>
      <c r="D1633" s="1216"/>
      <c r="E1633" s="979" t="s">
        <v>1861</v>
      </c>
      <c r="F1633" s="1559">
        <f>2039.4-21.5</f>
        <v>2017.9</v>
      </c>
      <c r="G1633" s="1559">
        <v>2353.1</v>
      </c>
      <c r="H1633" s="1559">
        <v>1886.1</v>
      </c>
      <c r="I1633" s="1559">
        <v>1886.1</v>
      </c>
      <c r="J1633" s="1559">
        <v>1886.1</v>
      </c>
      <c r="K1633" s="290" t="s">
        <v>24</v>
      </c>
      <c r="L1633" s="175" t="s">
        <v>16</v>
      </c>
      <c r="M1633" s="175" t="s">
        <v>20</v>
      </c>
      <c r="N1633" s="175">
        <v>100</v>
      </c>
      <c r="O1633" s="175">
        <v>100</v>
      </c>
      <c r="P1633" s="175">
        <v>100</v>
      </c>
      <c r="Q1633" s="1480">
        <v>100</v>
      </c>
    </row>
    <row r="1634" spans="2:17" ht="29.25" customHeight="1" x14ac:dyDescent="0.2">
      <c r="B1634" s="1215"/>
      <c r="C1634" s="180">
        <v>4</v>
      </c>
      <c r="D1634" s="1216"/>
      <c r="E1634" s="979" t="s">
        <v>25</v>
      </c>
      <c r="F1634" s="1559">
        <f>3601.2-21.5</f>
        <v>3579.7</v>
      </c>
      <c r="G1634" s="1559">
        <v>3441.2</v>
      </c>
      <c r="H1634" s="1559">
        <v>3454.3</v>
      </c>
      <c r="I1634" s="1559">
        <v>3454.3</v>
      </c>
      <c r="J1634" s="1559">
        <v>3454.3</v>
      </c>
      <c r="K1634" s="290" t="s">
        <v>1070</v>
      </c>
      <c r="L1634" s="175" t="s">
        <v>262</v>
      </c>
      <c r="M1634" s="175" t="s">
        <v>1375</v>
      </c>
      <c r="N1634" s="175" t="s">
        <v>1372</v>
      </c>
      <c r="O1634" s="175" t="s">
        <v>1372</v>
      </c>
      <c r="P1634" s="175" t="s">
        <v>1372</v>
      </c>
      <c r="Q1634" s="1480" t="s">
        <v>1372</v>
      </c>
    </row>
    <row r="1635" spans="2:17" ht="29.25" customHeight="1" x14ac:dyDescent="0.2">
      <c r="B1635" s="1215"/>
      <c r="C1635" s="180">
        <v>6</v>
      </c>
      <c r="D1635" s="1216"/>
      <c r="E1635" s="290" t="s">
        <v>1917</v>
      </c>
      <c r="F1635" s="1559">
        <f>3507.3-45.4</f>
        <v>3461.9</v>
      </c>
      <c r="G1635" s="1559">
        <v>4208.8999999999996</v>
      </c>
      <c r="H1635" s="1559">
        <v>4269.6000000000004</v>
      </c>
      <c r="I1635" s="1559">
        <v>4269.6000000000004</v>
      </c>
      <c r="J1635" s="1559">
        <v>4269.6000000000004</v>
      </c>
      <c r="K1635" s="290" t="s">
        <v>1866</v>
      </c>
      <c r="L1635" s="175" t="s">
        <v>16</v>
      </c>
      <c r="M1635" s="176">
        <f>6/41*100</f>
        <v>14.634146341463413</v>
      </c>
      <c r="N1635" s="176">
        <f>6/41*100</f>
        <v>14.634146341463413</v>
      </c>
      <c r="O1635" s="176">
        <f>6/41*100</f>
        <v>14.634146341463413</v>
      </c>
      <c r="P1635" s="176">
        <f>6/41*100</f>
        <v>14.634146341463413</v>
      </c>
      <c r="Q1635" s="1496">
        <f>6/41*100</f>
        <v>14.634146341463413</v>
      </c>
    </row>
    <row r="1636" spans="2:17" ht="29.25" customHeight="1" x14ac:dyDescent="0.2">
      <c r="B1636" s="1215"/>
      <c r="C1636" s="180">
        <v>7</v>
      </c>
      <c r="D1636" s="1216"/>
      <c r="E1636" s="290" t="s">
        <v>1984</v>
      </c>
      <c r="F1636" s="1559">
        <f>3139-21.5</f>
        <v>3117.5</v>
      </c>
      <c r="G1636" s="1559">
        <v>2836.8</v>
      </c>
      <c r="H1636" s="1559">
        <v>3225.4</v>
      </c>
      <c r="I1636" s="1559">
        <v>3225.4</v>
      </c>
      <c r="J1636" s="1559">
        <v>3225.4</v>
      </c>
      <c r="K1636" s="290" t="s">
        <v>2079</v>
      </c>
      <c r="L1636" s="175" t="s">
        <v>16</v>
      </c>
      <c r="M1636" s="176">
        <v>82</v>
      </c>
      <c r="N1636" s="176">
        <v>100</v>
      </c>
      <c r="O1636" s="176">
        <v>100</v>
      </c>
      <c r="P1636" s="176">
        <v>100</v>
      </c>
      <c r="Q1636" s="1496">
        <v>100</v>
      </c>
    </row>
    <row r="1637" spans="2:17" ht="29.25" customHeight="1" x14ac:dyDescent="0.2">
      <c r="B1637" s="1215"/>
      <c r="C1637" s="180">
        <v>8</v>
      </c>
      <c r="D1637" s="1216"/>
      <c r="E1637" s="290" t="s">
        <v>2080</v>
      </c>
      <c r="F1637" s="1559">
        <v>14193</v>
      </c>
      <c r="G1637" s="1559">
        <v>18596.5</v>
      </c>
      <c r="H1637" s="1559">
        <v>18529.400000000001</v>
      </c>
      <c r="I1637" s="1559">
        <v>18529.400000000001</v>
      </c>
      <c r="J1637" s="1559">
        <v>18529.400000000001</v>
      </c>
      <c r="K1637" s="290" t="s">
        <v>2081</v>
      </c>
      <c r="L1637" s="1231" t="s">
        <v>16</v>
      </c>
      <c r="M1637" s="176">
        <f>56/97%</f>
        <v>57.731958762886599</v>
      </c>
      <c r="N1637" s="176">
        <f>56/97%</f>
        <v>57.731958762886599</v>
      </c>
      <c r="O1637" s="176">
        <f>56/97%</f>
        <v>57.731958762886599</v>
      </c>
      <c r="P1637" s="176">
        <f>56/97%</f>
        <v>57.731958762886599</v>
      </c>
      <c r="Q1637" s="1496">
        <f>56/97%</f>
        <v>57.731958762886599</v>
      </c>
    </row>
    <row r="1638" spans="2:17" ht="72" customHeight="1" x14ac:dyDescent="0.2">
      <c r="B1638" s="1215">
        <v>2</v>
      </c>
      <c r="C1638" s="180"/>
      <c r="D1638" s="1216"/>
      <c r="E1638" s="301" t="s">
        <v>3089</v>
      </c>
      <c r="F1638" s="1566">
        <f>F1639+F1640+F1641</f>
        <v>713134.4</v>
      </c>
      <c r="G1638" s="1566">
        <f>G1639+G1640+G1641</f>
        <v>800278.2</v>
      </c>
      <c r="H1638" s="1566">
        <f>H1639+H1640+H1641</f>
        <v>251345.59999999998</v>
      </c>
      <c r="I1638" s="1566">
        <f>I1639+I1640+I1641</f>
        <v>255202.3</v>
      </c>
      <c r="J1638" s="1566">
        <f>J1639+J1640+J1641</f>
        <v>258024.8</v>
      </c>
      <c r="K1638" s="301" t="s">
        <v>2082</v>
      </c>
      <c r="L1638" s="1231" t="s">
        <v>16</v>
      </c>
      <c r="M1638" s="1497">
        <f>(M1639+M1640)/2</f>
        <v>53.215000000000003</v>
      </c>
      <c r="N1638" s="174">
        <f>(N1639+N1640)/2</f>
        <v>34</v>
      </c>
      <c r="O1638" s="174">
        <f>(O1639+O1640)/2</f>
        <v>33</v>
      </c>
      <c r="P1638" s="174">
        <f>(P1639+P1640)/2</f>
        <v>33</v>
      </c>
      <c r="Q1638" s="1498">
        <f>(Q1639+Q1640)/2</f>
        <v>33</v>
      </c>
    </row>
    <row r="1639" spans="2:17" ht="29.25" customHeight="1" x14ac:dyDescent="0.2">
      <c r="B1639" s="1215"/>
      <c r="C1639" s="180">
        <v>1</v>
      </c>
      <c r="D1639" s="1216"/>
      <c r="E1639" s="290" t="s">
        <v>2083</v>
      </c>
      <c r="F1639" s="1559">
        <f>3025.5-21.5</f>
        <v>3004</v>
      </c>
      <c r="G1639" s="1559">
        <v>2899</v>
      </c>
      <c r="H1639" s="1559">
        <v>2903.2</v>
      </c>
      <c r="I1639" s="1559">
        <v>2903.2</v>
      </c>
      <c r="J1639" s="1559">
        <v>2903.2</v>
      </c>
      <c r="K1639" s="290" t="s">
        <v>2084</v>
      </c>
      <c r="L1639" s="1231" t="s">
        <v>16</v>
      </c>
      <c r="M1639" s="1233">
        <v>59.4</v>
      </c>
      <c r="N1639" s="1233">
        <v>23</v>
      </c>
      <c r="O1639" s="1233">
        <v>23</v>
      </c>
      <c r="P1639" s="1233">
        <v>23</v>
      </c>
      <c r="Q1639" s="1499">
        <v>23</v>
      </c>
    </row>
    <row r="1640" spans="2:17" ht="29.25" customHeight="1" x14ac:dyDescent="0.2">
      <c r="B1640" s="1215"/>
      <c r="C1640" s="180">
        <v>2</v>
      </c>
      <c r="D1640" s="1216"/>
      <c r="E1640" s="290" t="s">
        <v>2085</v>
      </c>
      <c r="F1640" s="1559">
        <f>2556.5-21.5</f>
        <v>2535</v>
      </c>
      <c r="G1640" s="1559">
        <v>2354.1</v>
      </c>
      <c r="H1640" s="1559">
        <v>2357.6</v>
      </c>
      <c r="I1640" s="1559">
        <v>2357.6</v>
      </c>
      <c r="J1640" s="1559">
        <v>2357.6</v>
      </c>
      <c r="K1640" s="290" t="s">
        <v>2086</v>
      </c>
      <c r="L1640" s="1231" t="s">
        <v>16</v>
      </c>
      <c r="M1640" s="175">
        <v>47.03</v>
      </c>
      <c r="N1640" s="175">
        <v>45</v>
      </c>
      <c r="O1640" s="175">
        <v>43</v>
      </c>
      <c r="P1640" s="175">
        <v>43</v>
      </c>
      <c r="Q1640" s="1480">
        <v>43</v>
      </c>
    </row>
    <row r="1641" spans="2:17" ht="29.25" customHeight="1" x14ac:dyDescent="0.2">
      <c r="B1641" s="1213"/>
      <c r="C1641" s="342">
        <v>3</v>
      </c>
      <c r="D1641" s="1232"/>
      <c r="E1641" s="290" t="s">
        <v>2087</v>
      </c>
      <c r="F1641" s="1687">
        <f>708610.6-1015.2</f>
        <v>707595.4</v>
      </c>
      <c r="G1641" s="1687">
        <f>246010.3+411819.8+113386.5+21069+2739.5</f>
        <v>795025.1</v>
      </c>
      <c r="H1641" s="1687">
        <v>246084.8</v>
      </c>
      <c r="I1641" s="1687">
        <v>249941.5</v>
      </c>
      <c r="J1641" s="1687">
        <v>252764</v>
      </c>
      <c r="K1641" s="1234" t="s">
        <v>2088</v>
      </c>
      <c r="L1641" s="1231" t="s">
        <v>16</v>
      </c>
      <c r="M1641" s="1233">
        <v>59.4</v>
      </c>
      <c r="N1641" s="1233">
        <v>23</v>
      </c>
      <c r="O1641" s="1233">
        <v>23</v>
      </c>
      <c r="P1641" s="1233">
        <v>23</v>
      </c>
      <c r="Q1641" s="1499">
        <v>23</v>
      </c>
    </row>
    <row r="1642" spans="2:17" ht="29.25" customHeight="1" x14ac:dyDescent="0.2">
      <c r="B1642" s="1719" t="s">
        <v>2722</v>
      </c>
      <c r="C1642" s="1720"/>
      <c r="D1642" s="1720"/>
      <c r="E1642" s="1721"/>
      <c r="F1642" s="1610">
        <f>F1630+F1638</f>
        <v>748605.8</v>
      </c>
      <c r="G1642" s="1610">
        <f>G1630+G1638</f>
        <v>839328.79999999993</v>
      </c>
      <c r="H1642" s="1610">
        <f>H1630+H1638</f>
        <v>290314</v>
      </c>
      <c r="I1642" s="1610">
        <f>I1630+I1638</f>
        <v>295870.7</v>
      </c>
      <c r="J1642" s="1610">
        <f>J1630+J1638</f>
        <v>298693.2</v>
      </c>
      <c r="K1642" s="702"/>
      <c r="L1642" s="1191"/>
      <c r="M1642" s="702"/>
      <c r="N1642" s="702"/>
      <c r="O1642" s="702"/>
      <c r="P1642" s="702"/>
      <c r="Q1642" s="1192"/>
    </row>
    <row r="1643" spans="2:17" ht="29.25" customHeight="1" x14ac:dyDescent="0.2">
      <c r="B1643" s="1722" t="s">
        <v>2089</v>
      </c>
      <c r="C1643" s="1723"/>
      <c r="D1643" s="1723"/>
      <c r="E1643" s="1723"/>
      <c r="F1643" s="1723"/>
      <c r="G1643" s="1723"/>
      <c r="H1643" s="1723"/>
      <c r="I1643" s="1723"/>
      <c r="J1643" s="1723"/>
      <c r="K1643" s="1723"/>
      <c r="L1643" s="1723"/>
      <c r="M1643" s="1723"/>
      <c r="N1643" s="1723"/>
      <c r="O1643" s="1723"/>
      <c r="P1643" s="1723"/>
      <c r="Q1643" s="1724"/>
    </row>
    <row r="1644" spans="2:17" ht="90" customHeight="1" x14ac:dyDescent="0.2">
      <c r="B1644" s="1235">
        <v>1</v>
      </c>
      <c r="C1644" s="1236"/>
      <c r="D1644" s="1237"/>
      <c r="E1644" s="1238" t="s">
        <v>3090</v>
      </c>
      <c r="F1644" s="1566">
        <v>3057.9</v>
      </c>
      <c r="G1644" s="1566">
        <v>3365.7</v>
      </c>
      <c r="H1644" s="1566">
        <v>2806.9</v>
      </c>
      <c r="I1644" s="1566">
        <v>2806.9</v>
      </c>
      <c r="J1644" s="1566">
        <v>2806.9</v>
      </c>
      <c r="K1644" s="887" t="s">
        <v>2090</v>
      </c>
      <c r="L1644" s="174" t="s">
        <v>16</v>
      </c>
      <c r="M1644" s="174">
        <v>10.6</v>
      </c>
      <c r="N1644" s="174">
        <v>27.5</v>
      </c>
      <c r="O1644" s="174">
        <v>27.5</v>
      </c>
      <c r="P1644" s="174">
        <v>28.7</v>
      </c>
      <c r="Q1644" s="1498">
        <v>28.7</v>
      </c>
    </row>
    <row r="1645" spans="2:17" ht="29.25" customHeight="1" x14ac:dyDescent="0.2">
      <c r="B1645" s="1235"/>
      <c r="C1645" s="180">
        <v>1</v>
      </c>
      <c r="D1645" s="1239"/>
      <c r="E1645" s="1240" t="s">
        <v>184</v>
      </c>
      <c r="F1645" s="1559">
        <v>1716.2</v>
      </c>
      <c r="G1645" s="1559">
        <v>1992.8</v>
      </c>
      <c r="H1645" s="1559">
        <v>1706.4</v>
      </c>
      <c r="I1645" s="1559">
        <v>1706.4</v>
      </c>
      <c r="J1645" s="1559">
        <v>1706.4</v>
      </c>
      <c r="K1645" s="601" t="s">
        <v>460</v>
      </c>
      <c r="L1645" s="175" t="s">
        <v>16</v>
      </c>
      <c r="M1645" s="175">
        <v>100</v>
      </c>
      <c r="N1645" s="175">
        <v>100</v>
      </c>
      <c r="O1645" s="175">
        <v>100</v>
      </c>
      <c r="P1645" s="175">
        <v>100</v>
      </c>
      <c r="Q1645" s="1480">
        <v>100</v>
      </c>
    </row>
    <row r="1646" spans="2:17" ht="29.25" customHeight="1" x14ac:dyDescent="0.2">
      <c r="B1646" s="1235"/>
      <c r="C1646" s="180">
        <v>2</v>
      </c>
      <c r="D1646" s="1239"/>
      <c r="E1646" s="1240" t="s">
        <v>1861</v>
      </c>
      <c r="F1646" s="1559">
        <v>589.29999999999995</v>
      </c>
      <c r="G1646" s="1559">
        <v>615.9</v>
      </c>
      <c r="H1646" s="1559">
        <v>438.9</v>
      </c>
      <c r="I1646" s="1559">
        <v>438.9</v>
      </c>
      <c r="J1646" s="1559">
        <v>438.9</v>
      </c>
      <c r="K1646" s="1241" t="s">
        <v>2091</v>
      </c>
      <c r="L1646" s="175" t="s">
        <v>16</v>
      </c>
      <c r="M1646" s="175">
        <v>100</v>
      </c>
      <c r="N1646" s="175">
        <v>100</v>
      </c>
      <c r="O1646" s="175">
        <v>100</v>
      </c>
      <c r="P1646" s="175">
        <v>100</v>
      </c>
      <c r="Q1646" s="1480">
        <v>100</v>
      </c>
    </row>
    <row r="1647" spans="2:17" ht="29.25" customHeight="1" x14ac:dyDescent="0.2">
      <c r="B1647" s="1235"/>
      <c r="C1647" s="180">
        <v>3</v>
      </c>
      <c r="D1647" s="1239"/>
      <c r="E1647" s="1240" t="s">
        <v>25</v>
      </c>
      <c r="F1647" s="1559">
        <v>752.4</v>
      </c>
      <c r="G1647" s="1559">
        <v>757</v>
      </c>
      <c r="H1647" s="1559">
        <v>661.6</v>
      </c>
      <c r="I1647" s="1559">
        <v>661.6</v>
      </c>
      <c r="J1647" s="1559">
        <v>661.6</v>
      </c>
      <c r="K1647" s="600" t="s">
        <v>2092</v>
      </c>
      <c r="L1647" s="175" t="s">
        <v>262</v>
      </c>
      <c r="M1647" s="1500" t="s">
        <v>1379</v>
      </c>
      <c r="N1647" s="1500" t="s">
        <v>1380</v>
      </c>
      <c r="O1647" s="1500" t="s">
        <v>1373</v>
      </c>
      <c r="P1647" s="1500" t="s">
        <v>1373</v>
      </c>
      <c r="Q1647" s="1501" t="s">
        <v>1373</v>
      </c>
    </row>
    <row r="1648" spans="2:17" ht="29.25" customHeight="1" x14ac:dyDescent="0.2">
      <c r="B1648" s="1749" t="s">
        <v>131</v>
      </c>
      <c r="C1648" s="1750"/>
      <c r="D1648" s="1750"/>
      <c r="E1648" s="2438" t="s">
        <v>3091</v>
      </c>
      <c r="F1648" s="1761">
        <v>8997.5</v>
      </c>
      <c r="G1648" s="1761">
        <v>10157.299999999999</v>
      </c>
      <c r="H1648" s="1761">
        <v>8516.1</v>
      </c>
      <c r="I1648" s="1761">
        <v>8516.1</v>
      </c>
      <c r="J1648" s="1761">
        <v>8516.1</v>
      </c>
      <c r="K1648" s="1762" t="s">
        <v>2093</v>
      </c>
      <c r="L1648" s="1754" t="s">
        <v>16</v>
      </c>
      <c r="M1648" s="1764">
        <v>100</v>
      </c>
      <c r="N1648" s="1764">
        <v>100</v>
      </c>
      <c r="O1648" s="1764">
        <v>100</v>
      </c>
      <c r="P1648" s="1764">
        <v>100</v>
      </c>
      <c r="Q1648" s="1765">
        <v>100</v>
      </c>
    </row>
    <row r="1649" spans="2:17" ht="78.75" customHeight="1" x14ac:dyDescent="0.2">
      <c r="B1649" s="1749"/>
      <c r="C1649" s="1750"/>
      <c r="D1649" s="1750"/>
      <c r="E1649" s="2438"/>
      <c r="F1649" s="1761"/>
      <c r="G1649" s="1752"/>
      <c r="H1649" s="1752"/>
      <c r="I1649" s="1752"/>
      <c r="J1649" s="1752"/>
      <c r="K1649" s="1763"/>
      <c r="L1649" s="1754"/>
      <c r="M1649" s="1759"/>
      <c r="N1649" s="1759"/>
      <c r="O1649" s="1759"/>
      <c r="P1649" s="1764"/>
      <c r="Q1649" s="1765"/>
    </row>
    <row r="1650" spans="2:17" ht="29.25" customHeight="1" x14ac:dyDescent="0.2">
      <c r="B1650" s="1749"/>
      <c r="C1650" s="1750" t="s">
        <v>114</v>
      </c>
      <c r="D1650" s="1750"/>
      <c r="E1650" s="1751" t="s">
        <v>2094</v>
      </c>
      <c r="F1650" s="1694">
        <v>6630</v>
      </c>
      <c r="G1650" s="1694">
        <v>7823.5</v>
      </c>
      <c r="H1650" s="1694">
        <v>6679.3</v>
      </c>
      <c r="I1650" s="1694">
        <v>6679.3</v>
      </c>
      <c r="J1650" s="1694">
        <v>6679.3</v>
      </c>
      <c r="K1650" s="1766" t="s">
        <v>2095</v>
      </c>
      <c r="L1650" s="1754" t="s">
        <v>16</v>
      </c>
      <c r="M1650" s="1755">
        <v>100</v>
      </c>
      <c r="N1650" s="1755">
        <v>100</v>
      </c>
      <c r="O1650" s="1755">
        <v>100</v>
      </c>
      <c r="P1650" s="1755">
        <v>100</v>
      </c>
      <c r="Q1650" s="1757">
        <v>100</v>
      </c>
    </row>
    <row r="1651" spans="2:17" ht="29.25" customHeight="1" x14ac:dyDescent="0.2">
      <c r="B1651" s="1749"/>
      <c r="C1651" s="1750"/>
      <c r="D1651" s="1750"/>
      <c r="E1651" s="1751"/>
      <c r="F1651" s="1752"/>
      <c r="G1651" s="1694"/>
      <c r="H1651" s="1694"/>
      <c r="I1651" s="1694"/>
      <c r="J1651" s="1694"/>
      <c r="K1651" s="1763"/>
      <c r="L1651" s="1754"/>
      <c r="M1651" s="1756"/>
      <c r="N1651" s="1756"/>
      <c r="O1651" s="1756"/>
      <c r="P1651" s="1755"/>
      <c r="Q1651" s="1757"/>
    </row>
    <row r="1652" spans="2:17" ht="29.25" customHeight="1" x14ac:dyDescent="0.2">
      <c r="B1652" s="1749"/>
      <c r="C1652" s="1750" t="s">
        <v>116</v>
      </c>
      <c r="D1652" s="1750"/>
      <c r="E1652" s="1751" t="s">
        <v>2096</v>
      </c>
      <c r="F1652" s="1694">
        <v>833.7</v>
      </c>
      <c r="G1652" s="1694">
        <v>823.2</v>
      </c>
      <c r="H1652" s="1694">
        <v>792.9</v>
      </c>
      <c r="I1652" s="1694">
        <v>792.9</v>
      </c>
      <c r="J1652" s="1694">
        <v>792.9</v>
      </c>
      <c r="K1652" s="1753" t="s">
        <v>2097</v>
      </c>
      <c r="L1652" s="1754" t="s">
        <v>122</v>
      </c>
      <c r="M1652" s="1755">
        <v>2</v>
      </c>
      <c r="N1652" s="1755">
        <v>1</v>
      </c>
      <c r="O1652" s="1755">
        <v>3</v>
      </c>
      <c r="P1652" s="1755">
        <v>2</v>
      </c>
      <c r="Q1652" s="1757">
        <v>2</v>
      </c>
    </row>
    <row r="1653" spans="2:17" ht="29.25" customHeight="1" x14ac:dyDescent="0.2">
      <c r="B1653" s="1749"/>
      <c r="C1653" s="1750"/>
      <c r="D1653" s="1750"/>
      <c r="E1653" s="1751"/>
      <c r="F1653" s="1752"/>
      <c r="G1653" s="1694"/>
      <c r="H1653" s="1694"/>
      <c r="I1653" s="1694"/>
      <c r="J1653" s="1694"/>
      <c r="K1653" s="1753"/>
      <c r="L1653" s="1754"/>
      <c r="M1653" s="1756"/>
      <c r="N1653" s="1756"/>
      <c r="O1653" s="1756"/>
      <c r="P1653" s="1755"/>
      <c r="Q1653" s="1757"/>
    </row>
    <row r="1654" spans="2:17" ht="29.25" customHeight="1" x14ac:dyDescent="0.2">
      <c r="B1654" s="1749"/>
      <c r="C1654" s="1750" t="s">
        <v>119</v>
      </c>
      <c r="D1654" s="1750"/>
      <c r="E1654" s="1751" t="s">
        <v>2098</v>
      </c>
      <c r="F1654" s="1694">
        <v>1533.8</v>
      </c>
      <c r="G1654" s="1694">
        <v>1510.6</v>
      </c>
      <c r="H1654" s="1694">
        <v>1043.9000000000001</v>
      </c>
      <c r="I1654" s="1694">
        <v>1043.9000000000001</v>
      </c>
      <c r="J1654" s="1694">
        <v>1043.9000000000001</v>
      </c>
      <c r="K1654" s="1753" t="s">
        <v>2099</v>
      </c>
      <c r="L1654" s="1754" t="s">
        <v>1381</v>
      </c>
      <c r="M1654" s="1758">
        <v>2600</v>
      </c>
      <c r="N1654" s="1758">
        <v>2900</v>
      </c>
      <c r="O1654" s="1755" t="s">
        <v>1374</v>
      </c>
      <c r="P1654" s="1755" t="s">
        <v>1374</v>
      </c>
      <c r="Q1654" s="1757" t="s">
        <v>1374</v>
      </c>
    </row>
    <row r="1655" spans="2:17" ht="29.25" customHeight="1" x14ac:dyDescent="0.2">
      <c r="B1655" s="1749"/>
      <c r="C1655" s="1750"/>
      <c r="D1655" s="1750"/>
      <c r="E1655" s="1751"/>
      <c r="F1655" s="1752"/>
      <c r="G1655" s="1694"/>
      <c r="H1655" s="1694"/>
      <c r="I1655" s="1694"/>
      <c r="J1655" s="1694"/>
      <c r="K1655" s="1753"/>
      <c r="L1655" s="1754"/>
      <c r="M1655" s="1759"/>
      <c r="N1655" s="1759"/>
      <c r="O1655" s="1756"/>
      <c r="P1655" s="1756"/>
      <c r="Q1655" s="1760"/>
    </row>
    <row r="1656" spans="2:17" ht="29.25" customHeight="1" x14ac:dyDescent="0.2">
      <c r="B1656" s="1719" t="s">
        <v>2722</v>
      </c>
      <c r="C1656" s="1720"/>
      <c r="D1656" s="1720"/>
      <c r="E1656" s="1721"/>
      <c r="F1656" s="1610">
        <v>12055.4</v>
      </c>
      <c r="G1656" s="1610">
        <v>13523</v>
      </c>
      <c r="H1656" s="1610">
        <v>11323</v>
      </c>
      <c r="I1656" s="1610">
        <v>11323</v>
      </c>
      <c r="J1656" s="1610">
        <v>11323</v>
      </c>
      <c r="K1656" s="702"/>
      <c r="L1656" s="1191"/>
      <c r="M1656" s="702"/>
      <c r="N1656" s="702"/>
      <c r="O1656" s="702"/>
      <c r="P1656" s="702"/>
      <c r="Q1656" s="1192"/>
    </row>
    <row r="1657" spans="2:17" ht="29.25" customHeight="1" x14ac:dyDescent="0.2">
      <c r="B1657" s="1722" t="s">
        <v>2975</v>
      </c>
      <c r="C1657" s="1723"/>
      <c r="D1657" s="1723"/>
      <c r="E1657" s="1723"/>
      <c r="F1657" s="1723"/>
      <c r="G1657" s="1723"/>
      <c r="H1657" s="1723"/>
      <c r="I1657" s="1723"/>
      <c r="J1657" s="1723"/>
      <c r="K1657" s="1723"/>
      <c r="L1657" s="1723"/>
      <c r="M1657" s="1723"/>
      <c r="N1657" s="1723"/>
      <c r="O1657" s="1723"/>
      <c r="P1657" s="1723"/>
      <c r="Q1657" s="1724"/>
    </row>
    <row r="1658" spans="2:17" ht="99" customHeight="1" x14ac:dyDescent="0.2">
      <c r="B1658" s="1502" t="s">
        <v>131</v>
      </c>
      <c r="C1658" s="1503"/>
      <c r="D1658" s="1503"/>
      <c r="E1658" s="1504" t="s">
        <v>2100</v>
      </c>
      <c r="F1658" s="1588">
        <f>F1659</f>
        <v>1208.3</v>
      </c>
      <c r="G1658" s="1588">
        <f t="shared" ref="G1658:J1658" si="102">G1659</f>
        <v>18147.8</v>
      </c>
      <c r="H1658" s="1588">
        <f t="shared" si="102"/>
        <v>15432.9</v>
      </c>
      <c r="I1658" s="1588">
        <f t="shared" si="102"/>
        <v>1294.2</v>
      </c>
      <c r="J1658" s="1588">
        <f t="shared" si="102"/>
        <v>1306.9000000000001</v>
      </c>
      <c r="K1658" s="1503"/>
      <c r="L1658" s="1503"/>
      <c r="M1658" s="1503"/>
      <c r="N1658" s="1503"/>
      <c r="O1658" s="1503"/>
      <c r="P1658" s="1503"/>
      <c r="Q1658" s="1505"/>
    </row>
    <row r="1659" spans="2:17" ht="29.25" customHeight="1" x14ac:dyDescent="0.2">
      <c r="B1659" s="1735"/>
      <c r="C1659" s="1736">
        <v>1</v>
      </c>
      <c r="D1659" s="1737"/>
      <c r="E1659" s="1738" t="s">
        <v>2100</v>
      </c>
      <c r="F1659" s="1740">
        <v>1208.3</v>
      </c>
      <c r="G1659" s="1740">
        <v>18147.8</v>
      </c>
      <c r="H1659" s="1740">
        <v>15432.9</v>
      </c>
      <c r="I1659" s="1740">
        <v>1294.2</v>
      </c>
      <c r="J1659" s="1740">
        <v>1306.9000000000001</v>
      </c>
      <c r="K1659" s="606" t="s">
        <v>2101</v>
      </c>
      <c r="L1659" s="1108" t="s">
        <v>122</v>
      </c>
      <c r="M1659" s="257">
        <v>4</v>
      </c>
      <c r="N1659" s="257">
        <v>4</v>
      </c>
      <c r="O1659" s="257">
        <v>4</v>
      </c>
      <c r="P1659" s="257">
        <v>4</v>
      </c>
      <c r="Q1659" s="1491">
        <v>4</v>
      </c>
    </row>
    <row r="1660" spans="2:17" ht="66.75" customHeight="1" x14ac:dyDescent="0.2">
      <c r="B1660" s="1735"/>
      <c r="C1660" s="1736"/>
      <c r="D1660" s="1737"/>
      <c r="E1660" s="1739"/>
      <c r="F1660" s="1740"/>
      <c r="G1660" s="1740"/>
      <c r="H1660" s="1740"/>
      <c r="I1660" s="1740"/>
      <c r="J1660" s="1740"/>
      <c r="K1660" s="606" t="s">
        <v>2102</v>
      </c>
      <c r="L1660" s="1108" t="s">
        <v>122</v>
      </c>
      <c r="M1660" s="257">
        <v>8</v>
      </c>
      <c r="N1660" s="257">
        <v>8</v>
      </c>
      <c r="O1660" s="257">
        <v>8</v>
      </c>
      <c r="P1660" s="257">
        <v>8</v>
      </c>
      <c r="Q1660" s="1491">
        <v>8</v>
      </c>
    </row>
    <row r="1661" spans="2:17" ht="29.25" customHeight="1" x14ac:dyDescent="0.2">
      <c r="B1661" s="1719" t="s">
        <v>2722</v>
      </c>
      <c r="C1661" s="1720"/>
      <c r="D1661" s="1720"/>
      <c r="E1661" s="1721"/>
      <c r="F1661" s="1610">
        <f>F1659</f>
        <v>1208.3</v>
      </c>
      <c r="G1661" s="1610">
        <f>G1659</f>
        <v>18147.8</v>
      </c>
      <c r="H1661" s="1610">
        <f>H1659</f>
        <v>15432.9</v>
      </c>
      <c r="I1661" s="1610">
        <f>I1659</f>
        <v>1294.2</v>
      </c>
      <c r="J1661" s="1610">
        <f>J1659</f>
        <v>1306.9000000000001</v>
      </c>
      <c r="K1661" s="702"/>
      <c r="L1661" s="1191"/>
      <c r="M1661" s="702"/>
      <c r="N1661" s="702"/>
      <c r="O1661" s="702"/>
      <c r="P1661" s="702"/>
      <c r="Q1661" s="1192"/>
    </row>
    <row r="1662" spans="2:17" ht="29.25" customHeight="1" x14ac:dyDescent="0.2">
      <c r="B1662" s="1741" t="s">
        <v>2103</v>
      </c>
      <c r="C1662" s="1742"/>
      <c r="D1662" s="1742"/>
      <c r="E1662" s="1742"/>
      <c r="F1662" s="1742"/>
      <c r="G1662" s="1742"/>
      <c r="H1662" s="1742"/>
      <c r="I1662" s="1742"/>
      <c r="J1662" s="1742"/>
      <c r="K1662" s="1742"/>
      <c r="L1662" s="1742"/>
      <c r="M1662" s="1742"/>
      <c r="N1662" s="1742"/>
      <c r="O1662" s="1742"/>
      <c r="P1662" s="1742"/>
      <c r="Q1662" s="1743"/>
    </row>
    <row r="1663" spans="2:17" ht="29.25" customHeight="1" x14ac:dyDescent="0.2">
      <c r="B1663" s="1242">
        <v>1</v>
      </c>
      <c r="C1663" s="1243"/>
      <c r="D1663" s="1243"/>
      <c r="E1663" s="547" t="s">
        <v>2104</v>
      </c>
      <c r="F1663" s="1617">
        <f t="shared" ref="F1663:J1663" si="103">F1664+F1665+F1666</f>
        <v>46283.100000000006</v>
      </c>
      <c r="G1663" s="1617">
        <f t="shared" si="103"/>
        <v>86979.4</v>
      </c>
      <c r="H1663" s="1571">
        <f t="shared" si="103"/>
        <v>83144</v>
      </c>
      <c r="I1663" s="1571">
        <f t="shared" si="103"/>
        <v>83444</v>
      </c>
      <c r="J1663" s="1571">
        <f t="shared" si="103"/>
        <v>85977.8</v>
      </c>
      <c r="K1663" s="168" t="s">
        <v>2105</v>
      </c>
      <c r="L1663" s="169" t="s">
        <v>16</v>
      </c>
      <c r="M1663" s="1244"/>
      <c r="N1663" s="1244"/>
      <c r="O1663" s="1244"/>
      <c r="P1663" s="1244"/>
      <c r="Q1663" s="1245"/>
    </row>
    <row r="1664" spans="2:17" ht="29.25" customHeight="1" x14ac:dyDescent="0.2">
      <c r="B1664" s="408"/>
      <c r="C1664" s="143">
        <v>3</v>
      </c>
      <c r="D1664" s="303"/>
      <c r="E1664" s="179" t="s">
        <v>23</v>
      </c>
      <c r="F1664" s="1616">
        <v>15427.7</v>
      </c>
      <c r="G1664" s="1568">
        <f>28993.1</f>
        <v>28993.1</v>
      </c>
      <c r="H1664" s="1568">
        <v>27714.6</v>
      </c>
      <c r="I1664" s="1568">
        <v>27714.6</v>
      </c>
      <c r="J1664" s="1568">
        <f>27714.6+844.6</f>
        <v>28559.199999999997</v>
      </c>
      <c r="K1664" s="290" t="s">
        <v>2106</v>
      </c>
      <c r="L1664" s="175" t="s">
        <v>16</v>
      </c>
      <c r="M1664" s="177">
        <v>26</v>
      </c>
      <c r="N1664" s="177">
        <v>27</v>
      </c>
      <c r="O1664" s="177">
        <v>27</v>
      </c>
      <c r="P1664" s="177">
        <v>27</v>
      </c>
      <c r="Q1664" s="1506">
        <v>27</v>
      </c>
    </row>
    <row r="1665" spans="2:17" ht="29.25" customHeight="1" x14ac:dyDescent="0.2">
      <c r="B1665" s="408"/>
      <c r="C1665" s="143">
        <v>50</v>
      </c>
      <c r="D1665" s="303"/>
      <c r="E1665" s="179" t="s">
        <v>2107</v>
      </c>
      <c r="F1665" s="1616">
        <v>15427.6</v>
      </c>
      <c r="G1665" s="1568">
        <v>28993.1</v>
      </c>
      <c r="H1665" s="1568">
        <v>27714.7</v>
      </c>
      <c r="I1665" s="1568">
        <v>27714.7</v>
      </c>
      <c r="J1665" s="1568">
        <f>27714.7+844.6</f>
        <v>28559.3</v>
      </c>
      <c r="K1665" s="290" t="s">
        <v>2108</v>
      </c>
      <c r="L1665" s="175" t="s">
        <v>2109</v>
      </c>
      <c r="M1665" s="177">
        <v>140</v>
      </c>
      <c r="N1665" s="177">
        <v>140</v>
      </c>
      <c r="O1665" s="177">
        <v>140</v>
      </c>
      <c r="P1665" s="177">
        <v>140</v>
      </c>
      <c r="Q1665" s="1506">
        <v>140</v>
      </c>
    </row>
    <row r="1666" spans="2:17" ht="29.25" customHeight="1" x14ac:dyDescent="0.2">
      <c r="B1666" s="408"/>
      <c r="C1666" s="143">
        <v>51</v>
      </c>
      <c r="D1666" s="303"/>
      <c r="E1666" s="179" t="s">
        <v>2110</v>
      </c>
      <c r="F1666" s="1616">
        <v>15427.8</v>
      </c>
      <c r="G1666" s="1568">
        <v>28993.200000000001</v>
      </c>
      <c r="H1666" s="1568">
        <v>27714.7</v>
      </c>
      <c r="I1666" s="1568">
        <f>27714.7+300</f>
        <v>28014.7</v>
      </c>
      <c r="J1666" s="1568">
        <f>27714.7+300+844.6</f>
        <v>28859.3</v>
      </c>
      <c r="K1666" s="290" t="s">
        <v>2111</v>
      </c>
      <c r="L1666" s="175" t="s">
        <v>2109</v>
      </c>
      <c r="M1666" s="177">
        <v>5</v>
      </c>
      <c r="N1666" s="177">
        <v>5</v>
      </c>
      <c r="O1666" s="177">
        <v>5</v>
      </c>
      <c r="P1666" s="177">
        <v>5</v>
      </c>
      <c r="Q1666" s="1506">
        <v>5</v>
      </c>
    </row>
    <row r="1667" spans="2:17" ht="29.25" customHeight="1" x14ac:dyDescent="0.2">
      <c r="B1667" s="1246" t="s">
        <v>131</v>
      </c>
      <c r="C1667" s="1247"/>
      <c r="D1667" s="1247"/>
      <c r="E1667" s="301" t="s">
        <v>2976</v>
      </c>
      <c r="F1667" s="1617">
        <f t="shared" ref="F1667:J1667" si="104">SUM(F1668:F1671)</f>
        <v>116066.5</v>
      </c>
      <c r="G1667" s="1617">
        <f t="shared" si="104"/>
        <v>123728.9</v>
      </c>
      <c r="H1667" s="1571">
        <f t="shared" si="104"/>
        <v>121539.9</v>
      </c>
      <c r="I1667" s="1571">
        <f t="shared" si="104"/>
        <v>118845</v>
      </c>
      <c r="J1667" s="1571">
        <f t="shared" si="104"/>
        <v>118845</v>
      </c>
      <c r="K1667" s="551" t="s">
        <v>2112</v>
      </c>
      <c r="L1667" s="175"/>
      <c r="M1667" s="1248"/>
      <c r="N1667" s="1248"/>
      <c r="O1667" s="1248"/>
      <c r="P1667" s="1248"/>
      <c r="Q1667" s="1249"/>
    </row>
    <row r="1668" spans="2:17" ht="66" customHeight="1" x14ac:dyDescent="0.2">
      <c r="B1668" s="1250"/>
      <c r="C1668" s="1251" t="s">
        <v>114</v>
      </c>
      <c r="D1668" s="1251"/>
      <c r="E1668" s="290" t="s">
        <v>2113</v>
      </c>
      <c r="F1668" s="1616">
        <v>31460.7</v>
      </c>
      <c r="G1668" s="1568">
        <v>33830.699999999997</v>
      </c>
      <c r="H1668" s="1568">
        <v>33130.300000000003</v>
      </c>
      <c r="I1668" s="1568">
        <v>33130.300000000003</v>
      </c>
      <c r="J1668" s="1568">
        <v>33130.300000000003</v>
      </c>
      <c r="K1668" s="188" t="s">
        <v>2977</v>
      </c>
      <c r="L1668" s="175" t="s">
        <v>2109</v>
      </c>
      <c r="M1668" s="304">
        <v>7000</v>
      </c>
      <c r="N1668" s="304">
        <v>7000</v>
      </c>
      <c r="O1668" s="304">
        <v>7000</v>
      </c>
      <c r="P1668" s="304">
        <v>7000</v>
      </c>
      <c r="Q1668" s="1507">
        <v>7000</v>
      </c>
    </row>
    <row r="1669" spans="2:17" ht="76.5" customHeight="1" x14ac:dyDescent="0.2">
      <c r="B1669" s="1250"/>
      <c r="C1669" s="1251" t="s">
        <v>116</v>
      </c>
      <c r="D1669" s="1251"/>
      <c r="E1669" s="290" t="s">
        <v>2114</v>
      </c>
      <c r="F1669" s="1616">
        <f>3500+269.4+8087.7+4111.7</f>
        <v>15968.8</v>
      </c>
      <c r="G1669" s="1568">
        <f>9699.8+4528.3</f>
        <v>14228.099999999999</v>
      </c>
      <c r="H1669" s="1568">
        <f>8561.8+4389.9+2200+379.5+308.5+100+200</f>
        <v>16139.699999999999</v>
      </c>
      <c r="I1669" s="1568">
        <f>8561.8+4389.9+573.1</f>
        <v>13524.8</v>
      </c>
      <c r="J1669" s="1568">
        <f>8561.8+4389.9+573.1</f>
        <v>13524.8</v>
      </c>
      <c r="K1669" s="188" t="s">
        <v>2978</v>
      </c>
      <c r="L1669" s="175" t="s">
        <v>2109</v>
      </c>
      <c r="M1669" s="304">
        <v>20</v>
      </c>
      <c r="N1669" s="304">
        <v>20</v>
      </c>
      <c r="O1669" s="304">
        <v>21</v>
      </c>
      <c r="P1669" s="304">
        <v>22</v>
      </c>
      <c r="Q1669" s="1507">
        <v>22</v>
      </c>
    </row>
    <row r="1670" spans="2:17" ht="66" customHeight="1" x14ac:dyDescent="0.2">
      <c r="B1670" s="1250"/>
      <c r="C1670" s="1251" t="s">
        <v>119</v>
      </c>
      <c r="D1670" s="1251"/>
      <c r="E1670" s="290" t="s">
        <v>2115</v>
      </c>
      <c r="F1670" s="1616">
        <f>80+11112.7+18432.7+8406.4+7849.3</f>
        <v>45881.100000000006</v>
      </c>
      <c r="G1670" s="1568">
        <f>20563.3+9900.6+20856.8</f>
        <v>51320.7</v>
      </c>
      <c r="H1670" s="1568">
        <f>19828.4+9108+19996.4+28+32+20</f>
        <v>49012.800000000003</v>
      </c>
      <c r="I1670" s="1568">
        <f>19828.4+9108+19996.4</f>
        <v>48932.800000000003</v>
      </c>
      <c r="J1670" s="1568">
        <f>19828.4+9108+19996.4</f>
        <v>48932.800000000003</v>
      </c>
      <c r="K1670" s="188" t="s">
        <v>2979</v>
      </c>
      <c r="L1670" s="175" t="s">
        <v>2109</v>
      </c>
      <c r="M1670" s="304">
        <v>15</v>
      </c>
      <c r="N1670" s="304">
        <v>15</v>
      </c>
      <c r="O1670" s="304">
        <v>15</v>
      </c>
      <c r="P1670" s="304">
        <v>15</v>
      </c>
      <c r="Q1670" s="1507">
        <v>15</v>
      </c>
    </row>
    <row r="1671" spans="2:17" ht="84.75" customHeight="1" x14ac:dyDescent="0.2">
      <c r="B1671" s="1250"/>
      <c r="C1671" s="1251" t="s">
        <v>124</v>
      </c>
      <c r="D1671" s="1251"/>
      <c r="E1671" s="290" t="s">
        <v>2980</v>
      </c>
      <c r="F1671" s="1616">
        <f>11492+11263.9</f>
        <v>22755.9</v>
      </c>
      <c r="G1671" s="1568">
        <f>12138.8+12210.6</f>
        <v>24349.4</v>
      </c>
      <c r="H1671" s="1568">
        <f>11725.9+11531.2</f>
        <v>23257.1</v>
      </c>
      <c r="I1671" s="1568">
        <f>11725.9+11531.2</f>
        <v>23257.1</v>
      </c>
      <c r="J1671" s="1568">
        <f>11725.9+11531.2</f>
        <v>23257.1</v>
      </c>
      <c r="K1671" s="188" t="s">
        <v>2116</v>
      </c>
      <c r="L1671" s="175" t="s">
        <v>2109</v>
      </c>
      <c r="M1671" s="1508">
        <v>15</v>
      </c>
      <c r="N1671" s="1508">
        <v>15</v>
      </c>
      <c r="O1671" s="1508">
        <v>15</v>
      </c>
      <c r="P1671" s="1508">
        <v>15</v>
      </c>
      <c r="Q1671" s="1509">
        <v>15</v>
      </c>
    </row>
    <row r="1672" spans="2:17" ht="62.25" customHeight="1" x14ac:dyDescent="0.2">
      <c r="B1672" s="1246" t="s">
        <v>155</v>
      </c>
      <c r="C1672" s="1247"/>
      <c r="D1672" s="1247"/>
      <c r="E1672" s="301" t="s">
        <v>2117</v>
      </c>
      <c r="F1672" s="1617">
        <f t="shared" ref="F1672:J1672" si="105">F1673+F1674+F1675</f>
        <v>107160.9</v>
      </c>
      <c r="G1672" s="1617">
        <f t="shared" si="105"/>
        <v>119655.50000000001</v>
      </c>
      <c r="H1672" s="1571">
        <f t="shared" si="105"/>
        <v>122216</v>
      </c>
      <c r="I1672" s="1571">
        <f t="shared" si="105"/>
        <v>92420.099999999991</v>
      </c>
      <c r="J1672" s="1571">
        <f t="shared" si="105"/>
        <v>92420.099999999991</v>
      </c>
      <c r="K1672" s="551" t="s">
        <v>2981</v>
      </c>
      <c r="L1672" s="174"/>
      <c r="M1672" s="1510"/>
      <c r="N1672" s="1510"/>
      <c r="O1672" s="1510"/>
      <c r="P1672" s="1510"/>
      <c r="Q1672" s="1511"/>
    </row>
    <row r="1673" spans="2:17" ht="81" customHeight="1" x14ac:dyDescent="0.2">
      <c r="B1673" s="1250"/>
      <c r="C1673" s="1251" t="s">
        <v>114</v>
      </c>
      <c r="D1673" s="1251"/>
      <c r="E1673" s="290" t="s">
        <v>2118</v>
      </c>
      <c r="F1673" s="1616">
        <f>881.55+3912.9+975+1820.7+16240.1+9912.5+12142.7+4277.8</f>
        <v>50163.25</v>
      </c>
      <c r="G1673" s="1568">
        <f>32967.3+12820.1+4513.4</f>
        <v>50300.800000000003</v>
      </c>
      <c r="H1673" s="1568">
        <f>9782.3+12548.9+4360.9+10000+5367+926.4+5759.5+1253.5+643.2+1059.4</f>
        <v>51701.1</v>
      </c>
      <c r="I1673" s="1568">
        <f>9782.3+12548.9+4360.9+573.1</f>
        <v>27265.199999999997</v>
      </c>
      <c r="J1673" s="1568">
        <f>9782.3+12548.9+4360.9+573.1</f>
        <v>27265.199999999997</v>
      </c>
      <c r="K1673" s="1252" t="s">
        <v>2119</v>
      </c>
      <c r="L1673" s="175" t="s">
        <v>2120</v>
      </c>
      <c r="M1673" s="1508">
        <v>5450</v>
      </c>
      <c r="N1673" s="1508">
        <v>5900</v>
      </c>
      <c r="O1673" s="1508">
        <v>6070</v>
      </c>
      <c r="P1673" s="1508">
        <v>6500</v>
      </c>
      <c r="Q1673" s="1509">
        <v>6500</v>
      </c>
    </row>
    <row r="1674" spans="2:17" ht="75" customHeight="1" x14ac:dyDescent="0.2">
      <c r="B1674" s="1250"/>
      <c r="C1674" s="1251" t="s">
        <v>116</v>
      </c>
      <c r="D1674" s="1251"/>
      <c r="E1674" s="188" t="s">
        <v>2121</v>
      </c>
      <c r="F1674" s="1616">
        <f>1250+11425.9+9912.5+5092.3</f>
        <v>27680.7</v>
      </c>
      <c r="G1674" s="1568">
        <f>20927.6+12401.7+5385.6</f>
        <v>38714.9</v>
      </c>
      <c r="H1674" s="1568">
        <f>20500.5+11409.3+4417.3+1120+193.2+2954.3+62.5+ 70+960</f>
        <v>41687.1</v>
      </c>
      <c r="I1674" s="1568">
        <f>20500.5+11409.3+4417.3</f>
        <v>36327.1</v>
      </c>
      <c r="J1674" s="1568">
        <f>20500.5+11409.3+4417.3</f>
        <v>36327.1</v>
      </c>
      <c r="K1674" s="522" t="s">
        <v>2122</v>
      </c>
      <c r="L1674" s="175" t="s">
        <v>2109</v>
      </c>
      <c r="M1674" s="177" t="s">
        <v>1382</v>
      </c>
      <c r="N1674" s="177" t="s">
        <v>1383</v>
      </c>
      <c r="O1674" s="177" t="s">
        <v>1384</v>
      </c>
      <c r="P1674" s="177" t="s">
        <v>1376</v>
      </c>
      <c r="Q1674" s="1506" t="s">
        <v>1376</v>
      </c>
    </row>
    <row r="1675" spans="2:17" ht="78.75" customHeight="1" x14ac:dyDescent="0.2">
      <c r="B1675" s="1250"/>
      <c r="C1675" s="1251" t="s">
        <v>119</v>
      </c>
      <c r="D1675" s="1251"/>
      <c r="E1675" s="188" t="s">
        <v>2123</v>
      </c>
      <c r="F1675" s="1616">
        <f>881.55+12142.7+5092.3+4277.7+6922.7</f>
        <v>29316.95</v>
      </c>
      <c r="G1675" s="1568">
        <f>4513.5+7920.4+12820.1+5385.6+0.2</f>
        <v>30639.8</v>
      </c>
      <c r="H1675" s="1568">
        <f>12548.9+4417.3+4360.9+7500.5+0.2</f>
        <v>28827.8</v>
      </c>
      <c r="I1675" s="1568">
        <f>12548.9+4417.3+4360.9+7500.5+0.2</f>
        <v>28827.8</v>
      </c>
      <c r="J1675" s="1568">
        <f>12548.9+4417.3+4360.9+7500.5+0.2</f>
        <v>28827.8</v>
      </c>
      <c r="K1675" s="522" t="s">
        <v>2124</v>
      </c>
      <c r="L1675" s="175" t="s">
        <v>2109</v>
      </c>
      <c r="M1675" s="177" t="s">
        <v>1385</v>
      </c>
      <c r="N1675" s="177" t="s">
        <v>1386</v>
      </c>
      <c r="O1675" s="177" t="s">
        <v>1386</v>
      </c>
      <c r="P1675" s="177" t="s">
        <v>1377</v>
      </c>
      <c r="Q1675" s="1506" t="s">
        <v>1377</v>
      </c>
    </row>
    <row r="1676" spans="2:17" ht="29.25" customHeight="1" x14ac:dyDescent="0.2">
      <c r="B1676" s="1512" t="s">
        <v>164</v>
      </c>
      <c r="C1676" s="1513"/>
      <c r="D1676" s="1513"/>
      <c r="E1676" s="551" t="s">
        <v>2125</v>
      </c>
      <c r="F1676" s="1617">
        <f t="shared" ref="F1676:J1676" si="106">F1677+F1678+F1679</f>
        <v>50966.799999999996</v>
      </c>
      <c r="G1676" s="1617">
        <f t="shared" si="106"/>
        <v>79233.899999999994</v>
      </c>
      <c r="H1676" s="1571">
        <f t="shared" si="106"/>
        <v>52662.399999999994</v>
      </c>
      <c r="I1676" s="1571">
        <f t="shared" si="106"/>
        <v>50235.5</v>
      </c>
      <c r="J1676" s="1571">
        <f t="shared" si="106"/>
        <v>50235.5</v>
      </c>
      <c r="K1676" s="551" t="s">
        <v>2126</v>
      </c>
      <c r="L1676" s="174"/>
      <c r="M1676" s="1510"/>
      <c r="N1676" s="1510"/>
      <c r="O1676" s="1510"/>
      <c r="P1676" s="1510"/>
      <c r="Q1676" s="1511"/>
    </row>
    <row r="1677" spans="2:17" ht="121.5" customHeight="1" x14ac:dyDescent="0.2">
      <c r="B1677" s="1250"/>
      <c r="C1677" s="1251" t="s">
        <v>114</v>
      </c>
      <c r="D1677" s="1251"/>
      <c r="E1677" s="290" t="s">
        <v>2127</v>
      </c>
      <c r="F1677" s="1616">
        <f>3750.9+1315+6389+5614.6</f>
        <v>17069.5</v>
      </c>
      <c r="G1677" s="1568">
        <f>14397.2+7348.3</f>
        <v>21745.5</v>
      </c>
      <c r="H1677" s="1568">
        <f>7460.8+7128.2+3000</f>
        <v>17589</v>
      </c>
      <c r="I1677" s="1568">
        <f>7460.8+7128.2</f>
        <v>14589</v>
      </c>
      <c r="J1677" s="1568">
        <f>7460.8+7128.2</f>
        <v>14589</v>
      </c>
      <c r="K1677" s="188" t="s">
        <v>2128</v>
      </c>
      <c r="L1677" s="175" t="s">
        <v>2109</v>
      </c>
      <c r="M1677" s="177" t="s">
        <v>1387</v>
      </c>
      <c r="N1677" s="177" t="s">
        <v>1388</v>
      </c>
      <c r="O1677" s="177" t="s">
        <v>1389</v>
      </c>
      <c r="P1677" s="177" t="s">
        <v>1378</v>
      </c>
      <c r="Q1677" s="1506" t="s">
        <v>1378</v>
      </c>
    </row>
    <row r="1678" spans="2:17" ht="81" customHeight="1" x14ac:dyDescent="0.2">
      <c r="B1678" s="1250"/>
      <c r="C1678" s="1251" t="s">
        <v>116</v>
      </c>
      <c r="D1678" s="1251"/>
      <c r="E1678" s="188" t="s">
        <v>2129</v>
      </c>
      <c r="F1678" s="1616">
        <f>12211.1+3892</f>
        <v>16103.1</v>
      </c>
      <c r="G1678" s="1568">
        <f>33445.2+4204.6</f>
        <v>37649.799999999996</v>
      </c>
      <c r="H1678" s="1568">
        <f>12715.1+4096.6</f>
        <v>16811.7</v>
      </c>
      <c r="I1678" s="1568">
        <f>12715.1+4096.6</f>
        <v>16811.7</v>
      </c>
      <c r="J1678" s="1568">
        <f>12715.1+4096.6</f>
        <v>16811.7</v>
      </c>
      <c r="K1678" s="188" t="s">
        <v>2130</v>
      </c>
      <c r="L1678" s="175" t="s">
        <v>2109</v>
      </c>
      <c r="M1678" s="304">
        <v>6</v>
      </c>
      <c r="N1678" s="304">
        <v>4</v>
      </c>
      <c r="O1678" s="304">
        <v>6</v>
      </c>
      <c r="P1678" s="304">
        <v>5</v>
      </c>
      <c r="Q1678" s="1507">
        <v>5</v>
      </c>
    </row>
    <row r="1679" spans="2:17" ht="29.25" customHeight="1" x14ac:dyDescent="0.2">
      <c r="B1679" s="1250"/>
      <c r="C1679" s="1251" t="s">
        <v>119</v>
      </c>
      <c r="D1679" s="1251"/>
      <c r="E1679" s="188" t="s">
        <v>2131</v>
      </c>
      <c r="F1679" s="1616">
        <f>363+7602.9+6420.9+2612.1+795.3</f>
        <v>17794.199999999997</v>
      </c>
      <c r="G1679" s="1568">
        <f>7986.5+2454.2+7197.5+2200.4</f>
        <v>19838.600000000002</v>
      </c>
      <c r="H1679" s="1568">
        <f>7520.1+6229.2+2060.4+2452</f>
        <v>18261.699999999997</v>
      </c>
      <c r="I1679" s="1568">
        <f>7520.1+6229.2+2060.4+2452+573.1</f>
        <v>18834.799999999996</v>
      </c>
      <c r="J1679" s="1568">
        <f>7520.1+6229.2+2060.4+2452+573.1</f>
        <v>18834.799999999996</v>
      </c>
      <c r="K1679" s="188" t="s">
        <v>2132</v>
      </c>
      <c r="L1679" s="175" t="s">
        <v>2109</v>
      </c>
      <c r="M1679" s="304">
        <v>3</v>
      </c>
      <c r="N1679" s="304">
        <v>4</v>
      </c>
      <c r="O1679" s="304">
        <v>4</v>
      </c>
      <c r="P1679" s="304">
        <v>4</v>
      </c>
      <c r="Q1679" s="1507">
        <v>4</v>
      </c>
    </row>
    <row r="1680" spans="2:17" ht="29.25" customHeight="1" x14ac:dyDescent="0.2">
      <c r="B1680" s="1719" t="s">
        <v>2722</v>
      </c>
      <c r="C1680" s="1720"/>
      <c r="D1680" s="1720"/>
      <c r="E1680" s="1721"/>
      <c r="F1680" s="1688">
        <f t="shared" ref="F1680:J1680" si="107">F1663+F1667+F1672+F1676</f>
        <v>320477.3</v>
      </c>
      <c r="G1680" s="1688">
        <f t="shared" si="107"/>
        <v>409597.69999999995</v>
      </c>
      <c r="H1680" s="1688">
        <f t="shared" si="107"/>
        <v>379562.30000000005</v>
      </c>
      <c r="I1680" s="1688">
        <f t="shared" si="107"/>
        <v>344944.6</v>
      </c>
      <c r="J1680" s="1688">
        <f t="shared" si="107"/>
        <v>347478.39999999997</v>
      </c>
      <c r="K1680" s="1254"/>
      <c r="L1680" s="1255"/>
      <c r="M1680" s="702"/>
      <c r="N1680" s="702"/>
      <c r="O1680" s="702"/>
      <c r="P1680" s="702"/>
      <c r="Q1680" s="1192"/>
    </row>
    <row r="1681" spans="2:17" ht="29.25" customHeight="1" x14ac:dyDescent="0.2">
      <c r="B1681" s="1722" t="s">
        <v>2133</v>
      </c>
      <c r="C1681" s="1723"/>
      <c r="D1681" s="1723"/>
      <c r="E1681" s="1723"/>
      <c r="F1681" s="1723"/>
      <c r="G1681" s="1723"/>
      <c r="H1681" s="1723"/>
      <c r="I1681" s="1723"/>
      <c r="J1681" s="1723"/>
      <c r="K1681" s="1723"/>
      <c r="L1681" s="1723"/>
      <c r="M1681" s="1723"/>
      <c r="N1681" s="1723"/>
      <c r="O1681" s="1723"/>
      <c r="P1681" s="1723"/>
      <c r="Q1681" s="1724"/>
    </row>
    <row r="1682" spans="2:17" ht="79.5" customHeight="1" x14ac:dyDescent="0.2">
      <c r="B1682" s="1235">
        <v>2</v>
      </c>
      <c r="C1682" s="180"/>
      <c r="D1682" s="1236"/>
      <c r="E1682" s="1256" t="s">
        <v>3092</v>
      </c>
      <c r="F1682" s="1566">
        <f>F1683</f>
        <v>157834</v>
      </c>
      <c r="G1682" s="1566">
        <f>G1683</f>
        <v>152233.20000000001</v>
      </c>
      <c r="H1682" s="1566">
        <f t="shared" ref="H1682:J1682" si="108">H1683</f>
        <v>219806</v>
      </c>
      <c r="I1682" s="1566">
        <f t="shared" si="108"/>
        <v>151074.9</v>
      </c>
      <c r="J1682" s="1566">
        <f t="shared" si="108"/>
        <v>152561.9</v>
      </c>
      <c r="K1682" s="188"/>
      <c r="L1682" s="188"/>
      <c r="M1682" s="188"/>
      <c r="N1682" s="556"/>
      <c r="O1682" s="556"/>
      <c r="P1682" s="556"/>
      <c r="Q1682" s="1257"/>
    </row>
    <row r="1683" spans="2:17" ht="76.5" customHeight="1" x14ac:dyDescent="0.2">
      <c r="B1683" s="1258"/>
      <c r="C1683" s="1259" t="s">
        <v>114</v>
      </c>
      <c r="D1683" s="1259"/>
      <c r="E1683" s="188" t="s">
        <v>2134</v>
      </c>
      <c r="F1683" s="1559">
        <v>157834</v>
      </c>
      <c r="G1683" s="1559">
        <v>152233.20000000001</v>
      </c>
      <c r="H1683" s="1559">
        <f>149606+70200</f>
        <v>219806</v>
      </c>
      <c r="I1683" s="1559">
        <v>151074.9</v>
      </c>
      <c r="J1683" s="1559">
        <v>152561.9</v>
      </c>
      <c r="K1683" s="188" t="s">
        <v>2135</v>
      </c>
      <c r="L1683" s="188"/>
      <c r="M1683" s="188">
        <v>7135</v>
      </c>
      <c r="N1683" s="555">
        <v>7200</v>
      </c>
      <c r="O1683" s="555">
        <v>7250</v>
      </c>
      <c r="P1683" s="555">
        <v>7300</v>
      </c>
      <c r="Q1683" s="1260">
        <v>7400</v>
      </c>
    </row>
    <row r="1684" spans="2:17" ht="29.25" customHeight="1" x14ac:dyDescent="0.2">
      <c r="B1684" s="1719" t="s">
        <v>2722</v>
      </c>
      <c r="C1684" s="1720"/>
      <c r="D1684" s="1720"/>
      <c r="E1684" s="1721"/>
      <c r="F1684" s="1688">
        <f>F1682</f>
        <v>157834</v>
      </c>
      <c r="G1684" s="1688">
        <f t="shared" ref="G1684:J1684" si="109">G1682</f>
        <v>152233.20000000001</v>
      </c>
      <c r="H1684" s="1688">
        <f t="shared" si="109"/>
        <v>219806</v>
      </c>
      <c r="I1684" s="1688">
        <f t="shared" si="109"/>
        <v>151074.9</v>
      </c>
      <c r="J1684" s="1688">
        <f t="shared" si="109"/>
        <v>152561.9</v>
      </c>
      <c r="K1684" s="1254"/>
      <c r="L1684" s="1255"/>
      <c r="M1684" s="702"/>
      <c r="N1684" s="702"/>
      <c r="O1684" s="702"/>
      <c r="P1684" s="702"/>
      <c r="Q1684" s="1192"/>
    </row>
    <row r="1685" spans="2:17" ht="29.25" customHeight="1" thickBot="1" x14ac:dyDescent="0.25">
      <c r="B1685" s="1722" t="s">
        <v>2136</v>
      </c>
      <c r="C1685" s="1723"/>
      <c r="D1685" s="1723"/>
      <c r="E1685" s="1723"/>
      <c r="F1685" s="1723"/>
      <c r="G1685" s="1723"/>
      <c r="H1685" s="1723"/>
      <c r="I1685" s="1723"/>
      <c r="J1685" s="1723"/>
      <c r="K1685" s="1723"/>
      <c r="L1685" s="1744"/>
      <c r="M1685" s="1723"/>
      <c r="N1685" s="1723"/>
      <c r="O1685" s="1723"/>
      <c r="P1685" s="1723"/>
      <c r="Q1685" s="1724"/>
    </row>
    <row r="1686" spans="2:17" ht="69" customHeight="1" x14ac:dyDescent="0.2">
      <c r="B1686" s="1089">
        <v>1</v>
      </c>
      <c r="C1686" s="213"/>
      <c r="D1686" s="1054"/>
      <c r="E1686" s="1261" t="s">
        <v>3093</v>
      </c>
      <c r="F1686" s="1561">
        <f t="shared" ref="F1686:J1686" si="110">F1687+F1688+F1689+F1690+F1691+F1692+F1693+F1694</f>
        <v>12156.900000000001</v>
      </c>
      <c r="G1686" s="1561">
        <f t="shared" si="110"/>
        <v>11170</v>
      </c>
      <c r="H1686" s="1561">
        <f t="shared" si="110"/>
        <v>11753.8</v>
      </c>
      <c r="I1686" s="1561">
        <f t="shared" si="110"/>
        <v>12001.9</v>
      </c>
      <c r="J1686" s="1561">
        <f t="shared" si="110"/>
        <v>12106.4</v>
      </c>
      <c r="K1686" s="1262" t="s">
        <v>2137</v>
      </c>
      <c r="L1686" s="22" t="s">
        <v>16</v>
      </c>
      <c r="M1686" s="1263">
        <v>100</v>
      </c>
      <c r="N1686" s="1264">
        <v>1</v>
      </c>
      <c r="O1686" s="1264">
        <v>1</v>
      </c>
      <c r="P1686" s="1264">
        <v>1</v>
      </c>
      <c r="Q1686" s="1265">
        <v>1</v>
      </c>
    </row>
    <row r="1687" spans="2:17" ht="29.25" customHeight="1" x14ac:dyDescent="0.2">
      <c r="B1687" s="1089"/>
      <c r="C1687" s="223">
        <v>1</v>
      </c>
      <c r="D1687" s="213"/>
      <c r="E1687" s="1266" t="s">
        <v>257</v>
      </c>
      <c r="F1687" s="1574">
        <v>1529.5</v>
      </c>
      <c r="G1687" s="1574">
        <v>1242.4000000000001</v>
      </c>
      <c r="H1687" s="1574">
        <v>1386.5</v>
      </c>
      <c r="I1687" s="1574">
        <v>1386.5</v>
      </c>
      <c r="J1687" s="1574">
        <v>1386.5</v>
      </c>
      <c r="K1687" s="675" t="s">
        <v>2138</v>
      </c>
      <c r="L1687" s="22" t="s">
        <v>19</v>
      </c>
      <c r="M1687" s="1268" t="s">
        <v>20</v>
      </c>
      <c r="N1687" s="591" t="s">
        <v>20</v>
      </c>
      <c r="O1687" s="591" t="s">
        <v>20</v>
      </c>
      <c r="P1687" s="591" t="s">
        <v>20</v>
      </c>
      <c r="Q1687" s="453" t="s">
        <v>20</v>
      </c>
    </row>
    <row r="1688" spans="2:17" ht="29.25" customHeight="1" x14ac:dyDescent="0.2">
      <c r="B1688" s="1089"/>
      <c r="C1688" s="223">
        <v>2</v>
      </c>
      <c r="D1688" s="213"/>
      <c r="E1688" s="473" t="s">
        <v>2000</v>
      </c>
      <c r="F1688" s="1574">
        <v>990.80000000000007</v>
      </c>
      <c r="G1688" s="1574">
        <v>739.2</v>
      </c>
      <c r="H1688" s="1574">
        <v>1443.2</v>
      </c>
      <c r="I1688" s="1574">
        <v>1691.3</v>
      </c>
      <c r="J1688" s="1574">
        <v>1795.8000000000002</v>
      </c>
      <c r="K1688" s="675" t="s">
        <v>2139</v>
      </c>
      <c r="L1688" s="22" t="s">
        <v>16</v>
      </c>
      <c r="M1688" s="1268">
        <v>100</v>
      </c>
      <c r="N1688" s="396">
        <v>1</v>
      </c>
      <c r="O1688" s="396">
        <v>1</v>
      </c>
      <c r="P1688" s="396">
        <v>1</v>
      </c>
      <c r="Q1688" s="1269">
        <v>1</v>
      </c>
    </row>
    <row r="1689" spans="2:17" ht="29.25" customHeight="1" x14ac:dyDescent="0.2">
      <c r="B1689" s="1089"/>
      <c r="C1689" s="223">
        <v>3</v>
      </c>
      <c r="D1689" s="213"/>
      <c r="E1689" s="473" t="s">
        <v>23</v>
      </c>
      <c r="F1689" s="1574">
        <v>317.8</v>
      </c>
      <c r="G1689" s="1574">
        <v>371</v>
      </c>
      <c r="H1689" s="1574">
        <v>371</v>
      </c>
      <c r="I1689" s="1574">
        <v>371</v>
      </c>
      <c r="J1689" s="1574">
        <v>371</v>
      </c>
      <c r="K1689" s="675" t="s">
        <v>2140</v>
      </c>
      <c r="L1689" s="22" t="s">
        <v>16</v>
      </c>
      <c r="M1689" s="1268">
        <v>100</v>
      </c>
      <c r="N1689" s="591" t="s">
        <v>1076</v>
      </c>
      <c r="O1689" s="591" t="s">
        <v>1076</v>
      </c>
      <c r="P1689" s="591" t="s">
        <v>1076</v>
      </c>
      <c r="Q1689" s="453" t="s">
        <v>1076</v>
      </c>
    </row>
    <row r="1690" spans="2:17" ht="29.25" customHeight="1" x14ac:dyDescent="0.2">
      <c r="B1690" s="1089"/>
      <c r="C1690" s="223">
        <v>4</v>
      </c>
      <c r="D1690" s="213"/>
      <c r="E1690" s="473" t="s">
        <v>461</v>
      </c>
      <c r="F1690" s="1574">
        <v>270.89999999999998</v>
      </c>
      <c r="G1690" s="1574">
        <v>417</v>
      </c>
      <c r="H1690" s="1574">
        <v>417</v>
      </c>
      <c r="I1690" s="1574">
        <v>417</v>
      </c>
      <c r="J1690" s="1574">
        <v>417</v>
      </c>
      <c r="K1690" s="675" t="s">
        <v>2141</v>
      </c>
      <c r="L1690" s="1108" t="s">
        <v>122</v>
      </c>
      <c r="M1690" s="1268" t="s">
        <v>20</v>
      </c>
      <c r="N1690" s="591" t="s">
        <v>1076</v>
      </c>
      <c r="O1690" s="591" t="s">
        <v>1076</v>
      </c>
      <c r="P1690" s="591" t="s">
        <v>1076</v>
      </c>
      <c r="Q1690" s="453" t="s">
        <v>1076</v>
      </c>
    </row>
    <row r="1691" spans="2:17" ht="29.25" customHeight="1" x14ac:dyDescent="0.2">
      <c r="B1691" s="1089"/>
      <c r="C1691" s="223">
        <v>5</v>
      </c>
      <c r="D1691" s="213"/>
      <c r="E1691" s="473" t="s">
        <v>2142</v>
      </c>
      <c r="F1691" s="1574">
        <v>763.09999999999991</v>
      </c>
      <c r="G1691" s="1574">
        <v>370</v>
      </c>
      <c r="H1691" s="1574">
        <v>370</v>
      </c>
      <c r="I1691" s="1574">
        <v>370</v>
      </c>
      <c r="J1691" s="1574">
        <v>370</v>
      </c>
      <c r="K1691" s="675" t="s">
        <v>2143</v>
      </c>
      <c r="L1691" s="1108" t="s">
        <v>122</v>
      </c>
      <c r="M1691" s="1268">
        <v>13</v>
      </c>
      <c r="N1691" s="591" t="s">
        <v>1076</v>
      </c>
      <c r="O1691" s="591" t="s">
        <v>1076</v>
      </c>
      <c r="P1691" s="591" t="s">
        <v>1076</v>
      </c>
      <c r="Q1691" s="453" t="s">
        <v>1076</v>
      </c>
    </row>
    <row r="1692" spans="2:17" ht="51.75" customHeight="1" x14ac:dyDescent="0.2">
      <c r="B1692" s="1089"/>
      <c r="C1692" s="223">
        <v>6</v>
      </c>
      <c r="D1692" s="213"/>
      <c r="E1692" s="41" t="s">
        <v>2144</v>
      </c>
      <c r="F1692" s="1574">
        <v>1540.1000000000001</v>
      </c>
      <c r="G1692" s="1574">
        <v>1520</v>
      </c>
      <c r="H1692" s="1574">
        <v>1722.7</v>
      </c>
      <c r="I1692" s="1574">
        <v>1722.7</v>
      </c>
      <c r="J1692" s="1574">
        <v>1722.7</v>
      </c>
      <c r="K1692" s="675" t="s">
        <v>2145</v>
      </c>
      <c r="L1692" s="591" t="s">
        <v>16</v>
      </c>
      <c r="M1692" s="1268">
        <v>22</v>
      </c>
      <c r="N1692" s="1270">
        <v>0.22</v>
      </c>
      <c r="O1692" s="1270">
        <v>0.22</v>
      </c>
      <c r="P1692" s="1270">
        <v>0.22</v>
      </c>
      <c r="Q1692" s="1271">
        <v>0.22</v>
      </c>
    </row>
    <row r="1693" spans="2:17" ht="69" customHeight="1" x14ac:dyDescent="0.2">
      <c r="B1693" s="1089"/>
      <c r="C1693" s="223">
        <v>7</v>
      </c>
      <c r="D1693" s="213"/>
      <c r="E1693" s="41" t="s">
        <v>2146</v>
      </c>
      <c r="F1693" s="1574">
        <v>2131.8000000000002</v>
      </c>
      <c r="G1693" s="1574">
        <v>2185.4</v>
      </c>
      <c r="H1693" s="1574">
        <v>2032.7</v>
      </c>
      <c r="I1693" s="1574">
        <v>2032.7</v>
      </c>
      <c r="J1693" s="1574">
        <v>2032.7</v>
      </c>
      <c r="K1693" s="675" t="s">
        <v>2147</v>
      </c>
      <c r="L1693" s="22" t="s">
        <v>16</v>
      </c>
      <c r="M1693" s="1268">
        <v>100</v>
      </c>
      <c r="N1693" s="591" t="s">
        <v>1536</v>
      </c>
      <c r="O1693" s="591" t="s">
        <v>1536</v>
      </c>
      <c r="P1693" s="591" t="s">
        <v>1536</v>
      </c>
      <c r="Q1693" s="453" t="s">
        <v>1536</v>
      </c>
    </row>
    <row r="1694" spans="2:17" ht="47.25" customHeight="1" x14ac:dyDescent="0.2">
      <c r="B1694" s="1089"/>
      <c r="C1694" s="223">
        <v>8</v>
      </c>
      <c r="D1694" s="213"/>
      <c r="E1694" s="41" t="s">
        <v>2080</v>
      </c>
      <c r="F1694" s="1574">
        <v>4612.9000000000005</v>
      </c>
      <c r="G1694" s="1574">
        <v>4325</v>
      </c>
      <c r="H1694" s="1574">
        <v>4010.7</v>
      </c>
      <c r="I1694" s="1574">
        <v>4010.7</v>
      </c>
      <c r="J1694" s="1574">
        <v>4010.7</v>
      </c>
      <c r="K1694" s="675" t="s">
        <v>2148</v>
      </c>
      <c r="L1694" s="591" t="s">
        <v>16</v>
      </c>
      <c r="M1694" s="1268">
        <v>22</v>
      </c>
      <c r="N1694" s="591" t="s">
        <v>1536</v>
      </c>
      <c r="O1694" s="591" t="s">
        <v>1536</v>
      </c>
      <c r="P1694" s="591" t="s">
        <v>1536</v>
      </c>
      <c r="Q1694" s="453" t="s">
        <v>1536</v>
      </c>
    </row>
    <row r="1695" spans="2:17" ht="123" customHeight="1" x14ac:dyDescent="0.2">
      <c r="B1695" s="1365" t="s">
        <v>131</v>
      </c>
      <c r="C1695" s="696"/>
      <c r="D1695" s="427"/>
      <c r="E1695" s="659" t="s">
        <v>3094</v>
      </c>
      <c r="F1695" s="1561">
        <f t="shared" ref="F1695" si="111">SUM(F1696:F1701)</f>
        <v>477.7</v>
      </c>
      <c r="G1695" s="1561">
        <f>SUM(G1696:G1701)</f>
        <v>516.9</v>
      </c>
      <c r="H1695" s="1561">
        <f t="shared" ref="H1695:J1695" si="112">SUM(H1696:H1701)</f>
        <v>714</v>
      </c>
      <c r="I1695" s="1561">
        <f t="shared" si="112"/>
        <v>714</v>
      </c>
      <c r="J1695" s="1561">
        <f t="shared" si="112"/>
        <v>714</v>
      </c>
      <c r="K1695" s="1267" t="s">
        <v>2149</v>
      </c>
      <c r="L1695" s="1272" t="s">
        <v>16</v>
      </c>
      <c r="M1695" s="1273"/>
      <c r="N1695" s="591" t="s">
        <v>1536</v>
      </c>
      <c r="O1695" s="591" t="s">
        <v>1536</v>
      </c>
      <c r="P1695" s="591" t="s">
        <v>1536</v>
      </c>
      <c r="Q1695" s="453" t="s">
        <v>1536</v>
      </c>
    </row>
    <row r="1696" spans="2:17" ht="29.25" customHeight="1" x14ac:dyDescent="0.2">
      <c r="B1696" s="1365"/>
      <c r="C1696" s="696" t="s">
        <v>114</v>
      </c>
      <c r="D1696" s="427"/>
      <c r="E1696" s="41" t="s">
        <v>2150</v>
      </c>
      <c r="F1696" s="1574">
        <f>54.2+28.8</f>
        <v>83</v>
      </c>
      <c r="G1696" s="1574">
        <v>133.9</v>
      </c>
      <c r="H1696" s="1574">
        <f>238000/1000</f>
        <v>238</v>
      </c>
      <c r="I1696" s="1574">
        <f>238000/1000</f>
        <v>238</v>
      </c>
      <c r="J1696" s="1574">
        <f>238000/1000</f>
        <v>238</v>
      </c>
      <c r="K1696" s="504" t="s">
        <v>2151</v>
      </c>
      <c r="L1696" s="1108" t="s">
        <v>122</v>
      </c>
      <c r="M1696" s="645">
        <v>58</v>
      </c>
      <c r="N1696" s="591" t="s">
        <v>1536</v>
      </c>
      <c r="O1696" s="591" t="s">
        <v>1536</v>
      </c>
      <c r="P1696" s="591" t="s">
        <v>1536</v>
      </c>
      <c r="Q1696" s="453" t="s">
        <v>1536</v>
      </c>
    </row>
    <row r="1697" spans="2:17" ht="29.25" customHeight="1" x14ac:dyDescent="0.2">
      <c r="B1697" s="1365"/>
      <c r="C1697" s="696" t="s">
        <v>116</v>
      </c>
      <c r="D1697" s="427"/>
      <c r="E1697" s="41" t="s">
        <v>2152</v>
      </c>
      <c r="F1697" s="1574">
        <v>59.1</v>
      </c>
      <c r="G1697" s="1574">
        <f>132000/1000</f>
        <v>132</v>
      </c>
      <c r="H1697" s="1574">
        <f>132000/1000</f>
        <v>132</v>
      </c>
      <c r="I1697" s="1574">
        <f>132000/1000</f>
        <v>132</v>
      </c>
      <c r="J1697" s="1574">
        <f>132000/1000</f>
        <v>132</v>
      </c>
      <c r="K1697" s="504" t="s">
        <v>2153</v>
      </c>
      <c r="L1697" s="1108" t="s">
        <v>122</v>
      </c>
      <c r="M1697" s="645">
        <v>107</v>
      </c>
      <c r="N1697" s="591" t="s">
        <v>1536</v>
      </c>
      <c r="O1697" s="591" t="s">
        <v>1536</v>
      </c>
      <c r="P1697" s="591" t="s">
        <v>1536</v>
      </c>
      <c r="Q1697" s="453" t="s">
        <v>1536</v>
      </c>
    </row>
    <row r="1698" spans="2:17" ht="74.25" customHeight="1" x14ac:dyDescent="0.2">
      <c r="B1698" s="1365"/>
      <c r="C1698" s="696" t="s">
        <v>119</v>
      </c>
      <c r="D1698" s="427"/>
      <c r="E1698" s="41" t="s">
        <v>2154</v>
      </c>
      <c r="F1698" s="1574">
        <v>79</v>
      </c>
      <c r="G1698" s="1574">
        <v>131</v>
      </c>
      <c r="H1698" s="1574">
        <f>131000/1000</f>
        <v>131</v>
      </c>
      <c r="I1698" s="1574">
        <f>131000/1000</f>
        <v>131</v>
      </c>
      <c r="J1698" s="1574">
        <f>131000/1000</f>
        <v>131</v>
      </c>
      <c r="K1698" s="504" t="s">
        <v>2155</v>
      </c>
      <c r="L1698" s="1274" t="s">
        <v>16</v>
      </c>
      <c r="M1698" s="645" t="s">
        <v>20</v>
      </c>
      <c r="N1698" s="591" t="s">
        <v>1536</v>
      </c>
      <c r="O1698" s="591" t="s">
        <v>1536</v>
      </c>
      <c r="P1698" s="591" t="s">
        <v>1536</v>
      </c>
      <c r="Q1698" s="453" t="s">
        <v>1536</v>
      </c>
    </row>
    <row r="1699" spans="2:17" ht="29.25" customHeight="1" x14ac:dyDescent="0.2">
      <c r="B1699" s="1745"/>
      <c r="C1699" s="1746" t="s">
        <v>124</v>
      </c>
      <c r="D1699" s="1746"/>
      <c r="E1699" s="1747" t="s">
        <v>2156</v>
      </c>
      <c r="F1699" s="1574">
        <f>220.4-13.5</f>
        <v>206.9</v>
      </c>
      <c r="G1699" s="1574"/>
      <c r="H1699" s="1574">
        <v>93</v>
      </c>
      <c r="I1699" s="1574">
        <v>93</v>
      </c>
      <c r="J1699" s="1574">
        <v>93</v>
      </c>
      <c r="K1699" s="214" t="s">
        <v>2157</v>
      </c>
      <c r="L1699" s="1108" t="s">
        <v>122</v>
      </c>
      <c r="M1699" s="645">
        <v>1008</v>
      </c>
      <c r="N1699" s="591" t="s">
        <v>1536</v>
      </c>
      <c r="O1699" s="591" t="s">
        <v>1536</v>
      </c>
      <c r="P1699" s="591" t="s">
        <v>1536</v>
      </c>
      <c r="Q1699" s="453" t="s">
        <v>1536</v>
      </c>
    </row>
    <row r="1700" spans="2:17" ht="29.25" customHeight="1" x14ac:dyDescent="0.2">
      <c r="B1700" s="1745"/>
      <c r="C1700" s="1746"/>
      <c r="D1700" s="1746"/>
      <c r="E1700" s="1748"/>
      <c r="F1700" s="1574"/>
      <c r="G1700" s="1574"/>
      <c r="H1700" s="1574"/>
      <c r="I1700" s="1574"/>
      <c r="J1700" s="1574"/>
      <c r="K1700" s="214" t="s">
        <v>2158</v>
      </c>
      <c r="L1700" s="1108" t="s">
        <v>122</v>
      </c>
      <c r="M1700" s="1176">
        <v>76</v>
      </c>
      <c r="N1700" s="591"/>
      <c r="O1700" s="591"/>
      <c r="P1700" s="591"/>
      <c r="Q1700" s="453"/>
    </row>
    <row r="1701" spans="2:17" ht="51" customHeight="1" x14ac:dyDescent="0.2">
      <c r="B1701" s="1365"/>
      <c r="C1701" s="696" t="s">
        <v>128</v>
      </c>
      <c r="D1701" s="427"/>
      <c r="E1701" s="566" t="s">
        <v>2159</v>
      </c>
      <c r="F1701" s="1574">
        <v>49.7</v>
      </c>
      <c r="G1701" s="1574">
        <f>120000/1000</f>
        <v>120</v>
      </c>
      <c r="H1701" s="1574">
        <f>120000/1000</f>
        <v>120</v>
      </c>
      <c r="I1701" s="1574">
        <f>120000/1000</f>
        <v>120</v>
      </c>
      <c r="J1701" s="1574">
        <f>120000/1000</f>
        <v>120</v>
      </c>
      <c r="K1701" s="1275" t="s">
        <v>2160</v>
      </c>
      <c r="L1701" s="1276" t="s">
        <v>16</v>
      </c>
      <c r="M1701" s="526">
        <v>100</v>
      </c>
      <c r="N1701" s="591" t="s">
        <v>1536</v>
      </c>
      <c r="O1701" s="591" t="s">
        <v>1536</v>
      </c>
      <c r="P1701" s="591" t="s">
        <v>1536</v>
      </c>
      <c r="Q1701" s="453" t="s">
        <v>1536</v>
      </c>
    </row>
    <row r="1702" spans="2:17" ht="29.25" customHeight="1" x14ac:dyDescent="0.2">
      <c r="B1702" s="1719" t="s">
        <v>2722</v>
      </c>
      <c r="C1702" s="1720"/>
      <c r="D1702" s="1720"/>
      <c r="E1702" s="1721"/>
      <c r="F1702" s="1688">
        <f t="shared" ref="F1702" si="113">F1686+F1695</f>
        <v>12634.600000000002</v>
      </c>
      <c r="G1702" s="1688">
        <f>G1686+G1695</f>
        <v>11686.9</v>
      </c>
      <c r="H1702" s="1688">
        <f t="shared" ref="H1702" si="114">H1686+H1695</f>
        <v>12467.8</v>
      </c>
      <c r="I1702" s="1688">
        <f>I1686+I1695</f>
        <v>12715.9</v>
      </c>
      <c r="J1702" s="1688">
        <f>J1686+J1695</f>
        <v>12820.4</v>
      </c>
      <c r="K1702" s="1254"/>
      <c r="L1702" s="1255"/>
      <c r="M1702" s="702"/>
      <c r="N1702" s="702"/>
      <c r="O1702" s="702"/>
      <c r="P1702" s="702"/>
      <c r="Q1702" s="1192"/>
    </row>
    <row r="1703" spans="2:17" ht="29.25" customHeight="1" x14ac:dyDescent="0.2">
      <c r="B1703" s="1722" t="s">
        <v>2161</v>
      </c>
      <c r="C1703" s="1723"/>
      <c r="D1703" s="1723"/>
      <c r="E1703" s="1723"/>
      <c r="F1703" s="1723"/>
      <c r="G1703" s="1723"/>
      <c r="H1703" s="1723"/>
      <c r="I1703" s="1723"/>
      <c r="J1703" s="1723"/>
      <c r="K1703" s="1723"/>
      <c r="L1703" s="1723"/>
      <c r="M1703" s="1723"/>
      <c r="N1703" s="1723"/>
      <c r="O1703" s="1723"/>
      <c r="P1703" s="1723"/>
      <c r="Q1703" s="1724"/>
    </row>
    <row r="1704" spans="2:17" ht="29.25" customHeight="1" x14ac:dyDescent="0.2">
      <c r="B1704" s="2439" t="s">
        <v>131</v>
      </c>
      <c r="C1704" s="2440"/>
      <c r="D1704" s="2440"/>
      <c r="E1704" s="2441" t="s">
        <v>2548</v>
      </c>
      <c r="F1704" s="1839">
        <f>F1706+F1707</f>
        <v>20679.2</v>
      </c>
      <c r="G1704" s="1839">
        <f t="shared" ref="G1704:J1704" si="115">G1706+G1707</f>
        <v>17664.400000000001</v>
      </c>
      <c r="H1704" s="1839">
        <f t="shared" si="115"/>
        <v>17664.400000000001</v>
      </c>
      <c r="I1704" s="1839">
        <f t="shared" si="115"/>
        <v>17837.8</v>
      </c>
      <c r="J1704" s="1839">
        <f t="shared" si="115"/>
        <v>18013.400000000001</v>
      </c>
      <c r="K1704" s="1756"/>
      <c r="L1704" s="1756"/>
      <c r="M1704" s="1756"/>
      <c r="N1704" s="1756"/>
      <c r="O1704" s="1756"/>
      <c r="P1704" s="1756"/>
      <c r="Q1704" s="1760"/>
    </row>
    <row r="1705" spans="2:17" ht="73.5" customHeight="1" x14ac:dyDescent="0.2">
      <c r="B1705" s="2439"/>
      <c r="C1705" s="2440"/>
      <c r="D1705" s="2440"/>
      <c r="E1705" s="2442"/>
      <c r="F1705" s="1839"/>
      <c r="G1705" s="1839"/>
      <c r="H1705" s="1839"/>
      <c r="I1705" s="1839"/>
      <c r="J1705" s="1839"/>
      <c r="K1705" s="1756"/>
      <c r="L1705" s="1756"/>
      <c r="M1705" s="1756"/>
      <c r="N1705" s="1756"/>
      <c r="O1705" s="1756"/>
      <c r="P1705" s="1756"/>
      <c r="Q1705" s="1760"/>
    </row>
    <row r="1706" spans="2:17" ht="29.25" customHeight="1" x14ac:dyDescent="0.2">
      <c r="B1706" s="1514"/>
      <c r="C1706" s="103" t="s">
        <v>114</v>
      </c>
      <c r="D1706" s="103"/>
      <c r="E1706" s="729" t="s">
        <v>2162</v>
      </c>
      <c r="F1706" s="1547">
        <v>10339.6</v>
      </c>
      <c r="G1706" s="1547">
        <v>8832.2000000000007</v>
      </c>
      <c r="H1706" s="1547">
        <v>8832.2000000000007</v>
      </c>
      <c r="I1706" s="1547">
        <v>8918.9</v>
      </c>
      <c r="J1706" s="1547">
        <v>9006.7000000000007</v>
      </c>
      <c r="K1706" s="1277" t="s">
        <v>2163</v>
      </c>
      <c r="L1706" s="22" t="s">
        <v>1178</v>
      </c>
      <c r="M1706" s="22">
        <v>57</v>
      </c>
      <c r="N1706" s="22">
        <v>38</v>
      </c>
      <c r="O1706" s="22">
        <v>40</v>
      </c>
      <c r="P1706" s="22">
        <v>45</v>
      </c>
      <c r="Q1706" s="926">
        <v>50</v>
      </c>
    </row>
    <row r="1707" spans="2:17" ht="29.25" customHeight="1" x14ac:dyDescent="0.2">
      <c r="B1707" s="1470"/>
      <c r="C1707" s="87" t="s">
        <v>116</v>
      </c>
      <c r="D1707" s="87"/>
      <c r="E1707" s="697" t="s">
        <v>2164</v>
      </c>
      <c r="F1707" s="1547">
        <v>10339.6</v>
      </c>
      <c r="G1707" s="1547">
        <v>8832.2000000000007</v>
      </c>
      <c r="H1707" s="1547">
        <v>8832.2000000000007</v>
      </c>
      <c r="I1707" s="1547">
        <v>8918.9</v>
      </c>
      <c r="J1707" s="1547">
        <v>9006.7000000000007</v>
      </c>
      <c r="K1707" s="41" t="s">
        <v>2165</v>
      </c>
      <c r="L1707" s="22" t="s">
        <v>643</v>
      </c>
      <c r="M1707" s="418">
        <v>15441.4</v>
      </c>
      <c r="N1707" s="418">
        <v>7000</v>
      </c>
      <c r="O1707" s="418">
        <v>15000</v>
      </c>
      <c r="P1707" s="418">
        <v>10000</v>
      </c>
      <c r="Q1707" s="1515">
        <v>10000</v>
      </c>
    </row>
    <row r="1708" spans="2:17" ht="29.25" customHeight="1" x14ac:dyDescent="0.2">
      <c r="B1708" s="1719" t="s">
        <v>2722</v>
      </c>
      <c r="C1708" s="1720"/>
      <c r="D1708" s="1720"/>
      <c r="E1708" s="1721"/>
      <c r="F1708" s="1688">
        <f>F1704</f>
        <v>20679.2</v>
      </c>
      <c r="G1708" s="1688">
        <f>G1704</f>
        <v>17664.400000000001</v>
      </c>
      <c r="H1708" s="1688">
        <f>H1704</f>
        <v>17664.400000000001</v>
      </c>
      <c r="I1708" s="1688">
        <f>I1704</f>
        <v>17837.8</v>
      </c>
      <c r="J1708" s="1688">
        <f>J1704</f>
        <v>18013.400000000001</v>
      </c>
      <c r="K1708" s="1254"/>
      <c r="L1708" s="1255"/>
      <c r="M1708" s="702"/>
      <c r="N1708" s="702"/>
      <c r="O1708" s="702"/>
      <c r="P1708" s="702"/>
      <c r="Q1708" s="1192"/>
    </row>
    <row r="1709" spans="2:17" ht="29.25" customHeight="1" x14ac:dyDescent="0.2">
      <c r="B1709" s="1722" t="s">
        <v>2166</v>
      </c>
      <c r="C1709" s="1723"/>
      <c r="D1709" s="1723"/>
      <c r="E1709" s="1723"/>
      <c r="F1709" s="1723"/>
      <c r="G1709" s="1723"/>
      <c r="H1709" s="1723"/>
      <c r="I1709" s="1723"/>
      <c r="J1709" s="1723"/>
      <c r="K1709" s="1723"/>
      <c r="L1709" s="1723"/>
      <c r="M1709" s="1723"/>
      <c r="N1709" s="1723"/>
      <c r="O1709" s="1723"/>
      <c r="P1709" s="1723"/>
      <c r="Q1709" s="1724"/>
    </row>
    <row r="1710" spans="2:17" ht="29.25" customHeight="1" x14ac:dyDescent="0.2">
      <c r="B1710" s="1278">
        <v>1</v>
      </c>
      <c r="C1710" s="1279"/>
      <c r="D1710" s="1279"/>
      <c r="E1710" s="659" t="s">
        <v>2167</v>
      </c>
      <c r="F1710" s="1561">
        <v>481.3</v>
      </c>
      <c r="G1710" s="1561">
        <v>481.3</v>
      </c>
      <c r="H1710" s="1561">
        <v>481.3</v>
      </c>
      <c r="I1710" s="1561">
        <v>490.5</v>
      </c>
      <c r="J1710" s="1561">
        <v>495.2</v>
      </c>
      <c r="K1710" s="415"/>
      <c r="L1710" s="415"/>
      <c r="M1710" s="684"/>
      <c r="N1710" s="684"/>
      <c r="O1710" s="684"/>
      <c r="P1710" s="1280"/>
      <c r="Q1710" s="956"/>
    </row>
    <row r="1711" spans="2:17" ht="94.5" customHeight="1" x14ac:dyDescent="0.2">
      <c r="B1711" s="1178">
        <v>1</v>
      </c>
      <c r="C1711" s="472">
        <v>2</v>
      </c>
      <c r="D1711" s="213">
        <v>0</v>
      </c>
      <c r="E1711" s="586" t="s">
        <v>2168</v>
      </c>
      <c r="F1711" s="1547">
        <v>481.3</v>
      </c>
      <c r="G1711" s="1547">
        <v>481.3</v>
      </c>
      <c r="H1711" s="1547">
        <v>481.3</v>
      </c>
      <c r="I1711" s="1547">
        <v>490.5</v>
      </c>
      <c r="J1711" s="1547">
        <v>495.2</v>
      </c>
      <c r="K1711" s="697" t="s">
        <v>2169</v>
      </c>
      <c r="L1711" s="22" t="s">
        <v>16</v>
      </c>
      <c r="M1711" s="22">
        <v>100</v>
      </c>
      <c r="N1711" s="22">
        <v>100</v>
      </c>
      <c r="O1711" s="22">
        <v>100</v>
      </c>
      <c r="P1711" s="22">
        <v>100</v>
      </c>
      <c r="Q1711" s="22">
        <v>100</v>
      </c>
    </row>
    <row r="1712" spans="2:17" ht="29.25" customHeight="1" x14ac:dyDescent="0.2">
      <c r="B1712" s="1719" t="s">
        <v>2722</v>
      </c>
      <c r="C1712" s="1720"/>
      <c r="D1712" s="1720"/>
      <c r="E1712" s="1721"/>
      <c r="F1712" s="1688">
        <f>SUM(F1711:F1711)</f>
        <v>481.3</v>
      </c>
      <c r="G1712" s="1688">
        <f>SUM(G1711:G1711)</f>
        <v>481.3</v>
      </c>
      <c r="H1712" s="1688">
        <f>SUM(H1711:H1711)</f>
        <v>481.3</v>
      </c>
      <c r="I1712" s="1688">
        <f>SUM(I1711:I1711)</f>
        <v>490.5</v>
      </c>
      <c r="J1712" s="1688">
        <f>SUM(J1711:J1711)</f>
        <v>495.2</v>
      </c>
      <c r="K1712" s="1254"/>
      <c r="L1712" s="1255"/>
      <c r="M1712" s="702"/>
      <c r="N1712" s="702"/>
      <c r="O1712" s="702"/>
      <c r="P1712" s="702"/>
      <c r="Q1712" s="1192"/>
    </row>
    <row r="1713" spans="2:17" ht="29.25" customHeight="1" x14ac:dyDescent="0.2">
      <c r="B1713" s="1722" t="s">
        <v>2170</v>
      </c>
      <c r="C1713" s="1723"/>
      <c r="D1713" s="1723"/>
      <c r="E1713" s="1723"/>
      <c r="F1713" s="1723"/>
      <c r="G1713" s="1723"/>
      <c r="H1713" s="1723"/>
      <c r="I1713" s="1723"/>
      <c r="J1713" s="1723"/>
      <c r="K1713" s="1723"/>
      <c r="L1713" s="1723"/>
      <c r="M1713" s="1723"/>
      <c r="N1713" s="1723"/>
      <c r="O1713" s="1723"/>
      <c r="P1713" s="1723"/>
      <c r="Q1713" s="1724"/>
    </row>
    <row r="1714" spans="2:17" ht="29.25" customHeight="1" x14ac:dyDescent="0.2">
      <c r="B1714" s="1722" t="s">
        <v>2171</v>
      </c>
      <c r="C1714" s="1723"/>
      <c r="D1714" s="1723"/>
      <c r="E1714" s="1723"/>
      <c r="F1714" s="1723"/>
      <c r="G1714" s="1723"/>
      <c r="H1714" s="1723"/>
      <c r="I1714" s="1723"/>
      <c r="J1714" s="1723"/>
      <c r="K1714" s="1723"/>
      <c r="L1714" s="1723"/>
      <c r="M1714" s="1723"/>
      <c r="N1714" s="1723"/>
      <c r="O1714" s="1723"/>
      <c r="P1714" s="1723"/>
      <c r="Q1714" s="1724"/>
    </row>
    <row r="1715" spans="2:17" ht="82.5" customHeight="1" x14ac:dyDescent="0.2">
      <c r="B1715" s="1089">
        <v>1</v>
      </c>
      <c r="C1715" s="1054"/>
      <c r="D1715" s="568"/>
      <c r="E1715" s="523" t="s">
        <v>3095</v>
      </c>
      <c r="F1715" s="1561">
        <f>F1716+F1717+F1718+F1719+F1720+F1721</f>
        <v>16244.4</v>
      </c>
      <c r="G1715" s="1561">
        <f>G1716+G1717+G1718+G1719+G1720+G1721</f>
        <v>16468</v>
      </c>
      <c r="H1715" s="1561">
        <f t="shared" ref="H1715:J1715" si="116">H1716+H1717+H1718+H1719+H1720+H1721</f>
        <v>17137.800000000003</v>
      </c>
      <c r="I1715" s="1561">
        <f t="shared" si="116"/>
        <v>17137.800000000003</v>
      </c>
      <c r="J1715" s="1561">
        <f t="shared" si="116"/>
        <v>17137.800000000003</v>
      </c>
      <c r="K1715" s="659" t="s">
        <v>15</v>
      </c>
      <c r="L1715" s="415" t="s">
        <v>16</v>
      </c>
      <c r="M1715" s="140">
        <v>10.199999999999999</v>
      </c>
      <c r="N1715" s="140">
        <v>10.199999999999999</v>
      </c>
      <c r="O1715" s="140">
        <v>10.199999999999999</v>
      </c>
      <c r="P1715" s="140">
        <v>10.199999999999999</v>
      </c>
      <c r="Q1715" s="1281">
        <v>10.199999999999999</v>
      </c>
    </row>
    <row r="1716" spans="2:17" ht="29.25" customHeight="1" x14ac:dyDescent="0.2">
      <c r="B1716" s="935"/>
      <c r="C1716" s="223">
        <v>1</v>
      </c>
      <c r="D1716" s="599"/>
      <c r="E1716" s="882" t="s">
        <v>257</v>
      </c>
      <c r="F1716" s="1547">
        <v>5858.6</v>
      </c>
      <c r="G1716" s="1547">
        <v>5928</v>
      </c>
      <c r="H1716" s="1547">
        <v>6214.1</v>
      </c>
      <c r="I1716" s="1547">
        <v>6214.1</v>
      </c>
      <c r="J1716" s="1547">
        <v>6214.1</v>
      </c>
      <c r="K1716" s="697" t="s">
        <v>18</v>
      </c>
      <c r="L1716" s="22" t="s">
        <v>16</v>
      </c>
      <c r="M1716" s="22">
        <v>76</v>
      </c>
      <c r="N1716" s="22">
        <v>76</v>
      </c>
      <c r="O1716" s="22">
        <v>76</v>
      </c>
      <c r="P1716" s="22">
        <v>76</v>
      </c>
      <c r="Q1716" s="926">
        <v>76</v>
      </c>
    </row>
    <row r="1717" spans="2:17" ht="29.25" customHeight="1" x14ac:dyDescent="0.2">
      <c r="B1717" s="935"/>
      <c r="C1717" s="223">
        <v>2</v>
      </c>
      <c r="D1717" s="599"/>
      <c r="E1717" s="816" t="s">
        <v>1481</v>
      </c>
      <c r="F1717" s="1547">
        <v>5098.2</v>
      </c>
      <c r="G1717" s="1547">
        <v>5403.2</v>
      </c>
      <c r="H1717" s="1547">
        <v>5694.6</v>
      </c>
      <c r="I1717" s="1547">
        <v>5694.6</v>
      </c>
      <c r="J1717" s="1547">
        <v>5694.6</v>
      </c>
      <c r="K1717" s="697" t="s">
        <v>460</v>
      </c>
      <c r="L1717" s="22" t="s">
        <v>16</v>
      </c>
      <c r="M1717" s="22">
        <v>100</v>
      </c>
      <c r="N1717" s="22">
        <v>100</v>
      </c>
      <c r="O1717" s="22">
        <v>100</v>
      </c>
      <c r="P1717" s="22">
        <v>100</v>
      </c>
      <c r="Q1717" s="926">
        <v>100</v>
      </c>
    </row>
    <row r="1718" spans="2:17" ht="29.25" customHeight="1" x14ac:dyDescent="0.2">
      <c r="B1718" s="935"/>
      <c r="C1718" s="223">
        <v>3</v>
      </c>
      <c r="D1718" s="599"/>
      <c r="E1718" s="816" t="s">
        <v>23</v>
      </c>
      <c r="F1718" s="1547">
        <v>1548</v>
      </c>
      <c r="G1718" s="1547">
        <v>1617.3</v>
      </c>
      <c r="H1718" s="1547">
        <v>1756.3</v>
      </c>
      <c r="I1718" s="1547">
        <v>1756.3</v>
      </c>
      <c r="J1718" s="1547">
        <v>1756.3</v>
      </c>
      <c r="K1718" s="697" t="s">
        <v>2172</v>
      </c>
      <c r="L1718" s="22" t="s">
        <v>16</v>
      </c>
      <c r="M1718" s="22">
        <v>100</v>
      </c>
      <c r="N1718" s="22">
        <v>100</v>
      </c>
      <c r="O1718" s="22">
        <v>100</v>
      </c>
      <c r="P1718" s="22">
        <v>100</v>
      </c>
      <c r="Q1718" s="926">
        <v>100</v>
      </c>
    </row>
    <row r="1719" spans="2:17" ht="29.25" customHeight="1" x14ac:dyDescent="0.2">
      <c r="B1719" s="935"/>
      <c r="C1719" s="223">
        <v>4</v>
      </c>
      <c r="D1719" s="599"/>
      <c r="E1719" s="816" t="s">
        <v>25</v>
      </c>
      <c r="F1719" s="1547">
        <v>512.20000000000005</v>
      </c>
      <c r="G1719" s="1547">
        <v>563.1</v>
      </c>
      <c r="H1719" s="1547">
        <v>592.20000000000005</v>
      </c>
      <c r="I1719" s="1547">
        <v>592.20000000000005</v>
      </c>
      <c r="J1719" s="1547">
        <v>592.20000000000005</v>
      </c>
      <c r="K1719" s="697" t="s">
        <v>26</v>
      </c>
      <c r="L1719" s="22" t="s">
        <v>160</v>
      </c>
      <c r="M1719" s="693" t="s">
        <v>1397</v>
      </c>
      <c r="N1719" s="693" t="s">
        <v>1398</v>
      </c>
      <c r="O1719" s="693" t="s">
        <v>1391</v>
      </c>
      <c r="P1719" s="693" t="s">
        <v>1391</v>
      </c>
      <c r="Q1719" s="1282" t="s">
        <v>1391</v>
      </c>
    </row>
    <row r="1720" spans="2:17" ht="29.25" customHeight="1" x14ac:dyDescent="0.2">
      <c r="B1720" s="935"/>
      <c r="C1720" s="223">
        <v>5</v>
      </c>
      <c r="D1720" s="599"/>
      <c r="E1720" s="816" t="s">
        <v>2173</v>
      </c>
      <c r="F1720" s="1547">
        <v>1343.4</v>
      </c>
      <c r="G1720" s="1547">
        <v>1172.8</v>
      </c>
      <c r="H1720" s="1547">
        <v>962.6</v>
      </c>
      <c r="I1720" s="1547">
        <v>962.6</v>
      </c>
      <c r="J1720" s="1547">
        <v>962.6</v>
      </c>
      <c r="K1720" s="697" t="s">
        <v>29</v>
      </c>
      <c r="L1720" s="22" t="s">
        <v>160</v>
      </c>
      <c r="M1720" s="22">
        <v>800</v>
      </c>
      <c r="N1720" s="22">
        <v>800</v>
      </c>
      <c r="O1720" s="22">
        <v>800</v>
      </c>
      <c r="P1720" s="22">
        <v>800</v>
      </c>
      <c r="Q1720" s="926">
        <v>800</v>
      </c>
    </row>
    <row r="1721" spans="2:17" ht="29.25" customHeight="1" x14ac:dyDescent="0.2">
      <c r="B1721" s="935"/>
      <c r="C1721" s="223">
        <v>6</v>
      </c>
      <c r="D1721" s="599"/>
      <c r="E1721" s="41" t="s">
        <v>2174</v>
      </c>
      <c r="F1721" s="1547">
        <v>1884</v>
      </c>
      <c r="G1721" s="1547">
        <v>1783.6</v>
      </c>
      <c r="H1721" s="1547">
        <v>1918</v>
      </c>
      <c r="I1721" s="1547">
        <v>1918</v>
      </c>
      <c r="J1721" s="1547">
        <v>1918</v>
      </c>
      <c r="K1721" s="697" t="s">
        <v>32</v>
      </c>
      <c r="L1721" s="22" t="s">
        <v>16</v>
      </c>
      <c r="M1721" s="22">
        <v>1.7</v>
      </c>
      <c r="N1721" s="22">
        <v>1.7</v>
      </c>
      <c r="O1721" s="22">
        <v>1.7</v>
      </c>
      <c r="P1721" s="22">
        <v>1.7</v>
      </c>
      <c r="Q1721" s="926">
        <v>1.7</v>
      </c>
    </row>
    <row r="1722" spans="2:17" ht="84.75" customHeight="1" x14ac:dyDescent="0.2">
      <c r="B1722" s="1097" t="s">
        <v>131</v>
      </c>
      <c r="C1722" s="1067"/>
      <c r="D1722" s="837"/>
      <c r="E1722" s="659" t="s">
        <v>3096</v>
      </c>
      <c r="F1722" s="1561">
        <f>F1723+F1724+F1725+F1726+F1727+F1728</f>
        <v>212307.5</v>
      </c>
      <c r="G1722" s="1561">
        <f>G1728+G1726+G1725+G1724+G1723</f>
        <v>234953.50000000003</v>
      </c>
      <c r="H1722" s="1561">
        <f>H1723+H1724+H1725+H1726+H1728</f>
        <v>226906.1</v>
      </c>
      <c r="I1722" s="1561">
        <f>I1723+I1724+I1725+I1726+I1728</f>
        <v>229393.1</v>
      </c>
      <c r="J1722" s="1561">
        <f>J1723+J1724+J1725+J1726+J1728</f>
        <v>229393.1</v>
      </c>
      <c r="K1722" s="415"/>
      <c r="L1722" s="415"/>
      <c r="M1722" s="333"/>
      <c r="N1722" s="333"/>
      <c r="O1722" s="333"/>
      <c r="P1722" s="333"/>
      <c r="Q1722" s="1283"/>
    </row>
    <row r="1723" spans="2:17" ht="29.25" customHeight="1" x14ac:dyDescent="0.2">
      <c r="B1723" s="958"/>
      <c r="C1723" s="427" t="s">
        <v>114</v>
      </c>
      <c r="D1723" s="696"/>
      <c r="E1723" s="41" t="s">
        <v>2175</v>
      </c>
      <c r="F1723" s="1547">
        <v>2382.5</v>
      </c>
      <c r="G1723" s="1547">
        <v>2656.1</v>
      </c>
      <c r="H1723" s="1547">
        <v>2566.5</v>
      </c>
      <c r="I1723" s="1547">
        <v>2566.5</v>
      </c>
      <c r="J1723" s="1547">
        <v>2566.5</v>
      </c>
      <c r="K1723" s="697" t="s">
        <v>2176</v>
      </c>
      <c r="L1723" s="22" t="s">
        <v>16</v>
      </c>
      <c r="M1723" s="695">
        <v>100</v>
      </c>
      <c r="N1723" s="695">
        <v>100</v>
      </c>
      <c r="O1723" s="695">
        <v>100</v>
      </c>
      <c r="P1723" s="695">
        <v>100</v>
      </c>
      <c r="Q1723" s="506">
        <v>100</v>
      </c>
    </row>
    <row r="1724" spans="2:17" ht="29.25" customHeight="1" x14ac:dyDescent="0.2">
      <c r="B1724" s="958"/>
      <c r="C1724" s="427" t="s">
        <v>116</v>
      </c>
      <c r="D1724" s="696"/>
      <c r="E1724" s="41" t="s">
        <v>2177</v>
      </c>
      <c r="F1724" s="1547">
        <f>52523.9</f>
        <v>52523.9</v>
      </c>
      <c r="G1724" s="1547">
        <v>53904.3</v>
      </c>
      <c r="H1724" s="1547">
        <v>55640.2</v>
      </c>
      <c r="I1724" s="1547">
        <v>55640.2</v>
      </c>
      <c r="J1724" s="1547">
        <v>55640.2</v>
      </c>
      <c r="K1724" s="697" t="s">
        <v>2178</v>
      </c>
      <c r="L1724" s="22" t="s">
        <v>2179</v>
      </c>
      <c r="M1724" s="693" t="s">
        <v>1392</v>
      </c>
      <c r="N1724" s="693" t="s">
        <v>1392</v>
      </c>
      <c r="O1724" s="693" t="s">
        <v>1392</v>
      </c>
      <c r="P1724" s="693" t="s">
        <v>1392</v>
      </c>
      <c r="Q1724" s="1282" t="s">
        <v>1392</v>
      </c>
    </row>
    <row r="1725" spans="2:17" ht="29.25" customHeight="1" x14ac:dyDescent="0.2">
      <c r="B1725" s="958"/>
      <c r="C1725" s="427" t="s">
        <v>119</v>
      </c>
      <c r="D1725" s="696"/>
      <c r="E1725" s="41" t="s">
        <v>2180</v>
      </c>
      <c r="F1725" s="1547">
        <f>51963.6</f>
        <v>51963.6</v>
      </c>
      <c r="G1725" s="1547">
        <v>48206.400000000001</v>
      </c>
      <c r="H1725" s="1547">
        <v>47413.3</v>
      </c>
      <c r="I1725" s="1547">
        <v>49900.3</v>
      </c>
      <c r="J1725" s="1547">
        <v>49900.3</v>
      </c>
      <c r="K1725" s="697" t="s">
        <v>2181</v>
      </c>
      <c r="L1725" s="22" t="s">
        <v>2179</v>
      </c>
      <c r="M1725" s="693" t="s">
        <v>1399</v>
      </c>
      <c r="N1725" s="693" t="s">
        <v>1393</v>
      </c>
      <c r="O1725" s="693" t="s">
        <v>1393</v>
      </c>
      <c r="P1725" s="693" t="s">
        <v>1393</v>
      </c>
      <c r="Q1725" s="1282" t="s">
        <v>1393</v>
      </c>
    </row>
    <row r="1726" spans="2:17" ht="29.25" customHeight="1" x14ac:dyDescent="0.2">
      <c r="B1726" s="958"/>
      <c r="C1726" s="427" t="s">
        <v>124</v>
      </c>
      <c r="D1726" s="696"/>
      <c r="E1726" s="41" t="s">
        <v>2182</v>
      </c>
      <c r="F1726" s="1547">
        <v>5775.1</v>
      </c>
      <c r="G1726" s="1547">
        <v>6490.1</v>
      </c>
      <c r="H1726" s="1547">
        <v>7089.3</v>
      </c>
      <c r="I1726" s="1547">
        <v>7089.3</v>
      </c>
      <c r="J1726" s="1547">
        <v>7089.3</v>
      </c>
      <c r="K1726" s="697" t="s">
        <v>2183</v>
      </c>
      <c r="L1726" s="22" t="s">
        <v>2184</v>
      </c>
      <c r="M1726" s="693" t="s">
        <v>1394</v>
      </c>
      <c r="N1726" s="693" t="s">
        <v>1394</v>
      </c>
      <c r="O1726" s="693" t="s">
        <v>1394</v>
      </c>
      <c r="P1726" s="693" t="s">
        <v>1394</v>
      </c>
      <c r="Q1726" s="1282" t="s">
        <v>1394</v>
      </c>
    </row>
    <row r="1727" spans="2:17" ht="29.25" customHeight="1" x14ac:dyDescent="0.2">
      <c r="B1727" s="958"/>
      <c r="C1727" s="427" t="s">
        <v>128</v>
      </c>
      <c r="D1727" s="696"/>
      <c r="E1727" s="41" t="s">
        <v>2185</v>
      </c>
      <c r="F1727" s="1547"/>
      <c r="G1727" s="1547"/>
      <c r="H1727" s="1547"/>
      <c r="I1727" s="1547"/>
      <c r="J1727" s="1547"/>
      <c r="K1727" s="697" t="s">
        <v>2183</v>
      </c>
      <c r="L1727" s="22" t="s">
        <v>16</v>
      </c>
      <c r="M1727" s="695">
        <v>99</v>
      </c>
      <c r="N1727" s="695">
        <v>100</v>
      </c>
      <c r="O1727" s="695">
        <v>100</v>
      </c>
      <c r="P1727" s="695">
        <v>100</v>
      </c>
      <c r="Q1727" s="506">
        <v>100</v>
      </c>
    </row>
    <row r="1728" spans="2:17" ht="29.25" customHeight="1" x14ac:dyDescent="0.2">
      <c r="B1728" s="958"/>
      <c r="C1728" s="427" t="s">
        <v>202</v>
      </c>
      <c r="D1728" s="696"/>
      <c r="E1728" s="41" t="s">
        <v>2186</v>
      </c>
      <c r="F1728" s="1547">
        <v>99662.399999999994</v>
      </c>
      <c r="G1728" s="1547">
        <v>123696.6</v>
      </c>
      <c r="H1728" s="1547">
        <v>114196.8</v>
      </c>
      <c r="I1728" s="1547">
        <v>114196.8</v>
      </c>
      <c r="J1728" s="1547">
        <v>114196.8</v>
      </c>
      <c r="K1728" s="697" t="s">
        <v>2187</v>
      </c>
      <c r="L1728" s="22" t="s">
        <v>16</v>
      </c>
      <c r="M1728" s="695">
        <v>100</v>
      </c>
      <c r="N1728" s="695">
        <v>100</v>
      </c>
      <c r="O1728" s="695">
        <v>100</v>
      </c>
      <c r="P1728" s="695">
        <v>100</v>
      </c>
      <c r="Q1728" s="506">
        <v>100</v>
      </c>
    </row>
    <row r="1729" spans="2:17" ht="81" customHeight="1" x14ac:dyDescent="0.2">
      <c r="B1729" s="1097" t="s">
        <v>155</v>
      </c>
      <c r="C1729" s="1067"/>
      <c r="D1729" s="837"/>
      <c r="E1729" s="659" t="s">
        <v>3097</v>
      </c>
      <c r="F1729" s="1561">
        <f>F1730+F1731+F1732+F1733+F1734+F1735</f>
        <v>157002.70000000001</v>
      </c>
      <c r="G1729" s="1561">
        <f>G1735+G1734+G1733+G1731+G1730</f>
        <v>143770.30000000002</v>
      </c>
      <c r="H1729" s="1561">
        <f>H1730+H1731+H1733+H1734+H1735</f>
        <v>129023.7</v>
      </c>
      <c r="I1729" s="1561">
        <f>I1730+I1731+I1733+I1734+I1735</f>
        <v>133893</v>
      </c>
      <c r="J1729" s="1561">
        <f>J1730+J1731+J1733+J1734+J1735</f>
        <v>137629.5</v>
      </c>
      <c r="K1729" s="659"/>
      <c r="L1729" s="415"/>
      <c r="M1729" s="333"/>
      <c r="N1729" s="333"/>
      <c r="O1729" s="333"/>
      <c r="P1729" s="333"/>
      <c r="Q1729" s="1283"/>
    </row>
    <row r="1730" spans="2:17" ht="29.25" customHeight="1" x14ac:dyDescent="0.2">
      <c r="B1730" s="958"/>
      <c r="C1730" s="427" t="s">
        <v>114</v>
      </c>
      <c r="D1730" s="696"/>
      <c r="E1730" s="41" t="s">
        <v>2188</v>
      </c>
      <c r="F1730" s="1547">
        <v>16260.8</v>
      </c>
      <c r="G1730" s="1547">
        <v>13004.1</v>
      </c>
      <c r="H1730" s="1547">
        <v>10509.1</v>
      </c>
      <c r="I1730" s="1547">
        <v>13009.1</v>
      </c>
      <c r="J1730" s="1547">
        <v>14509.1</v>
      </c>
      <c r="K1730" s="697" t="s">
        <v>2189</v>
      </c>
      <c r="L1730" s="22" t="s">
        <v>2179</v>
      </c>
      <c r="M1730" s="693" t="s">
        <v>1395</v>
      </c>
      <c r="N1730" s="693" t="s">
        <v>1395</v>
      </c>
      <c r="O1730" s="693" t="s">
        <v>1395</v>
      </c>
      <c r="P1730" s="693" t="s">
        <v>1395</v>
      </c>
      <c r="Q1730" s="1282" t="s">
        <v>1395</v>
      </c>
    </row>
    <row r="1731" spans="2:17" ht="29.25" customHeight="1" x14ac:dyDescent="0.2">
      <c r="B1731" s="958"/>
      <c r="C1731" s="427" t="s">
        <v>116</v>
      </c>
      <c r="D1731" s="696"/>
      <c r="E1731" s="41" t="s">
        <v>2190</v>
      </c>
      <c r="F1731" s="1547">
        <v>22106</v>
      </c>
      <c r="G1731" s="1547">
        <v>19395.900000000001</v>
      </c>
      <c r="H1731" s="1547">
        <v>16058</v>
      </c>
      <c r="I1731" s="1547">
        <v>17558</v>
      </c>
      <c r="J1731" s="1547">
        <v>19058</v>
      </c>
      <c r="K1731" s="697" t="s">
        <v>2181</v>
      </c>
      <c r="L1731" s="22" t="s">
        <v>2179</v>
      </c>
      <c r="M1731" s="693" t="s">
        <v>1392</v>
      </c>
      <c r="N1731" s="693" t="s">
        <v>1392</v>
      </c>
      <c r="O1731" s="693" t="s">
        <v>1392</v>
      </c>
      <c r="P1731" s="693" t="s">
        <v>1392</v>
      </c>
      <c r="Q1731" s="1282" t="s">
        <v>1392</v>
      </c>
    </row>
    <row r="1732" spans="2:17" ht="29.25" customHeight="1" x14ac:dyDescent="0.2">
      <c r="B1732" s="958"/>
      <c r="C1732" s="427" t="s">
        <v>119</v>
      </c>
      <c r="D1732" s="696"/>
      <c r="E1732" s="41" t="s">
        <v>2191</v>
      </c>
      <c r="F1732" s="1547">
        <v>7631.5</v>
      </c>
      <c r="G1732" s="1547"/>
      <c r="H1732" s="1547"/>
      <c r="I1732" s="1547"/>
      <c r="J1732" s="1547"/>
      <c r="K1732" s="697" t="s">
        <v>2176</v>
      </c>
      <c r="L1732" s="22" t="s">
        <v>16</v>
      </c>
      <c r="M1732" s="695">
        <v>100</v>
      </c>
      <c r="N1732" s="695">
        <v>100</v>
      </c>
      <c r="O1732" s="695">
        <v>100</v>
      </c>
      <c r="P1732" s="695">
        <v>100</v>
      </c>
      <c r="Q1732" s="506">
        <v>100</v>
      </c>
    </row>
    <row r="1733" spans="2:17" ht="29.25" customHeight="1" x14ac:dyDescent="0.2">
      <c r="B1733" s="958"/>
      <c r="C1733" s="427" t="s">
        <v>124</v>
      </c>
      <c r="D1733" s="696"/>
      <c r="E1733" s="41" t="s">
        <v>2192</v>
      </c>
      <c r="F1733" s="1547">
        <v>2625.1</v>
      </c>
      <c r="G1733" s="1547">
        <v>8658.6</v>
      </c>
      <c r="H1733" s="1547">
        <v>5753.1</v>
      </c>
      <c r="I1733" s="1547">
        <v>6622.4</v>
      </c>
      <c r="J1733" s="1547">
        <v>7358.9</v>
      </c>
      <c r="K1733" s="697" t="s">
        <v>2183</v>
      </c>
      <c r="L1733" s="22" t="s">
        <v>2184</v>
      </c>
      <c r="M1733" s="693" t="s">
        <v>1400</v>
      </c>
      <c r="N1733" s="693" t="s">
        <v>1400</v>
      </c>
      <c r="O1733" s="693" t="s">
        <v>1400</v>
      </c>
      <c r="P1733" s="693" t="s">
        <v>1396</v>
      </c>
      <c r="Q1733" s="1282" t="s">
        <v>1396</v>
      </c>
    </row>
    <row r="1734" spans="2:17" ht="29.25" customHeight="1" x14ac:dyDescent="0.2">
      <c r="B1734" s="958"/>
      <c r="C1734" s="427" t="s">
        <v>128</v>
      </c>
      <c r="D1734" s="696"/>
      <c r="E1734" s="41" t="s">
        <v>2193</v>
      </c>
      <c r="F1734" s="1547">
        <v>85134.3</v>
      </c>
      <c r="G1734" s="1547">
        <v>75945.600000000006</v>
      </c>
      <c r="H1734" s="1547">
        <v>72858.5</v>
      </c>
      <c r="I1734" s="1547">
        <v>72858.5</v>
      </c>
      <c r="J1734" s="1547">
        <v>72858.5</v>
      </c>
      <c r="K1734" s="697" t="s">
        <v>2194</v>
      </c>
      <c r="L1734" s="22" t="s">
        <v>16</v>
      </c>
      <c r="M1734" s="695">
        <v>100</v>
      </c>
      <c r="N1734" s="695">
        <v>100</v>
      </c>
      <c r="O1734" s="695">
        <v>100</v>
      </c>
      <c r="P1734" s="695">
        <v>100</v>
      </c>
      <c r="Q1734" s="506">
        <v>100</v>
      </c>
    </row>
    <row r="1735" spans="2:17" ht="29.25" customHeight="1" x14ac:dyDescent="0.2">
      <c r="B1735" s="958"/>
      <c r="C1735" s="427" t="s">
        <v>202</v>
      </c>
      <c r="D1735" s="696"/>
      <c r="E1735" s="41" t="s">
        <v>2195</v>
      </c>
      <c r="F1735" s="1547">
        <v>23245</v>
      </c>
      <c r="G1735" s="1547">
        <v>26766.1</v>
      </c>
      <c r="H1735" s="1547">
        <v>23845</v>
      </c>
      <c r="I1735" s="1547">
        <v>23845</v>
      </c>
      <c r="J1735" s="1547">
        <v>23845</v>
      </c>
      <c r="K1735" s="697" t="s">
        <v>2196</v>
      </c>
      <c r="L1735" s="22" t="s">
        <v>16</v>
      </c>
      <c r="M1735" s="695">
        <v>100</v>
      </c>
      <c r="N1735" s="695">
        <v>100</v>
      </c>
      <c r="O1735" s="695">
        <v>100</v>
      </c>
      <c r="P1735" s="695">
        <v>100</v>
      </c>
      <c r="Q1735" s="506">
        <v>100</v>
      </c>
    </row>
    <row r="1736" spans="2:17" ht="29.25" customHeight="1" x14ac:dyDescent="0.2">
      <c r="B1736" s="1097" t="s">
        <v>164</v>
      </c>
      <c r="C1736" s="1067"/>
      <c r="D1736" s="837"/>
      <c r="E1736" s="659" t="s">
        <v>3098</v>
      </c>
      <c r="F1736" s="1561">
        <f>F1737</f>
        <v>11263.8</v>
      </c>
      <c r="G1736" s="1561">
        <f>G1737</f>
        <v>11263.8</v>
      </c>
      <c r="H1736" s="1561">
        <f>H1737</f>
        <v>11263.8</v>
      </c>
      <c r="I1736" s="1561">
        <f>I1737</f>
        <v>11263.8</v>
      </c>
      <c r="J1736" s="1561">
        <f>J1737</f>
        <v>11263.8</v>
      </c>
      <c r="K1736" s="659" t="s">
        <v>2197</v>
      </c>
      <c r="L1736" s="22" t="s">
        <v>1178</v>
      </c>
      <c r="M1736" s="695">
        <v>37</v>
      </c>
      <c r="N1736" s="695">
        <v>37</v>
      </c>
      <c r="O1736" s="695">
        <v>37</v>
      </c>
      <c r="P1736" s="695">
        <v>37</v>
      </c>
      <c r="Q1736" s="506">
        <v>37</v>
      </c>
    </row>
    <row r="1737" spans="2:17" ht="29.25" customHeight="1" x14ac:dyDescent="0.2">
      <c r="B1737" s="958"/>
      <c r="C1737" s="427" t="s">
        <v>114</v>
      </c>
      <c r="D1737" s="696"/>
      <c r="E1737" s="41" t="s">
        <v>2198</v>
      </c>
      <c r="F1737" s="1547">
        <v>11263.8</v>
      </c>
      <c r="G1737" s="1547">
        <v>11263.8</v>
      </c>
      <c r="H1737" s="1547">
        <v>11263.8</v>
      </c>
      <c r="I1737" s="1547">
        <v>11263.8</v>
      </c>
      <c r="J1737" s="1547">
        <v>11263.8</v>
      </c>
      <c r="K1737" s="697" t="s">
        <v>2199</v>
      </c>
      <c r="L1737" s="22" t="s">
        <v>1178</v>
      </c>
      <c r="M1737" s="695">
        <v>37</v>
      </c>
      <c r="N1737" s="695">
        <v>37</v>
      </c>
      <c r="O1737" s="695">
        <v>37</v>
      </c>
      <c r="P1737" s="695">
        <v>37</v>
      </c>
      <c r="Q1737" s="506">
        <v>37</v>
      </c>
    </row>
    <row r="1738" spans="2:17" ht="29.25" customHeight="1" x14ac:dyDescent="0.2">
      <c r="B1738" s="1719" t="s">
        <v>2722</v>
      </c>
      <c r="C1738" s="1720"/>
      <c r="D1738" s="1720"/>
      <c r="E1738" s="1721"/>
      <c r="F1738" s="1688">
        <f>F1715+F1722+F1729+F1737</f>
        <v>396818.39999999997</v>
      </c>
      <c r="G1738" s="1688">
        <f>G1715+G1722+G1729+G1736</f>
        <v>406455.60000000003</v>
      </c>
      <c r="H1738" s="1688">
        <f>H1715+H1722+H1729+H1736</f>
        <v>384331.4</v>
      </c>
      <c r="I1738" s="1688">
        <f>I1715+I1722+I1729+I1736</f>
        <v>391687.7</v>
      </c>
      <c r="J1738" s="1688">
        <f>J1715+J1722+J1729+J1736</f>
        <v>395424.2</v>
      </c>
      <c r="K1738" s="1254"/>
      <c r="L1738" s="1255"/>
      <c r="M1738" s="702"/>
      <c r="N1738" s="702"/>
      <c r="O1738" s="702"/>
      <c r="P1738" s="702"/>
      <c r="Q1738" s="1192"/>
    </row>
    <row r="1739" spans="2:17" ht="29.25" customHeight="1" thickBot="1" x14ac:dyDescent="0.25">
      <c r="B1739" s="1722" t="s">
        <v>2200</v>
      </c>
      <c r="C1739" s="1723" t="s">
        <v>1405</v>
      </c>
      <c r="D1739" s="1723"/>
      <c r="E1739" s="1723"/>
      <c r="F1739" s="1723"/>
      <c r="G1739" s="1723"/>
      <c r="H1739" s="1723"/>
      <c r="I1739" s="1723"/>
      <c r="J1739" s="1723"/>
      <c r="K1739" s="1723"/>
      <c r="L1739" s="1723"/>
      <c r="M1739" s="1723"/>
      <c r="N1739" s="1723"/>
      <c r="O1739" s="1723"/>
      <c r="P1739" s="1723"/>
      <c r="Q1739" s="1724"/>
    </row>
    <row r="1740" spans="2:17" ht="93.75" customHeight="1" x14ac:dyDescent="0.2">
      <c r="B1740" s="540">
        <v>1</v>
      </c>
      <c r="C1740" s="470"/>
      <c r="D1740" s="541">
        <v>0</v>
      </c>
      <c r="E1740" s="1177" t="s">
        <v>2078</v>
      </c>
      <c r="F1740" s="1573">
        <f>F1741+F1742+F1743+F1744+F1745+F1746</f>
        <v>17061.900000000001</v>
      </c>
      <c r="G1740" s="1573">
        <f>G1741+G1742+G1743+G1744+G1745+G1746</f>
        <v>20150.099999999999</v>
      </c>
      <c r="H1740" s="1573">
        <f>H1741+H1742+H1743+H1744+H1745+H1746</f>
        <v>17516.900000000001</v>
      </c>
      <c r="I1740" s="1573">
        <f t="shared" ref="I1740:J1740" si="117">I1741+I1742+I1743+I1744+I1745+I1746</f>
        <v>17716.900000000001</v>
      </c>
      <c r="J1740" s="1573">
        <f t="shared" si="117"/>
        <v>17716.900000000001</v>
      </c>
      <c r="K1740" s="643" t="s">
        <v>2201</v>
      </c>
      <c r="L1740" s="628" t="s">
        <v>16</v>
      </c>
      <c r="M1740" s="628"/>
      <c r="N1740" s="628"/>
      <c r="O1740" s="628"/>
      <c r="P1740" s="628"/>
      <c r="Q1740" s="628"/>
    </row>
    <row r="1741" spans="2:17" ht="29.25" customHeight="1" x14ac:dyDescent="0.2">
      <c r="B1741" s="1178"/>
      <c r="C1741" s="1179">
        <v>1</v>
      </c>
      <c r="D1741" s="470"/>
      <c r="E1741" s="1266" t="s">
        <v>17</v>
      </c>
      <c r="F1741" s="1547">
        <v>3004.2</v>
      </c>
      <c r="G1741" s="1574">
        <v>3717.7</v>
      </c>
      <c r="H1741" s="1547">
        <v>3322.5</v>
      </c>
      <c r="I1741" s="1547">
        <v>3322.5</v>
      </c>
      <c r="J1741" s="1547">
        <v>3322.5</v>
      </c>
      <c r="K1741" s="697" t="s">
        <v>18</v>
      </c>
      <c r="L1741" s="22" t="s">
        <v>19</v>
      </c>
      <c r="M1741" s="22"/>
      <c r="N1741" s="22"/>
      <c r="O1741" s="22"/>
      <c r="P1741" s="22"/>
      <c r="Q1741" s="22"/>
    </row>
    <row r="1742" spans="2:17" ht="29.25" customHeight="1" x14ac:dyDescent="0.2">
      <c r="B1742" s="1178"/>
      <c r="C1742" s="472">
        <v>2</v>
      </c>
      <c r="D1742" s="470"/>
      <c r="E1742" s="473" t="s">
        <v>1971</v>
      </c>
      <c r="F1742" s="1547">
        <v>3592.6</v>
      </c>
      <c r="G1742" s="1574">
        <v>4435.6000000000004</v>
      </c>
      <c r="H1742" s="1547">
        <v>3874.5</v>
      </c>
      <c r="I1742" s="1547">
        <v>3874.5</v>
      </c>
      <c r="J1742" s="1547">
        <v>3874.5</v>
      </c>
      <c r="K1742" s="697" t="s">
        <v>419</v>
      </c>
      <c r="L1742" s="22" t="s">
        <v>16</v>
      </c>
      <c r="M1742" s="1175">
        <v>1</v>
      </c>
      <c r="N1742" s="1175">
        <v>1</v>
      </c>
      <c r="O1742" s="1175">
        <v>1</v>
      </c>
      <c r="P1742" s="1175">
        <v>1</v>
      </c>
      <c r="Q1742" s="1175">
        <v>1</v>
      </c>
    </row>
    <row r="1743" spans="2:17" ht="29.25" customHeight="1" x14ac:dyDescent="0.2">
      <c r="B1743" s="1178"/>
      <c r="C1743" s="472">
        <v>3</v>
      </c>
      <c r="D1743" s="470"/>
      <c r="E1743" s="473" t="s">
        <v>1861</v>
      </c>
      <c r="F1743" s="1547">
        <v>1235.7</v>
      </c>
      <c r="G1743" s="1574">
        <v>1280.7</v>
      </c>
      <c r="H1743" s="1547">
        <v>1130.2</v>
      </c>
      <c r="I1743" s="1547">
        <v>1130.2</v>
      </c>
      <c r="J1743" s="1547">
        <v>1130.2</v>
      </c>
      <c r="K1743" s="697" t="s">
        <v>24</v>
      </c>
      <c r="L1743" s="22" t="s">
        <v>16</v>
      </c>
      <c r="M1743" s="1175">
        <v>1</v>
      </c>
      <c r="N1743" s="1175">
        <v>1</v>
      </c>
      <c r="O1743" s="1175">
        <v>1</v>
      </c>
      <c r="P1743" s="1175">
        <v>1</v>
      </c>
      <c r="Q1743" s="1175">
        <v>1</v>
      </c>
    </row>
    <row r="1744" spans="2:17" ht="29.25" customHeight="1" x14ac:dyDescent="0.2">
      <c r="B1744" s="1178"/>
      <c r="C1744" s="472">
        <v>4</v>
      </c>
      <c r="D1744" s="470"/>
      <c r="E1744" s="473" t="s">
        <v>25</v>
      </c>
      <c r="F1744" s="1547">
        <v>627</v>
      </c>
      <c r="G1744" s="1574">
        <v>677</v>
      </c>
      <c r="H1744" s="1547">
        <v>581.9</v>
      </c>
      <c r="I1744" s="1547">
        <v>581.9</v>
      </c>
      <c r="J1744" s="1547">
        <v>581.9</v>
      </c>
      <c r="K1744" s="697" t="s">
        <v>1070</v>
      </c>
      <c r="L1744" s="22" t="s">
        <v>262</v>
      </c>
      <c r="M1744" s="1175"/>
      <c r="N1744" s="1175"/>
      <c r="O1744" s="1175"/>
      <c r="P1744" s="1175"/>
      <c r="Q1744" s="1175"/>
    </row>
    <row r="1745" spans="2:17" ht="29.25" customHeight="1" x14ac:dyDescent="0.2">
      <c r="B1745" s="1178"/>
      <c r="C1745" s="472">
        <v>5</v>
      </c>
      <c r="D1745" s="470"/>
      <c r="E1745" s="473" t="s">
        <v>1981</v>
      </c>
      <c r="F1745" s="1547">
        <v>861.3</v>
      </c>
      <c r="G1745" s="1574">
        <v>892.7</v>
      </c>
      <c r="H1745" s="1547">
        <v>677.9</v>
      </c>
      <c r="I1745" s="1547">
        <v>677.9</v>
      </c>
      <c r="J1745" s="1547">
        <v>677.9</v>
      </c>
      <c r="K1745" s="697" t="s">
        <v>2202</v>
      </c>
      <c r="L1745" s="22" t="s">
        <v>122</v>
      </c>
      <c r="M1745" s="22"/>
      <c r="N1745" s="22"/>
      <c r="O1745" s="22"/>
      <c r="P1745" s="22"/>
      <c r="Q1745" s="22"/>
    </row>
    <row r="1746" spans="2:17" ht="29.25" customHeight="1" x14ac:dyDescent="0.2">
      <c r="B1746" s="1178"/>
      <c r="C1746" s="223">
        <v>6</v>
      </c>
      <c r="D1746" s="470"/>
      <c r="E1746" s="41" t="s">
        <v>1917</v>
      </c>
      <c r="F1746" s="1547">
        <v>7741.1</v>
      </c>
      <c r="G1746" s="1574">
        <v>9146.4</v>
      </c>
      <c r="H1746" s="1547">
        <v>7929.9</v>
      </c>
      <c r="I1746" s="1547">
        <v>8129.9</v>
      </c>
      <c r="J1746" s="1547">
        <v>8129.9</v>
      </c>
      <c r="K1746" s="697" t="s">
        <v>1866</v>
      </c>
      <c r="L1746" s="22" t="s">
        <v>16</v>
      </c>
      <c r="M1746" s="22"/>
      <c r="N1746" s="22"/>
      <c r="O1746" s="22"/>
      <c r="P1746" s="22"/>
      <c r="Q1746" s="22"/>
    </row>
    <row r="1747" spans="2:17" ht="104.25" customHeight="1" x14ac:dyDescent="0.2">
      <c r="B1747" s="1284" t="s">
        <v>146</v>
      </c>
      <c r="C1747" s="1185"/>
      <c r="D1747" s="1185"/>
      <c r="E1747" s="659" t="s">
        <v>3099</v>
      </c>
      <c r="F1747" s="1561">
        <f>SUM(F1748:F1749)</f>
        <v>66677</v>
      </c>
      <c r="G1747" s="1561">
        <f>SUM(G1748:G1749)</f>
        <v>76657.899999999994</v>
      </c>
      <c r="H1747" s="1561">
        <f>SUM(H1748:H1749)</f>
        <v>70726.8</v>
      </c>
      <c r="I1747" s="1561">
        <f>SUM(I1748:I1749)</f>
        <v>72295.7</v>
      </c>
      <c r="J1747" s="1561">
        <f>SUM(J1748:J1749)</f>
        <v>73194.2</v>
      </c>
      <c r="K1747" s="523" t="s">
        <v>2982</v>
      </c>
      <c r="L1747" s="22" t="s">
        <v>16</v>
      </c>
      <c r="M1747" s="1175">
        <v>1</v>
      </c>
      <c r="N1747" s="1175">
        <v>1</v>
      </c>
      <c r="O1747" s="1175">
        <v>1</v>
      </c>
      <c r="P1747" s="1175">
        <v>1</v>
      </c>
      <c r="Q1747" s="1175">
        <v>1</v>
      </c>
    </row>
    <row r="1748" spans="2:17" ht="29.25" customHeight="1" x14ac:dyDescent="0.2">
      <c r="B1748" s="1284"/>
      <c r="C1748" s="1185" t="s">
        <v>114</v>
      </c>
      <c r="D1748" s="1185"/>
      <c r="E1748" s="41" t="s">
        <v>2203</v>
      </c>
      <c r="F1748" s="1551">
        <v>57377</v>
      </c>
      <c r="G1748" s="1537">
        <v>65415.7</v>
      </c>
      <c r="H1748" s="1547">
        <v>61500.5</v>
      </c>
      <c r="I1748" s="1547">
        <v>61679.4</v>
      </c>
      <c r="J1748" s="1547">
        <v>61979.4</v>
      </c>
      <c r="K1748" s="41" t="s">
        <v>2204</v>
      </c>
      <c r="L1748" s="22" t="s">
        <v>16</v>
      </c>
      <c r="M1748" s="1175">
        <v>0.9</v>
      </c>
      <c r="N1748" s="1175">
        <v>0.9</v>
      </c>
      <c r="O1748" s="1175">
        <v>0.9</v>
      </c>
      <c r="P1748" s="1175">
        <v>0.9</v>
      </c>
      <c r="Q1748" s="1175">
        <v>0.9</v>
      </c>
    </row>
    <row r="1749" spans="2:17" ht="29.25" customHeight="1" x14ac:dyDescent="0.2">
      <c r="B1749" s="1284"/>
      <c r="C1749" s="1185" t="s">
        <v>116</v>
      </c>
      <c r="D1749" s="1185"/>
      <c r="E1749" s="41" t="s">
        <v>2205</v>
      </c>
      <c r="F1749" s="1551">
        <v>9300</v>
      </c>
      <c r="G1749" s="1574">
        <v>11242.2</v>
      </c>
      <c r="H1749" s="1547">
        <v>9226.2999999999993</v>
      </c>
      <c r="I1749" s="1547">
        <v>10616.3</v>
      </c>
      <c r="J1749" s="1547">
        <v>11214.8</v>
      </c>
      <c r="K1749" s="41" t="s">
        <v>2206</v>
      </c>
      <c r="L1749" s="22" t="s">
        <v>16</v>
      </c>
      <c r="M1749" s="1175">
        <v>0.95</v>
      </c>
      <c r="N1749" s="1175">
        <v>0.95</v>
      </c>
      <c r="O1749" s="1175">
        <v>0.95</v>
      </c>
      <c r="P1749" s="1175">
        <v>0.95</v>
      </c>
      <c r="Q1749" s="1175">
        <v>0.95</v>
      </c>
    </row>
    <row r="1750" spans="2:17" ht="103.5" customHeight="1" x14ac:dyDescent="0.2">
      <c r="B1750" s="1284" t="s">
        <v>341</v>
      </c>
      <c r="C1750" s="1185"/>
      <c r="D1750" s="1185"/>
      <c r="E1750" s="659" t="s">
        <v>3100</v>
      </c>
      <c r="F1750" s="1561">
        <f>SUM(F1751:F1751)</f>
        <v>4900</v>
      </c>
      <c r="G1750" s="1561">
        <f>SUM(G1751:G1751)</f>
        <v>4664.8999999999996</v>
      </c>
      <c r="H1750" s="1561">
        <f>SUM(H1751:H1751)</f>
        <v>4171.8</v>
      </c>
      <c r="I1750" s="1561">
        <f>SUM(I1751:I1751)</f>
        <v>4171.8</v>
      </c>
      <c r="J1750" s="1561">
        <f>SUM(J1751:J1751)</f>
        <v>4171.8</v>
      </c>
      <c r="K1750" s="523" t="s">
        <v>2983</v>
      </c>
      <c r="L1750" s="22" t="s">
        <v>16</v>
      </c>
      <c r="M1750" s="1175">
        <v>1</v>
      </c>
      <c r="N1750" s="1175">
        <v>1</v>
      </c>
      <c r="O1750" s="1175">
        <v>1</v>
      </c>
      <c r="P1750" s="1175">
        <v>1</v>
      </c>
      <c r="Q1750" s="1175">
        <v>1</v>
      </c>
    </row>
    <row r="1751" spans="2:17" ht="29.25" customHeight="1" x14ac:dyDescent="0.2">
      <c r="B1751" s="1284"/>
      <c r="C1751" s="1185" t="s">
        <v>114</v>
      </c>
      <c r="D1751" s="1185"/>
      <c r="E1751" s="41" t="s">
        <v>2207</v>
      </c>
      <c r="F1751" s="1551">
        <v>4900</v>
      </c>
      <c r="G1751" s="1689">
        <v>4664.8999999999996</v>
      </c>
      <c r="H1751" s="1547">
        <v>4171.8</v>
      </c>
      <c r="I1751" s="1547">
        <v>4171.8</v>
      </c>
      <c r="J1751" s="1547">
        <v>4171.8</v>
      </c>
      <c r="K1751" s="41" t="s">
        <v>2208</v>
      </c>
      <c r="L1751" s="22" t="s">
        <v>16</v>
      </c>
      <c r="M1751" s="1175">
        <v>0.8</v>
      </c>
      <c r="N1751" s="1175">
        <v>0.8</v>
      </c>
      <c r="O1751" s="1175">
        <v>0.8</v>
      </c>
      <c r="P1751" s="1175">
        <v>0.8</v>
      </c>
      <c r="Q1751" s="1175">
        <v>0.8</v>
      </c>
    </row>
    <row r="1752" spans="2:17" ht="29.25" customHeight="1" x14ac:dyDescent="0.2">
      <c r="B1752" s="1719" t="s">
        <v>2722</v>
      </c>
      <c r="C1752" s="1720"/>
      <c r="D1752" s="1720"/>
      <c r="E1752" s="1721"/>
      <c r="F1752" s="1688">
        <f>F1740+F1747+F1750</f>
        <v>88638.9</v>
      </c>
      <c r="G1752" s="1688">
        <f>G1740+G1747+G1750</f>
        <v>101472.9</v>
      </c>
      <c r="H1752" s="1688">
        <f>H1740+H1747+H1750</f>
        <v>92415.500000000015</v>
      </c>
      <c r="I1752" s="1688">
        <f>I1740+I1747+I1750</f>
        <v>94184.400000000009</v>
      </c>
      <c r="J1752" s="1688">
        <f>J1740+J1747+J1750</f>
        <v>95082.900000000009</v>
      </c>
      <c r="K1752" s="1254"/>
      <c r="L1752" s="1255"/>
      <c r="M1752" s="702"/>
      <c r="N1752" s="702"/>
      <c r="O1752" s="702"/>
      <c r="P1752" s="702"/>
      <c r="Q1752" s="1192"/>
    </row>
    <row r="1753" spans="2:17" ht="29.25" customHeight="1" x14ac:dyDescent="0.2">
      <c r="B1753" s="1722" t="s">
        <v>2209</v>
      </c>
      <c r="C1753" s="1723" t="s">
        <v>1405</v>
      </c>
      <c r="D1753" s="1723"/>
      <c r="E1753" s="1723"/>
      <c r="F1753" s="1723"/>
      <c r="G1753" s="1723"/>
      <c r="H1753" s="1723"/>
      <c r="I1753" s="1723"/>
      <c r="J1753" s="1723"/>
      <c r="K1753" s="1723"/>
      <c r="L1753" s="1723"/>
      <c r="M1753" s="1723"/>
      <c r="N1753" s="1723"/>
      <c r="O1753" s="1723"/>
      <c r="P1753" s="1723"/>
      <c r="Q1753" s="1724"/>
    </row>
    <row r="1754" spans="2:17" ht="111.75" customHeight="1" x14ac:dyDescent="0.2">
      <c r="B1754" s="1183">
        <v>1</v>
      </c>
      <c r="C1754" s="470"/>
      <c r="D1754" s="541"/>
      <c r="E1754" s="1177" t="s">
        <v>3101</v>
      </c>
      <c r="F1754" s="1573">
        <f>F1755+F1756+F1757+F1758+F1759</f>
        <v>7044.2</v>
      </c>
      <c r="G1754" s="1573">
        <f>G1755+G1756+G1757+G1758+G1759</f>
        <v>7246.5</v>
      </c>
      <c r="H1754" s="1573">
        <f>H1755+H1756+H1757+H1758+H1759</f>
        <v>7661.5</v>
      </c>
      <c r="I1754" s="1573">
        <f>I1755+I1756+I1757+I1758+I1759</f>
        <v>7961.5</v>
      </c>
      <c r="J1754" s="1573">
        <f>J1755+J1756+J1757+J1758+J1759</f>
        <v>7961.5</v>
      </c>
      <c r="K1754" s="1354" t="s">
        <v>2201</v>
      </c>
      <c r="L1754" s="628" t="s">
        <v>16</v>
      </c>
      <c r="M1754" s="628">
        <v>48</v>
      </c>
      <c r="N1754" s="628">
        <v>48</v>
      </c>
      <c r="O1754" s="628">
        <v>48</v>
      </c>
      <c r="P1754" s="628">
        <v>48</v>
      </c>
      <c r="Q1754" s="628">
        <v>48</v>
      </c>
    </row>
    <row r="1755" spans="2:17" ht="29.25" customHeight="1" x14ac:dyDescent="0.2">
      <c r="B1755" s="1178"/>
      <c r="C1755" s="1179">
        <v>1</v>
      </c>
      <c r="D1755" s="470"/>
      <c r="E1755" s="1266" t="s">
        <v>17</v>
      </c>
      <c r="F1755" s="1547">
        <v>1602</v>
      </c>
      <c r="G1755" s="1547">
        <v>1549.2</v>
      </c>
      <c r="H1755" s="1547">
        <v>1574.2</v>
      </c>
      <c r="I1755" s="1547">
        <v>1574.2</v>
      </c>
      <c r="J1755" s="1547">
        <v>1574.2</v>
      </c>
      <c r="K1755" s="674" t="s">
        <v>2210</v>
      </c>
      <c r="L1755" s="22" t="s">
        <v>16</v>
      </c>
      <c r="M1755" s="22">
        <v>98</v>
      </c>
      <c r="N1755" s="22">
        <v>98</v>
      </c>
      <c r="O1755" s="22">
        <v>98</v>
      </c>
      <c r="P1755" s="22">
        <v>98</v>
      </c>
      <c r="Q1755" s="22">
        <v>98</v>
      </c>
    </row>
    <row r="1756" spans="2:17" ht="29.25" customHeight="1" x14ac:dyDescent="0.2">
      <c r="B1756" s="1178"/>
      <c r="C1756" s="472">
        <v>2</v>
      </c>
      <c r="D1756" s="470"/>
      <c r="E1756" s="473" t="s">
        <v>1971</v>
      </c>
      <c r="F1756" s="1547">
        <v>1221</v>
      </c>
      <c r="G1756" s="1547">
        <v>1162.3</v>
      </c>
      <c r="H1756" s="1547">
        <v>1187.3</v>
      </c>
      <c r="I1756" s="1547">
        <v>1187.3</v>
      </c>
      <c r="J1756" s="1547">
        <v>1187.3</v>
      </c>
      <c r="K1756" s="674" t="s">
        <v>419</v>
      </c>
      <c r="L1756" s="22" t="s">
        <v>16</v>
      </c>
      <c r="M1756" s="22">
        <v>0</v>
      </c>
      <c r="N1756" s="22">
        <v>0</v>
      </c>
      <c r="O1756" s="22">
        <v>0</v>
      </c>
      <c r="P1756" s="22">
        <v>0</v>
      </c>
      <c r="Q1756" s="22">
        <v>0</v>
      </c>
    </row>
    <row r="1757" spans="2:17" ht="29.25" customHeight="1" x14ac:dyDescent="0.2">
      <c r="B1757" s="1178"/>
      <c r="C1757" s="472">
        <v>3</v>
      </c>
      <c r="D1757" s="470"/>
      <c r="E1757" s="473" t="s">
        <v>1861</v>
      </c>
      <c r="F1757" s="1547">
        <v>445.6</v>
      </c>
      <c r="G1757" s="1547">
        <v>466</v>
      </c>
      <c r="H1757" s="1547">
        <v>460</v>
      </c>
      <c r="I1757" s="1547">
        <v>460</v>
      </c>
      <c r="J1757" s="1547">
        <v>460</v>
      </c>
      <c r="K1757" s="674" t="s">
        <v>2211</v>
      </c>
      <c r="L1757" s="22" t="s">
        <v>16</v>
      </c>
      <c r="M1757" s="22">
        <v>100</v>
      </c>
      <c r="N1757" s="22">
        <v>100</v>
      </c>
      <c r="O1757" s="22">
        <v>100</v>
      </c>
      <c r="P1757" s="22">
        <v>100</v>
      </c>
      <c r="Q1757" s="22">
        <v>100</v>
      </c>
    </row>
    <row r="1758" spans="2:17" ht="29.25" customHeight="1" x14ac:dyDescent="0.2">
      <c r="B1758" s="1178"/>
      <c r="C1758" s="472">
        <v>4</v>
      </c>
      <c r="D1758" s="470"/>
      <c r="E1758" s="473" t="s">
        <v>25</v>
      </c>
      <c r="F1758" s="1547">
        <v>367</v>
      </c>
      <c r="G1758" s="1547">
        <v>352</v>
      </c>
      <c r="H1758" s="1547">
        <v>352</v>
      </c>
      <c r="I1758" s="1547">
        <v>352</v>
      </c>
      <c r="J1758" s="1547">
        <v>352</v>
      </c>
      <c r="K1758" s="674" t="s">
        <v>2212</v>
      </c>
      <c r="L1758" s="22" t="s">
        <v>16</v>
      </c>
      <c r="M1758" s="22">
        <v>100</v>
      </c>
      <c r="N1758" s="22">
        <v>100</v>
      </c>
      <c r="O1758" s="22">
        <v>100</v>
      </c>
      <c r="P1758" s="22">
        <v>100</v>
      </c>
      <c r="Q1758" s="22">
        <v>100</v>
      </c>
    </row>
    <row r="1759" spans="2:17" ht="29.25" customHeight="1" x14ac:dyDescent="0.2">
      <c r="B1759" s="1178"/>
      <c r="C1759" s="223">
        <v>6</v>
      </c>
      <c r="D1759" s="470"/>
      <c r="E1759" s="41" t="s">
        <v>1917</v>
      </c>
      <c r="F1759" s="1547">
        <v>3408.6</v>
      </c>
      <c r="G1759" s="1547">
        <v>3717</v>
      </c>
      <c r="H1759" s="1547">
        <v>4088</v>
      </c>
      <c r="I1759" s="1547">
        <v>4388</v>
      </c>
      <c r="J1759" s="1547">
        <v>4388</v>
      </c>
      <c r="K1759" s="674" t="s">
        <v>1838</v>
      </c>
      <c r="L1759" s="22" t="s">
        <v>16</v>
      </c>
      <c r="M1759" s="22">
        <v>58</v>
      </c>
      <c r="N1759" s="22">
        <v>58</v>
      </c>
      <c r="O1759" s="22">
        <v>58</v>
      </c>
      <c r="P1759" s="22">
        <v>58</v>
      </c>
      <c r="Q1759" s="22">
        <v>58</v>
      </c>
    </row>
    <row r="1760" spans="2:17" ht="29.25" customHeight="1" x14ac:dyDescent="0.2">
      <c r="B1760" s="1178"/>
      <c r="C1760" s="223">
        <v>7</v>
      </c>
      <c r="D1760" s="470"/>
      <c r="E1760" s="41" t="s">
        <v>1984</v>
      </c>
      <c r="F1760" s="1547"/>
      <c r="G1760" s="1547"/>
      <c r="H1760" s="1547"/>
      <c r="I1760" s="1547"/>
      <c r="J1760" s="1547"/>
      <c r="K1760" s="674"/>
      <c r="L1760" s="22"/>
      <c r="M1760" s="22"/>
      <c r="N1760" s="22"/>
      <c r="O1760" s="22"/>
      <c r="P1760" s="22"/>
      <c r="Q1760" s="22"/>
    </row>
    <row r="1761" spans="2:17" ht="29.25" customHeight="1" x14ac:dyDescent="0.2">
      <c r="B1761" s="1178"/>
      <c r="C1761" s="223">
        <v>8</v>
      </c>
      <c r="D1761" s="470"/>
      <c r="E1761" s="41" t="s">
        <v>2080</v>
      </c>
      <c r="F1761" s="1547"/>
      <c r="G1761" s="1547"/>
      <c r="H1761" s="1547"/>
      <c r="I1761" s="1547"/>
      <c r="J1761" s="1547"/>
      <c r="K1761" s="674"/>
      <c r="L1761" s="22"/>
      <c r="M1761" s="22"/>
      <c r="N1761" s="22"/>
      <c r="O1761" s="22"/>
      <c r="P1761" s="22"/>
      <c r="Q1761" s="22"/>
    </row>
    <row r="1762" spans="2:17" ht="29.25" customHeight="1" x14ac:dyDescent="0.2">
      <c r="B1762" s="1284" t="s">
        <v>131</v>
      </c>
      <c r="C1762" s="917"/>
      <c r="D1762" s="1285"/>
      <c r="E1762" s="659" t="s">
        <v>2213</v>
      </c>
      <c r="F1762" s="1561">
        <f>F1763+F1764+F1765</f>
        <v>27891</v>
      </c>
      <c r="G1762" s="1561">
        <f>G1763+G1764+G1765</f>
        <v>27688.7</v>
      </c>
      <c r="H1762" s="1561">
        <f>H1763+H1764+H1765</f>
        <v>27273.7</v>
      </c>
      <c r="I1762" s="1561">
        <f>I1763+I1764+I1765</f>
        <v>27642.3</v>
      </c>
      <c r="J1762" s="1561">
        <f>J1763+J1764+J1765</f>
        <v>27982</v>
      </c>
      <c r="K1762" s="674" t="s">
        <v>2214</v>
      </c>
      <c r="L1762" s="22" t="s">
        <v>2184</v>
      </c>
      <c r="M1762" s="22" t="s">
        <v>1401</v>
      </c>
      <c r="N1762" s="22" t="s">
        <v>1401</v>
      </c>
      <c r="O1762" s="22" t="s">
        <v>1401</v>
      </c>
      <c r="P1762" s="22" t="s">
        <v>1401</v>
      </c>
      <c r="Q1762" s="22" t="s">
        <v>1401</v>
      </c>
    </row>
    <row r="1763" spans="2:17" ht="29.25" customHeight="1" x14ac:dyDescent="0.2">
      <c r="B1763" s="1284"/>
      <c r="C1763" s="917" t="s">
        <v>114</v>
      </c>
      <c r="D1763" s="1286"/>
      <c r="E1763" s="41" t="s">
        <v>2215</v>
      </c>
      <c r="F1763" s="1551">
        <v>6121.7</v>
      </c>
      <c r="G1763" s="1551">
        <v>5805.7</v>
      </c>
      <c r="H1763" s="1551">
        <v>5960.7</v>
      </c>
      <c r="I1763" s="1547">
        <v>6060.7</v>
      </c>
      <c r="J1763" s="1547">
        <v>6060.7</v>
      </c>
      <c r="K1763" s="674" t="s">
        <v>2216</v>
      </c>
      <c r="L1763" s="22" t="s">
        <v>2184</v>
      </c>
      <c r="M1763" s="22" t="s">
        <v>1402</v>
      </c>
      <c r="N1763" s="22" t="s">
        <v>1402</v>
      </c>
      <c r="O1763" s="22" t="s">
        <v>1402</v>
      </c>
      <c r="P1763" s="22" t="s">
        <v>1402</v>
      </c>
      <c r="Q1763" s="22" t="s">
        <v>1402</v>
      </c>
    </row>
    <row r="1764" spans="2:17" ht="29.25" customHeight="1" x14ac:dyDescent="0.2">
      <c r="B1764" s="1284"/>
      <c r="C1764" s="917" t="s">
        <v>116</v>
      </c>
      <c r="D1764" s="1286"/>
      <c r="E1764" s="41" t="s">
        <v>2217</v>
      </c>
      <c r="F1764" s="1551">
        <v>1024.7</v>
      </c>
      <c r="G1764" s="1551">
        <v>1113</v>
      </c>
      <c r="H1764" s="1551">
        <v>1138</v>
      </c>
      <c r="I1764" s="1551">
        <v>1138</v>
      </c>
      <c r="J1764" s="1551">
        <v>1138</v>
      </c>
      <c r="K1764" s="674" t="s">
        <v>2218</v>
      </c>
      <c r="L1764" s="22" t="s">
        <v>2184</v>
      </c>
      <c r="M1764" s="22" t="s">
        <v>1403</v>
      </c>
      <c r="N1764" s="22" t="s">
        <v>1403</v>
      </c>
      <c r="O1764" s="22" t="s">
        <v>1403</v>
      </c>
      <c r="P1764" s="22" t="s">
        <v>1403</v>
      </c>
      <c r="Q1764" s="22" t="s">
        <v>1403</v>
      </c>
    </row>
    <row r="1765" spans="2:17" ht="29.25" customHeight="1" x14ac:dyDescent="0.2">
      <c r="B1765" s="1284"/>
      <c r="C1765" s="917" t="s">
        <v>119</v>
      </c>
      <c r="D1765" s="1286"/>
      <c r="E1765" s="41" t="s">
        <v>2219</v>
      </c>
      <c r="F1765" s="1551">
        <v>20744.599999999999</v>
      </c>
      <c r="G1765" s="1551">
        <v>20770</v>
      </c>
      <c r="H1765" s="1551">
        <v>20175</v>
      </c>
      <c r="I1765" s="1547">
        <v>20443.599999999999</v>
      </c>
      <c r="J1765" s="1547">
        <v>20783.3</v>
      </c>
      <c r="K1765" s="674" t="s">
        <v>2220</v>
      </c>
      <c r="L1765" s="22" t="s">
        <v>16</v>
      </c>
      <c r="M1765" s="693" t="s">
        <v>1404</v>
      </c>
      <c r="N1765" s="693" t="s">
        <v>1404</v>
      </c>
      <c r="O1765" s="693" t="s">
        <v>1404</v>
      </c>
      <c r="P1765" s="693" t="s">
        <v>1404</v>
      </c>
      <c r="Q1765" s="693" t="s">
        <v>1404</v>
      </c>
    </row>
    <row r="1766" spans="2:17" ht="29.25" customHeight="1" x14ac:dyDescent="0.2">
      <c r="B1766" s="1719" t="s">
        <v>2722</v>
      </c>
      <c r="C1766" s="1720"/>
      <c r="D1766" s="1720"/>
      <c r="E1766" s="1721"/>
      <c r="F1766" s="1688">
        <f>F1754+F1762</f>
        <v>34935.199999999997</v>
      </c>
      <c r="G1766" s="1688">
        <f>G1754+G1762</f>
        <v>34935.199999999997</v>
      </c>
      <c r="H1766" s="1688">
        <f>H1754+H1762</f>
        <v>34935.199999999997</v>
      </c>
      <c r="I1766" s="1688">
        <f>I1754+I1762</f>
        <v>35603.800000000003</v>
      </c>
      <c r="J1766" s="1688">
        <f>J1754+J1762</f>
        <v>35943.5</v>
      </c>
      <c r="K1766" s="1366"/>
      <c r="L1766" s="1255"/>
      <c r="M1766" s="702"/>
      <c r="N1766" s="702"/>
      <c r="O1766" s="702"/>
      <c r="P1766" s="702"/>
      <c r="Q1766" s="1192"/>
    </row>
    <row r="1767" spans="2:17" ht="29.25" customHeight="1" thickBot="1" x14ac:dyDescent="0.25">
      <c r="B1767" s="1722" t="s">
        <v>2221</v>
      </c>
      <c r="C1767" s="1723"/>
      <c r="D1767" s="1723"/>
      <c r="E1767" s="1723"/>
      <c r="F1767" s="1723"/>
      <c r="G1767" s="1723"/>
      <c r="H1767" s="1723"/>
      <c r="I1767" s="1723"/>
      <c r="J1767" s="1723"/>
      <c r="K1767" s="1723"/>
      <c r="L1767" s="1723"/>
      <c r="M1767" s="1723"/>
      <c r="N1767" s="1723"/>
      <c r="O1767" s="1723"/>
      <c r="P1767" s="1723"/>
      <c r="Q1767" s="1724"/>
    </row>
    <row r="1768" spans="2:17" ht="77.25" customHeight="1" x14ac:dyDescent="0.2">
      <c r="B1768" s="1516">
        <v>1</v>
      </c>
      <c r="C1768" s="1517"/>
      <c r="D1768" s="1517"/>
      <c r="E1768" s="160" t="s">
        <v>2549</v>
      </c>
      <c r="F1768" s="1566">
        <f>SUM(F1769:F1773)</f>
        <v>14984</v>
      </c>
      <c r="G1768" s="1566">
        <f t="shared" ref="G1768:J1768" si="118">SUM(G1769:G1773)</f>
        <v>14984</v>
      </c>
      <c r="H1768" s="1566">
        <f>SUM(H1769:H1773)</f>
        <v>14654.800000000001</v>
      </c>
      <c r="I1768" s="1566">
        <f t="shared" si="118"/>
        <v>13688.1</v>
      </c>
      <c r="J1768" s="1566">
        <f t="shared" si="118"/>
        <v>13688.1</v>
      </c>
      <c r="K1768" s="289" t="s">
        <v>2222</v>
      </c>
      <c r="L1768" s="1287" t="s">
        <v>16</v>
      </c>
      <c r="M1768" s="1287">
        <v>33.700000000000003</v>
      </c>
      <c r="N1768" s="1287">
        <v>33.700000000000003</v>
      </c>
      <c r="O1768" s="1287">
        <v>33.700000000000003</v>
      </c>
      <c r="P1768" s="1287">
        <v>33.700000000000003</v>
      </c>
      <c r="Q1768" s="1287">
        <v>33.700000000000003</v>
      </c>
    </row>
    <row r="1769" spans="2:17" ht="29.25" customHeight="1" x14ac:dyDescent="0.2">
      <c r="B1769" s="1518"/>
      <c r="C1769" s="1519">
        <v>1</v>
      </c>
      <c r="D1769" s="1517"/>
      <c r="E1769" s="1288" t="str">
        <f>'[3]приложение 3'!$B$5</f>
        <v xml:space="preserve">Жалпы жетекчиликти камсыз кылуу </v>
      </c>
      <c r="F1769" s="1559">
        <v>2488.9</v>
      </c>
      <c r="G1769" s="1559">
        <v>2488.9</v>
      </c>
      <c r="H1769" s="1559">
        <f>2488.9+520+89.7+116.4+90</f>
        <v>3305</v>
      </c>
      <c r="I1769" s="1559">
        <v>2488.9</v>
      </c>
      <c r="J1769" s="1559">
        <v>2488.9</v>
      </c>
      <c r="K1769" s="290" t="s">
        <v>18</v>
      </c>
      <c r="L1769" s="175" t="s">
        <v>19</v>
      </c>
      <c r="M1769" s="175">
        <v>0.92</v>
      </c>
      <c r="N1769" s="175">
        <v>0.92</v>
      </c>
      <c r="O1769" s="175">
        <v>0.92</v>
      </c>
      <c r="P1769" s="175">
        <v>0.92</v>
      </c>
      <c r="Q1769" s="175">
        <v>0.92</v>
      </c>
    </row>
    <row r="1770" spans="2:17" ht="29.25" customHeight="1" x14ac:dyDescent="0.2">
      <c r="B1770" s="1518"/>
      <c r="C1770" s="1520">
        <v>2</v>
      </c>
      <c r="D1770" s="1517"/>
      <c r="E1770" s="179" t="s">
        <v>2223</v>
      </c>
      <c r="F1770" s="1678">
        <v>9214.7000000000007</v>
      </c>
      <c r="G1770" s="1678">
        <v>9214.7000000000007</v>
      </c>
      <c r="H1770" s="1678">
        <f>7918.8+131.3+19.3</f>
        <v>8069.4000000000005</v>
      </c>
      <c r="I1770" s="1678">
        <v>7918.8</v>
      </c>
      <c r="J1770" s="1678">
        <v>7918.8</v>
      </c>
      <c r="K1770" s="290" t="s">
        <v>2224</v>
      </c>
      <c r="L1770" s="175" t="s">
        <v>16</v>
      </c>
      <c r="M1770" s="175">
        <v>100</v>
      </c>
      <c r="N1770" s="175">
        <v>100</v>
      </c>
      <c r="O1770" s="175">
        <v>100</v>
      </c>
      <c r="P1770" s="175">
        <v>100</v>
      </c>
      <c r="Q1770" s="175">
        <v>100</v>
      </c>
    </row>
    <row r="1771" spans="2:17" ht="29.25" customHeight="1" x14ac:dyDescent="0.2">
      <c r="B1771" s="1518"/>
      <c r="C1771" s="1520">
        <v>3</v>
      </c>
      <c r="D1771" s="1517"/>
      <c r="E1771" s="179" t="str">
        <f>'[3]приложение 3 (2)'!$B$5</f>
        <v xml:space="preserve">Адам ресурстарын башкаруу </v>
      </c>
      <c r="F1771" s="1559">
        <v>675</v>
      </c>
      <c r="G1771" s="1559">
        <v>675</v>
      </c>
      <c r="H1771" s="1559">
        <v>675</v>
      </c>
      <c r="I1771" s="1559">
        <v>675</v>
      </c>
      <c r="J1771" s="1559">
        <v>675</v>
      </c>
      <c r="K1771" s="290" t="s">
        <v>2225</v>
      </c>
      <c r="L1771" s="175" t="s">
        <v>16</v>
      </c>
      <c r="M1771" s="175"/>
      <c r="N1771" s="175"/>
      <c r="O1771" s="175"/>
      <c r="P1771" s="175"/>
      <c r="Q1771" s="175"/>
    </row>
    <row r="1772" spans="2:17" ht="29.25" customHeight="1" x14ac:dyDescent="0.2">
      <c r="B1772" s="1518"/>
      <c r="C1772" s="1520">
        <v>4</v>
      </c>
      <c r="D1772" s="1517"/>
      <c r="E1772" s="179" t="str">
        <f>'[3]приложение 3 (3)'!$B$5</f>
        <v xml:space="preserve">Укуктук колдоо </v>
      </c>
      <c r="F1772" s="1559">
        <v>798.9</v>
      </c>
      <c r="G1772" s="1559">
        <v>798.9</v>
      </c>
      <c r="H1772" s="1559">
        <v>798.9</v>
      </c>
      <c r="I1772" s="1559">
        <v>798.9</v>
      </c>
      <c r="J1772" s="1559">
        <v>798.9</v>
      </c>
      <c r="K1772" s="290" t="s">
        <v>2226</v>
      </c>
      <c r="L1772" s="652" t="s">
        <v>122</v>
      </c>
      <c r="M1772" s="175"/>
      <c r="N1772" s="175"/>
      <c r="O1772" s="175"/>
      <c r="P1772" s="175"/>
      <c r="Q1772" s="175"/>
    </row>
    <row r="1773" spans="2:17" ht="29.25" customHeight="1" x14ac:dyDescent="0.2">
      <c r="B1773" s="1518"/>
      <c r="C1773" s="622">
        <v>5</v>
      </c>
      <c r="D1773" s="1517"/>
      <c r="E1773" s="1289" t="str">
        <f>'[3]приложение 3 (5)'!$B$5</f>
        <v xml:space="preserve">Иштерди уюштуруу жана камсыз кылуу кызматы </v>
      </c>
      <c r="F1773" s="1559">
        <v>1806.5</v>
      </c>
      <c r="G1773" s="1559">
        <v>1806.5</v>
      </c>
      <c r="H1773" s="1559">
        <v>1806.5</v>
      </c>
      <c r="I1773" s="1559">
        <v>1806.5</v>
      </c>
      <c r="J1773" s="1559">
        <v>1806.5</v>
      </c>
      <c r="K1773" s="290" t="s">
        <v>2227</v>
      </c>
      <c r="L1773" s="175" t="s">
        <v>16</v>
      </c>
      <c r="M1773" s="175">
        <v>16</v>
      </c>
      <c r="N1773" s="175">
        <v>16</v>
      </c>
      <c r="O1773" s="175">
        <v>16</v>
      </c>
      <c r="P1773" s="175">
        <v>16</v>
      </c>
      <c r="Q1773" s="175">
        <v>16</v>
      </c>
    </row>
    <row r="1774" spans="2:17" ht="29.25" customHeight="1" x14ac:dyDescent="0.2">
      <c r="B1774" s="1384" t="s">
        <v>131</v>
      </c>
      <c r="C1774" s="1384"/>
      <c r="D1774" s="1384"/>
      <c r="E1774" s="659" t="s">
        <v>2550</v>
      </c>
      <c r="F1774" s="1566">
        <f>SUM(F1775:F1775)</f>
        <v>27201</v>
      </c>
      <c r="G1774" s="1566">
        <f t="shared" ref="G1774:J1774" si="119">SUM(G1775:G1775)</f>
        <v>40377.1</v>
      </c>
      <c r="H1774" s="1566">
        <f t="shared" si="119"/>
        <v>51673</v>
      </c>
      <c r="I1774" s="1566">
        <f t="shared" si="119"/>
        <v>52973.599999999999</v>
      </c>
      <c r="J1774" s="1566">
        <f t="shared" si="119"/>
        <v>53521.5</v>
      </c>
      <c r="K1774" s="432" t="s">
        <v>2228</v>
      </c>
      <c r="L1774" s="175" t="s">
        <v>16</v>
      </c>
      <c r="M1774" s="175">
        <v>100</v>
      </c>
      <c r="N1774" s="175">
        <v>100</v>
      </c>
      <c r="O1774" s="175">
        <v>100</v>
      </c>
      <c r="P1774" s="175">
        <v>100</v>
      </c>
      <c r="Q1774" s="175">
        <v>100</v>
      </c>
    </row>
    <row r="1775" spans="2:17" ht="29.25" customHeight="1" x14ac:dyDescent="0.2">
      <c r="B1775" s="1384"/>
      <c r="C1775" s="1384" t="s">
        <v>114</v>
      </c>
      <c r="D1775" s="1384"/>
      <c r="E1775" s="697" t="s">
        <v>2229</v>
      </c>
      <c r="F1775" s="1559">
        <v>27201</v>
      </c>
      <c r="G1775" s="1559">
        <v>40377.1</v>
      </c>
      <c r="H1775" s="1559">
        <f>51673</f>
        <v>51673</v>
      </c>
      <c r="I1775" s="1559">
        <v>52973.599999999999</v>
      </c>
      <c r="J1775" s="1559">
        <v>53521.5</v>
      </c>
      <c r="K1775" s="432" t="s">
        <v>2230</v>
      </c>
      <c r="L1775" s="668" t="s">
        <v>157</v>
      </c>
      <c r="M1775" s="1300">
        <v>9500</v>
      </c>
      <c r="N1775" s="1300">
        <v>9500</v>
      </c>
      <c r="O1775" s="1300">
        <v>9500</v>
      </c>
      <c r="P1775" s="1300">
        <v>9500</v>
      </c>
      <c r="Q1775" s="1300">
        <v>9600</v>
      </c>
    </row>
    <row r="1776" spans="2:17" ht="29.25" customHeight="1" x14ac:dyDescent="0.2">
      <c r="B1776" s="1719" t="s">
        <v>2722</v>
      </c>
      <c r="C1776" s="1720"/>
      <c r="D1776" s="1720"/>
      <c r="E1776" s="1721"/>
      <c r="F1776" s="1688">
        <f>F1768+F1774</f>
        <v>42185</v>
      </c>
      <c r="G1776" s="1688">
        <f t="shared" ref="G1776:J1776" si="120">G1768+G1774</f>
        <v>55361.1</v>
      </c>
      <c r="H1776" s="1688">
        <f t="shared" si="120"/>
        <v>66327.8</v>
      </c>
      <c r="I1776" s="1688">
        <f t="shared" si="120"/>
        <v>66661.7</v>
      </c>
      <c r="J1776" s="1688">
        <f t="shared" si="120"/>
        <v>67209.600000000006</v>
      </c>
      <c r="K1776" s="1254"/>
      <c r="L1776" s="1255"/>
      <c r="M1776" s="702"/>
      <c r="N1776" s="702"/>
      <c r="O1776" s="702"/>
      <c r="P1776" s="702"/>
      <c r="Q1776" s="1192"/>
    </row>
    <row r="1777" spans="2:17" ht="29.25" customHeight="1" x14ac:dyDescent="0.2">
      <c r="B1777" s="1722" t="s">
        <v>2231</v>
      </c>
      <c r="C1777" s="1723"/>
      <c r="D1777" s="1723"/>
      <c r="E1777" s="1723"/>
      <c r="F1777" s="1723"/>
      <c r="G1777" s="1723"/>
      <c r="H1777" s="1723"/>
      <c r="I1777" s="1723"/>
      <c r="J1777" s="1723"/>
      <c r="K1777" s="1723"/>
      <c r="L1777" s="1723"/>
      <c r="M1777" s="1723"/>
      <c r="N1777" s="1723"/>
      <c r="O1777" s="1723"/>
      <c r="P1777" s="1723"/>
      <c r="Q1777" s="1724"/>
    </row>
    <row r="1778" spans="2:17" ht="84" customHeight="1" x14ac:dyDescent="0.2">
      <c r="B1778" s="1521" t="s">
        <v>111</v>
      </c>
      <c r="C1778" s="1522"/>
      <c r="D1778" s="1523"/>
      <c r="E1778" s="160" t="s">
        <v>2549</v>
      </c>
      <c r="F1778" s="1690">
        <v>3092.3</v>
      </c>
      <c r="G1778" s="1690">
        <v>3092.3</v>
      </c>
      <c r="H1778" s="1690">
        <f>H1779+H1780+H1781</f>
        <v>3092.3</v>
      </c>
      <c r="I1778" s="1690">
        <f>I1779+I1780+I1781</f>
        <v>3092.3</v>
      </c>
      <c r="J1778" s="1690">
        <f>J1779+J1780+J1781</f>
        <v>3092.3</v>
      </c>
      <c r="K1778" s="106"/>
      <c r="L1778" s="1524"/>
      <c r="M1778" s="923"/>
      <c r="N1778" s="1524"/>
      <c r="O1778" s="1524"/>
      <c r="P1778" s="1524"/>
      <c r="Q1778" s="1525"/>
    </row>
    <row r="1779" spans="2:17" ht="29.25" customHeight="1" x14ac:dyDescent="0.2">
      <c r="B1779" s="1526"/>
      <c r="C1779" s="1447" t="s">
        <v>114</v>
      </c>
      <c r="D1779" s="1447"/>
      <c r="E1779" s="1288" t="str">
        <f>'[3]приложение 3'!$B$5</f>
        <v xml:space="preserve">Жалпы жетекчиликти камсыз кылуу </v>
      </c>
      <c r="F1779" s="1675">
        <v>540</v>
      </c>
      <c r="G1779" s="1675">
        <v>691.8</v>
      </c>
      <c r="H1779" s="1675">
        <v>691.8</v>
      </c>
      <c r="I1779" s="1675">
        <v>691.8</v>
      </c>
      <c r="J1779" s="1675">
        <v>691.8</v>
      </c>
      <c r="K1779" s="921" t="s">
        <v>18</v>
      </c>
      <c r="L1779" s="923" t="s">
        <v>16</v>
      </c>
      <c r="M1779" s="923">
        <v>100</v>
      </c>
      <c r="N1779" s="923">
        <v>100</v>
      </c>
      <c r="O1779" s="923">
        <v>100</v>
      </c>
      <c r="P1779" s="923">
        <v>100</v>
      </c>
      <c r="Q1779" s="1291">
        <v>100</v>
      </c>
    </row>
    <row r="1780" spans="2:17" ht="29.25" customHeight="1" x14ac:dyDescent="0.2">
      <c r="B1780" s="1526"/>
      <c r="C1780" s="1447" t="s">
        <v>116</v>
      </c>
      <c r="D1780" s="1447"/>
      <c r="E1780" s="179" t="s">
        <v>2223</v>
      </c>
      <c r="F1780" s="1675">
        <v>2441.1999999999998</v>
      </c>
      <c r="G1780" s="1675">
        <v>487.3</v>
      </c>
      <c r="H1780" s="1675">
        <v>487.3</v>
      </c>
      <c r="I1780" s="1675">
        <v>487.3</v>
      </c>
      <c r="J1780" s="1675">
        <v>487.3</v>
      </c>
      <c r="K1780" s="921" t="s">
        <v>419</v>
      </c>
      <c r="L1780" s="22" t="s">
        <v>16</v>
      </c>
      <c r="M1780" s="1292">
        <v>100</v>
      </c>
      <c r="N1780" s="1292">
        <v>100</v>
      </c>
      <c r="O1780" s="1292">
        <v>100</v>
      </c>
      <c r="P1780" s="1292">
        <v>100</v>
      </c>
      <c r="Q1780" s="1293">
        <v>100</v>
      </c>
    </row>
    <row r="1781" spans="2:17" ht="29.25" customHeight="1" x14ac:dyDescent="0.2">
      <c r="B1781" s="1526"/>
      <c r="C1781" s="1447" t="s">
        <v>202</v>
      </c>
      <c r="D1781" s="1447"/>
      <c r="E1781" s="921" t="s">
        <v>2232</v>
      </c>
      <c r="F1781" s="1675">
        <v>111.1</v>
      </c>
      <c r="G1781" s="1675">
        <v>1913.2</v>
      </c>
      <c r="H1781" s="1675">
        <v>1913.2</v>
      </c>
      <c r="I1781" s="1675">
        <v>1913.2</v>
      </c>
      <c r="J1781" s="1675">
        <v>1913.2</v>
      </c>
      <c r="K1781" s="697" t="s">
        <v>2233</v>
      </c>
      <c r="L1781" s="22" t="s">
        <v>16</v>
      </c>
      <c r="M1781" s="1292">
        <v>100</v>
      </c>
      <c r="N1781" s="1292">
        <v>100</v>
      </c>
      <c r="O1781" s="1292">
        <v>100</v>
      </c>
      <c r="P1781" s="1292">
        <v>100</v>
      </c>
      <c r="Q1781" s="1293">
        <v>100</v>
      </c>
    </row>
    <row r="1782" spans="2:17" ht="29.25" customHeight="1" x14ac:dyDescent="0.2">
      <c r="B1782" s="1527" t="s">
        <v>131</v>
      </c>
      <c r="C1782" s="1522"/>
      <c r="D1782" s="1522"/>
      <c r="E1782" s="922" t="s">
        <v>3102</v>
      </c>
      <c r="F1782" s="1691">
        <v>10754.6</v>
      </c>
      <c r="G1782" s="1691">
        <f>G1783+G1784+G1785+G1786+G1787+G1788+G1789</f>
        <v>9147.7999999999993</v>
      </c>
      <c r="H1782" s="1691">
        <f>H1783+H1784+H1785+H1786+H1787+H1788+H1789</f>
        <v>11147.8</v>
      </c>
      <c r="I1782" s="1691">
        <f>I1783+I1784+I1785+I1786+I1787+I1788+I1789</f>
        <v>9382.0999999999985</v>
      </c>
      <c r="J1782" s="1691">
        <f>J1783+J1784+J1785+J1786+J1787+J1788+J1789</f>
        <v>9501.0999999999985</v>
      </c>
      <c r="K1782" s="561"/>
      <c r="L1782" s="680"/>
      <c r="M1782" s="1528"/>
      <c r="N1782" s="680"/>
      <c r="O1782" s="680"/>
      <c r="P1782" s="680"/>
      <c r="Q1782" s="1367"/>
    </row>
    <row r="1783" spans="2:17" ht="29.25" customHeight="1" x14ac:dyDescent="0.2">
      <c r="B1783" s="1529"/>
      <c r="C1783" s="1447" t="s">
        <v>114</v>
      </c>
      <c r="D1783" s="1447"/>
      <c r="E1783" s="921" t="s">
        <v>2234</v>
      </c>
      <c r="F1783" s="1675">
        <v>3000</v>
      </c>
      <c r="G1783" s="1675">
        <v>3086.4</v>
      </c>
      <c r="H1783" s="1675">
        <f>3086.4+1000+180</f>
        <v>4266.3999999999996</v>
      </c>
      <c r="I1783" s="1675">
        <v>3086.4</v>
      </c>
      <c r="J1783" s="1675">
        <v>3086.4</v>
      </c>
      <c r="K1783" s="697" t="s">
        <v>2235</v>
      </c>
      <c r="L1783" s="652" t="s">
        <v>122</v>
      </c>
      <c r="M1783" s="22">
        <v>50000</v>
      </c>
      <c r="N1783" s="22">
        <v>4000</v>
      </c>
      <c r="O1783" s="22">
        <v>30000</v>
      </c>
      <c r="P1783" s="22">
        <v>30000</v>
      </c>
      <c r="Q1783" s="926">
        <v>40000</v>
      </c>
    </row>
    <row r="1784" spans="2:17" ht="29.25" customHeight="1" x14ac:dyDescent="0.2">
      <c r="B1784" s="1529"/>
      <c r="C1784" s="1452" t="s">
        <v>116</v>
      </c>
      <c r="D1784" s="1452"/>
      <c r="E1784" s="921" t="s">
        <v>2236</v>
      </c>
      <c r="F1784" s="1675">
        <v>500</v>
      </c>
      <c r="G1784" s="1675">
        <v>1562.3</v>
      </c>
      <c r="H1784" s="1675">
        <f>1562.3+100</f>
        <v>1662.3</v>
      </c>
      <c r="I1784" s="1675">
        <v>1796.6</v>
      </c>
      <c r="J1784" s="1675">
        <v>1915.6</v>
      </c>
      <c r="K1784" s="1294" t="s">
        <v>2237</v>
      </c>
      <c r="L1784" s="652" t="s">
        <v>122</v>
      </c>
      <c r="M1784" s="416">
        <v>25000</v>
      </c>
      <c r="N1784" s="416">
        <v>0</v>
      </c>
      <c r="O1784" s="416">
        <v>0</v>
      </c>
      <c r="P1784" s="416">
        <v>0</v>
      </c>
      <c r="Q1784" s="1530">
        <v>0</v>
      </c>
    </row>
    <row r="1785" spans="2:17" ht="29.25" customHeight="1" x14ac:dyDescent="0.2">
      <c r="B1785" s="1529"/>
      <c r="C1785" s="1452" t="s">
        <v>119</v>
      </c>
      <c r="D1785" s="1452"/>
      <c r="E1785" s="930" t="s">
        <v>2238</v>
      </c>
      <c r="F1785" s="1675">
        <v>592</v>
      </c>
      <c r="G1785" s="1675">
        <v>1878.3</v>
      </c>
      <c r="H1785" s="1675">
        <f>1878.3+300</f>
        <v>2178.3000000000002</v>
      </c>
      <c r="I1785" s="1675">
        <v>1878.3</v>
      </c>
      <c r="J1785" s="1675">
        <v>1878.3</v>
      </c>
      <c r="K1785" s="1294" t="s">
        <v>2239</v>
      </c>
      <c r="L1785" s="652" t="s">
        <v>122</v>
      </c>
      <c r="M1785" s="431">
        <v>20000</v>
      </c>
      <c r="N1785" s="431">
        <v>30000</v>
      </c>
      <c r="O1785" s="431">
        <v>30000</v>
      </c>
      <c r="P1785" s="431">
        <v>30000</v>
      </c>
      <c r="Q1785" s="506">
        <v>40000</v>
      </c>
    </row>
    <row r="1786" spans="2:17" ht="29.25" customHeight="1" x14ac:dyDescent="0.2">
      <c r="B1786" s="1529"/>
      <c r="C1786" s="1452" t="s">
        <v>124</v>
      </c>
      <c r="D1786" s="1452"/>
      <c r="E1786" s="930" t="s">
        <v>2240</v>
      </c>
      <c r="F1786" s="1675">
        <v>500</v>
      </c>
      <c r="G1786" s="1675">
        <v>1272.5</v>
      </c>
      <c r="H1786" s="1675">
        <v>1272.5</v>
      </c>
      <c r="I1786" s="1675">
        <v>1272.5</v>
      </c>
      <c r="J1786" s="1675">
        <v>1272.5</v>
      </c>
      <c r="K1786" s="41" t="s">
        <v>2241</v>
      </c>
      <c r="L1786" s="652" t="s">
        <v>122</v>
      </c>
      <c r="M1786" s="965">
        <v>2</v>
      </c>
      <c r="N1786" s="965">
        <v>2</v>
      </c>
      <c r="O1786" s="965">
        <v>2</v>
      </c>
      <c r="P1786" s="965">
        <v>2</v>
      </c>
      <c r="Q1786" s="1531">
        <v>2</v>
      </c>
    </row>
    <row r="1787" spans="2:17" ht="29.25" customHeight="1" x14ac:dyDescent="0.2">
      <c r="B1787" s="1529"/>
      <c r="C1787" s="1452" t="s">
        <v>128</v>
      </c>
      <c r="D1787" s="1452"/>
      <c r="E1787" s="930" t="s">
        <v>2984</v>
      </c>
      <c r="F1787" s="1675">
        <v>300</v>
      </c>
      <c r="G1787" s="1675">
        <v>1172.5</v>
      </c>
      <c r="H1787" s="1675">
        <f>1172.5+120</f>
        <v>1292.5</v>
      </c>
      <c r="I1787" s="1675">
        <v>1172.5</v>
      </c>
      <c r="J1787" s="1675">
        <v>1172.5</v>
      </c>
      <c r="K1787" s="41" t="s">
        <v>2242</v>
      </c>
      <c r="L1787" s="22" t="s">
        <v>16</v>
      </c>
      <c r="M1787" s="695">
        <v>100</v>
      </c>
      <c r="N1787" s="695">
        <v>100</v>
      </c>
      <c r="O1787" s="695">
        <v>100</v>
      </c>
      <c r="P1787" s="695">
        <v>100</v>
      </c>
      <c r="Q1787" s="506">
        <v>100</v>
      </c>
    </row>
    <row r="1788" spans="2:17" ht="29.25" customHeight="1" x14ac:dyDescent="0.2">
      <c r="B1788" s="1529"/>
      <c r="C1788" s="1452" t="s">
        <v>202</v>
      </c>
      <c r="D1788" s="1452"/>
      <c r="E1788" s="921" t="s">
        <v>2243</v>
      </c>
      <c r="F1788" s="1675">
        <v>200</v>
      </c>
      <c r="G1788" s="1675">
        <v>0</v>
      </c>
      <c r="H1788" s="1675">
        <v>100</v>
      </c>
      <c r="I1788" s="1675">
        <v>0</v>
      </c>
      <c r="J1788" s="1675">
        <v>0</v>
      </c>
      <c r="K1788" s="42" t="s">
        <v>2235</v>
      </c>
      <c r="L1788" s="652" t="s">
        <v>122</v>
      </c>
      <c r="M1788" s="1532">
        <v>50000</v>
      </c>
      <c r="N1788" s="1532">
        <v>4000</v>
      </c>
      <c r="O1788" s="1532">
        <v>30000</v>
      </c>
      <c r="P1788" s="1532">
        <v>30000</v>
      </c>
      <c r="Q1788" s="1533">
        <v>40000</v>
      </c>
    </row>
    <row r="1789" spans="2:17" ht="29.25" customHeight="1" x14ac:dyDescent="0.2">
      <c r="B1789" s="927"/>
      <c r="C1789" s="1452" t="s">
        <v>149</v>
      </c>
      <c r="D1789" s="1452"/>
      <c r="E1789" s="921" t="s">
        <v>2244</v>
      </c>
      <c r="F1789" s="1675">
        <v>200</v>
      </c>
      <c r="G1789" s="1675">
        <v>175.8</v>
      </c>
      <c r="H1789" s="1675">
        <f>175.8+200</f>
        <v>375.8</v>
      </c>
      <c r="I1789" s="1675">
        <v>175.8</v>
      </c>
      <c r="J1789" s="1675">
        <v>175.8</v>
      </c>
      <c r="K1789" s="106" t="s">
        <v>2985</v>
      </c>
      <c r="L1789" s="436" t="s">
        <v>16</v>
      </c>
      <c r="M1789" s="743">
        <v>100</v>
      </c>
      <c r="N1789" s="743">
        <v>100</v>
      </c>
      <c r="O1789" s="743">
        <v>100</v>
      </c>
      <c r="P1789" s="743">
        <v>100</v>
      </c>
      <c r="Q1789" s="1534">
        <v>100</v>
      </c>
    </row>
    <row r="1790" spans="2:17" ht="29.25" customHeight="1" x14ac:dyDescent="0.2">
      <c r="B1790" s="1719" t="s">
        <v>2722</v>
      </c>
      <c r="C1790" s="1720"/>
      <c r="D1790" s="1720"/>
      <c r="E1790" s="1721"/>
      <c r="F1790" s="1688">
        <v>19046.900000000001</v>
      </c>
      <c r="G1790" s="1688">
        <f>G1782+G1778</f>
        <v>12240.099999999999</v>
      </c>
      <c r="H1790" s="1688">
        <f>H1782+H1778</f>
        <v>14240.099999999999</v>
      </c>
      <c r="I1790" s="1688">
        <f>I1778+I1782</f>
        <v>12474.399999999998</v>
      </c>
      <c r="J1790" s="1688">
        <f>J1782+J1778</f>
        <v>12593.399999999998</v>
      </c>
      <c r="K1790" s="1254"/>
      <c r="L1790" s="1255"/>
      <c r="M1790" s="702"/>
      <c r="N1790" s="702"/>
      <c r="O1790" s="702"/>
      <c r="P1790" s="702"/>
      <c r="Q1790" s="1192"/>
    </row>
    <row r="1791" spans="2:17" ht="29.25" customHeight="1" thickBot="1" x14ac:dyDescent="0.25">
      <c r="B1791" s="1722" t="s">
        <v>2245</v>
      </c>
      <c r="C1791" s="1723"/>
      <c r="D1791" s="1723"/>
      <c r="E1791" s="1723"/>
      <c r="F1791" s="1723"/>
      <c r="G1791" s="1723"/>
      <c r="H1791" s="1723"/>
      <c r="I1791" s="1723"/>
      <c r="J1791" s="1723"/>
      <c r="K1791" s="1723"/>
      <c r="L1791" s="1723"/>
      <c r="M1791" s="1723"/>
      <c r="N1791" s="1723"/>
      <c r="O1791" s="1723"/>
      <c r="P1791" s="1723"/>
      <c r="Q1791" s="1724"/>
    </row>
    <row r="1792" spans="2:17" ht="77.25" customHeight="1" x14ac:dyDescent="0.2">
      <c r="B1792" s="165">
        <v>1</v>
      </c>
      <c r="C1792" s="166"/>
      <c r="D1792" s="167"/>
      <c r="E1792" s="547" t="s">
        <v>3083</v>
      </c>
      <c r="F1792" s="1558">
        <f>F1793+F1794</f>
        <v>2520.8000000000002</v>
      </c>
      <c r="G1792" s="1558">
        <f>G1793+G1794</f>
        <v>6056.4000000000005</v>
      </c>
      <c r="H1792" s="1558">
        <f>H1793+H1794</f>
        <v>8303.8130000000001</v>
      </c>
      <c r="I1792" s="1558">
        <f t="shared" ref="I1792:J1792" si="121">I1793+I1794</f>
        <v>5096.8999999999996</v>
      </c>
      <c r="J1792" s="1558">
        <f t="shared" si="121"/>
        <v>5146.5999999999995</v>
      </c>
      <c r="K1792" s="168" t="s">
        <v>2246</v>
      </c>
      <c r="L1792" s="1287" t="s">
        <v>16</v>
      </c>
      <c r="M1792" s="1287">
        <v>100</v>
      </c>
      <c r="N1792" s="1287">
        <v>100</v>
      </c>
      <c r="O1792" s="1287">
        <v>100</v>
      </c>
      <c r="P1792" s="1287">
        <v>100</v>
      </c>
      <c r="Q1792" s="1287">
        <v>100</v>
      </c>
    </row>
    <row r="1793" spans="2:17" ht="29.25" customHeight="1" x14ac:dyDescent="0.2">
      <c r="B1793" s="548"/>
      <c r="C1793" s="1535" t="s">
        <v>116</v>
      </c>
      <c r="D1793" s="1295"/>
      <c r="E1793" s="979" t="s">
        <v>1971</v>
      </c>
      <c r="F1793" s="1559">
        <v>1977.6</v>
      </c>
      <c r="G1793" s="1559">
        <f>864.6+149.2+2200+155.3+48.5+1532.3</f>
        <v>4949.9000000000005</v>
      </c>
      <c r="H1793" s="1559">
        <f>1973.6+340.5+1479+111.4+87.9+150.1+1898.4+299.447+13.605+330</f>
        <v>6683.9519999999993</v>
      </c>
      <c r="I1793" s="1559">
        <f>2007.8+346.4+1504.6+120.8+89.6+152.9</f>
        <v>4222.0999999999995</v>
      </c>
      <c r="J1793" s="1559">
        <f>2027+349.7+1520.6+121.2+90.4+154.4</f>
        <v>4263.2999999999993</v>
      </c>
      <c r="K1793" s="290" t="s">
        <v>2224</v>
      </c>
      <c r="L1793" s="175" t="s">
        <v>16</v>
      </c>
      <c r="M1793" s="175">
        <v>73</v>
      </c>
      <c r="N1793" s="175">
        <v>78</v>
      </c>
      <c r="O1793" s="175">
        <v>80</v>
      </c>
      <c r="P1793" s="175">
        <v>79</v>
      </c>
      <c r="Q1793" s="175">
        <v>79</v>
      </c>
    </row>
    <row r="1794" spans="2:17" ht="29.25" customHeight="1" x14ac:dyDescent="0.2">
      <c r="B1794" s="548"/>
      <c r="C1794" s="1535" t="s">
        <v>119</v>
      </c>
      <c r="D1794" s="1296"/>
      <c r="E1794" s="979" t="s">
        <v>117</v>
      </c>
      <c r="F1794" s="1560">
        <v>543.20000000000005</v>
      </c>
      <c r="G1794" s="1560">
        <f>331.5+57.2+650+51.7+16.1</f>
        <v>1106.5</v>
      </c>
      <c r="H1794" s="1560">
        <f>251.2+43.3+435.7+37.1+29.3+50+559+99.726+4.535+110</f>
        <v>1619.8610000000001</v>
      </c>
      <c r="I1794" s="1560">
        <f>253.9+43.8+455.9+40.3+29.9+51</f>
        <v>874.79999999999984</v>
      </c>
      <c r="J1794" s="1559">
        <f>256.3+44.2+460.8+40.4+30.1+51.5</f>
        <v>883.3</v>
      </c>
      <c r="K1794" s="1290" t="s">
        <v>2224</v>
      </c>
      <c r="L1794" s="175" t="s">
        <v>16</v>
      </c>
      <c r="M1794" s="1297">
        <v>27</v>
      </c>
      <c r="N1794" s="1297">
        <v>22</v>
      </c>
      <c r="O1794" s="1297">
        <v>20</v>
      </c>
      <c r="P1794" s="1297">
        <v>21</v>
      </c>
      <c r="Q1794" s="1297">
        <v>21</v>
      </c>
    </row>
    <row r="1795" spans="2:17" ht="29.25" customHeight="1" x14ac:dyDescent="0.2">
      <c r="B1795" s="1725" t="s">
        <v>131</v>
      </c>
      <c r="C1795" s="1727"/>
      <c r="D1795" s="1729"/>
      <c r="E1795" s="1731" t="s">
        <v>3103</v>
      </c>
      <c r="F1795" s="1733">
        <v>11864.7</v>
      </c>
      <c r="G1795" s="1733">
        <f>G1797</f>
        <v>18030.3</v>
      </c>
      <c r="H1795" s="1733">
        <f>H1797</f>
        <v>27625.286999999997</v>
      </c>
      <c r="I1795" s="1733">
        <f t="shared" ref="I1795:J1795" si="122">I1797</f>
        <v>15417.500000000002</v>
      </c>
      <c r="J1795" s="1733">
        <f t="shared" si="122"/>
        <v>15563.5</v>
      </c>
      <c r="K1795" s="1695" t="s">
        <v>2224</v>
      </c>
      <c r="L1795" s="1697" t="s">
        <v>16</v>
      </c>
      <c r="M1795" s="1536">
        <v>100</v>
      </c>
      <c r="N1795" s="1536">
        <v>100</v>
      </c>
      <c r="O1795" s="1536">
        <v>100</v>
      </c>
      <c r="P1795" s="1536">
        <v>100</v>
      </c>
      <c r="Q1795" s="1536">
        <v>100</v>
      </c>
    </row>
    <row r="1796" spans="2:17" ht="71.25" customHeight="1" x14ac:dyDescent="0.2">
      <c r="B1796" s="1726"/>
      <c r="C1796" s="1728"/>
      <c r="D1796" s="1730"/>
      <c r="E1796" s="1732"/>
      <c r="F1796" s="1734"/>
      <c r="G1796" s="1734"/>
      <c r="H1796" s="1734"/>
      <c r="I1796" s="1734"/>
      <c r="J1796" s="1734"/>
      <c r="K1796" s="1696"/>
      <c r="L1796" s="1698"/>
      <c r="M1796" s="1298"/>
      <c r="N1796" s="1298"/>
      <c r="O1796" s="1298"/>
      <c r="P1796" s="1298"/>
      <c r="Q1796" s="1298"/>
    </row>
    <row r="1797" spans="2:17" ht="29.25" customHeight="1" x14ac:dyDescent="0.2">
      <c r="B1797" s="1725"/>
      <c r="C1797" s="2428" t="s">
        <v>114</v>
      </c>
      <c r="D1797" s="1729"/>
      <c r="E1797" s="2430" t="s">
        <v>2247</v>
      </c>
      <c r="F1797" s="2431">
        <v>11864.7</v>
      </c>
      <c r="G1797" s="2432">
        <v>18030.3</v>
      </c>
      <c r="H1797" s="2432">
        <f>5325.9+918.7+7032.7+593.9+468.8+800+8556.3+2096.427+72.56+1760</f>
        <v>27625.286999999997</v>
      </c>
      <c r="I1797" s="2432">
        <f>5431.2+936.9+7112.1+644.1+477.7+815.5</f>
        <v>15417.500000000002</v>
      </c>
      <c r="J1797" s="1694">
        <f>5483+945.8+7182.8+646.2+482.3+823.4</f>
        <v>15563.5</v>
      </c>
      <c r="K1797" s="1695" t="s">
        <v>2224</v>
      </c>
      <c r="L1797" s="1697" t="s">
        <v>16</v>
      </c>
      <c r="M1797" s="1299">
        <v>100</v>
      </c>
      <c r="N1797" s="1299">
        <v>100</v>
      </c>
      <c r="O1797" s="1299">
        <v>100</v>
      </c>
      <c r="P1797" s="1299">
        <v>100</v>
      </c>
      <c r="Q1797" s="1299">
        <v>100</v>
      </c>
    </row>
    <row r="1798" spans="2:17" ht="29.25" customHeight="1" x14ac:dyDescent="0.2">
      <c r="B1798" s="1726"/>
      <c r="C1798" s="2429"/>
      <c r="D1798" s="1730"/>
      <c r="E1798" s="2430"/>
      <c r="F1798" s="1734"/>
      <c r="G1798" s="2433"/>
      <c r="H1798" s="2433"/>
      <c r="I1798" s="2433"/>
      <c r="J1798" s="1694"/>
      <c r="K1798" s="1696"/>
      <c r="L1798" s="1698"/>
      <c r="M1798" s="742"/>
      <c r="N1798" s="742"/>
      <c r="O1798" s="742"/>
      <c r="P1798" s="742"/>
      <c r="Q1798" s="742"/>
    </row>
    <row r="1799" spans="2:17" ht="29.25" customHeight="1" x14ac:dyDescent="0.2">
      <c r="B1799" s="1699" t="s">
        <v>3104</v>
      </c>
      <c r="C1799" s="1700"/>
      <c r="D1799" s="1700"/>
      <c r="E1799" s="1700"/>
      <c r="F1799" s="1688">
        <v>14385.5</v>
      </c>
      <c r="G1799" s="1688">
        <f>G1792+G1795</f>
        <v>24086.7</v>
      </c>
      <c r="H1799" s="1688">
        <f>H1792+H1795</f>
        <v>35929.1</v>
      </c>
      <c r="I1799" s="1688">
        <f t="shared" ref="I1799:J1799" si="123">I1792+I1795</f>
        <v>20514.400000000001</v>
      </c>
      <c r="J1799" s="1688">
        <f t="shared" si="123"/>
        <v>20710.099999999999</v>
      </c>
      <c r="K1799" s="1254"/>
      <c r="L1799" s="1255"/>
      <c r="M1799" s="702"/>
      <c r="N1799" s="702"/>
      <c r="O1799" s="702"/>
      <c r="P1799" s="702"/>
      <c r="Q1799" s="1192"/>
    </row>
  </sheetData>
  <mergeCells count="2210">
    <mergeCell ref="J956:J957"/>
    <mergeCell ref="C969:C971"/>
    <mergeCell ref="D969:D971"/>
    <mergeCell ref="G969:G971"/>
    <mergeCell ref="H969:H971"/>
    <mergeCell ref="I969:I971"/>
    <mergeCell ref="E1083:E1084"/>
    <mergeCell ref="B1083:B1084"/>
    <mergeCell ref="C1083:C1084"/>
    <mergeCell ref="D1083:D1084"/>
    <mergeCell ref="E1025:E1026"/>
    <mergeCell ref="C587:C588"/>
    <mergeCell ref="D587:D588"/>
    <mergeCell ref="B728:J728"/>
    <mergeCell ref="C564:C566"/>
    <mergeCell ref="D564:D566"/>
    <mergeCell ref="C569:C570"/>
    <mergeCell ref="D569:D570"/>
    <mergeCell ref="D576:D577"/>
    <mergeCell ref="D582:D586"/>
    <mergeCell ref="B679:B681"/>
    <mergeCell ref="C679:C681"/>
    <mergeCell ref="D679:D681"/>
    <mergeCell ref="E679:E681"/>
    <mergeCell ref="B677:B678"/>
    <mergeCell ref="C677:C678"/>
    <mergeCell ref="D677:D678"/>
    <mergeCell ref="E677:E678"/>
    <mergeCell ref="B1628:E1628"/>
    <mergeCell ref="B1629:Q1629"/>
    <mergeCell ref="B1642:E1642"/>
    <mergeCell ref="B1643:Q1643"/>
    <mergeCell ref="B1648:B1649"/>
    <mergeCell ref="C1648:C1649"/>
    <mergeCell ref="D1648:D1649"/>
    <mergeCell ref="E1648:E1649"/>
    <mergeCell ref="B1680:E1680"/>
    <mergeCell ref="B1704:B1705"/>
    <mergeCell ref="C1704:C1705"/>
    <mergeCell ref="D1704:D1705"/>
    <mergeCell ref="E1704:E1705"/>
    <mergeCell ref="F1704:F1705"/>
    <mergeCell ref="G1704:G1705"/>
    <mergeCell ref="N1704:N1705"/>
    <mergeCell ref="O1704:O1705"/>
    <mergeCell ref="P1704:P1705"/>
    <mergeCell ref="K1704:K1705"/>
    <mergeCell ref="L1704:L1705"/>
    <mergeCell ref="B1797:B1798"/>
    <mergeCell ref="C1797:C1798"/>
    <mergeCell ref="D1797:D1798"/>
    <mergeCell ref="E1797:E1798"/>
    <mergeCell ref="F1797:F1798"/>
    <mergeCell ref="G1797:G1798"/>
    <mergeCell ref="H1797:H1798"/>
    <mergeCell ref="I1797:I1798"/>
    <mergeCell ref="I1186:I1189"/>
    <mergeCell ref="B1199:B1201"/>
    <mergeCell ref="C1199:C1201"/>
    <mergeCell ref="D1199:D1201"/>
    <mergeCell ref="E1199:E1201"/>
    <mergeCell ref="H1199:H1201"/>
    <mergeCell ref="I1199:I1201"/>
    <mergeCell ref="B1194:B1197"/>
    <mergeCell ref="C1194:C1197"/>
    <mergeCell ref="D1194:D1197"/>
    <mergeCell ref="E1194:E1197"/>
    <mergeCell ref="H1194:H1197"/>
    <mergeCell ref="I1194:I1197"/>
    <mergeCell ref="B1190:B1193"/>
    <mergeCell ref="C1190:C1193"/>
    <mergeCell ref="D1190:D1193"/>
    <mergeCell ref="E1190:E1193"/>
    <mergeCell ref="H1190:H1193"/>
    <mergeCell ref="I1190:I1193"/>
    <mergeCell ref="B1186:B1189"/>
    <mergeCell ref="C1186:C1189"/>
    <mergeCell ref="D1186:D1189"/>
    <mergeCell ref="E1186:E1189"/>
    <mergeCell ref="H1186:H1189"/>
    <mergeCell ref="B1486:B1487"/>
    <mergeCell ref="C1486:C1487"/>
    <mergeCell ref="D1486:D1487"/>
    <mergeCell ref="E1486:E1487"/>
    <mergeCell ref="F1486:F1487"/>
    <mergeCell ref="B1526:B1527"/>
    <mergeCell ref="C1526:C1527"/>
    <mergeCell ref="D1526:D1527"/>
    <mergeCell ref="E1526:E1527"/>
    <mergeCell ref="H1526:H1527"/>
    <mergeCell ref="I1526:I1527"/>
    <mergeCell ref="J1526:J1527"/>
    <mergeCell ref="K1526:K1527"/>
    <mergeCell ref="L1526:L1527"/>
    <mergeCell ref="M1526:M1527"/>
    <mergeCell ref="N1526:N1527"/>
    <mergeCell ref="O1526:O1527"/>
    <mergeCell ref="E1343:E1344"/>
    <mergeCell ref="F1343:F1344"/>
    <mergeCell ref="G1343:G1344"/>
    <mergeCell ref="H1343:H1344"/>
    <mergeCell ref="I1343:I1344"/>
    <mergeCell ref="B1346:E1346"/>
    <mergeCell ref="J1343:J1344"/>
    <mergeCell ref="I1427:I1428"/>
    <mergeCell ref="B1427:B1428"/>
    <mergeCell ref="C1427:C1428"/>
    <mergeCell ref="D1427:D1428"/>
    <mergeCell ref="G1427:G1428"/>
    <mergeCell ref="H1427:H1428"/>
    <mergeCell ref="E1427:E1428"/>
    <mergeCell ref="B1458:E1458"/>
    <mergeCell ref="B1484:B1485"/>
    <mergeCell ref="C1484:C1485"/>
    <mergeCell ref="D1484:D1485"/>
    <mergeCell ref="E1484:E1485"/>
    <mergeCell ref="F1484:F1485"/>
    <mergeCell ref="G1484:G1485"/>
    <mergeCell ref="H1484:H1485"/>
    <mergeCell ref="I1484:I1485"/>
    <mergeCell ref="E1437:E1438"/>
    <mergeCell ref="C1429:C1431"/>
    <mergeCell ref="E1429:E1431"/>
    <mergeCell ref="F1429:F1433"/>
    <mergeCell ref="G1429:G1433"/>
    <mergeCell ref="H1429:H1433"/>
    <mergeCell ref="I1429:I1433"/>
    <mergeCell ref="C1432:C1433"/>
    <mergeCell ref="E1432:E1433"/>
    <mergeCell ref="B1293:B1295"/>
    <mergeCell ref="C1293:C1295"/>
    <mergeCell ref="D1293:D1295"/>
    <mergeCell ref="B1302:B1304"/>
    <mergeCell ref="C1302:C1304"/>
    <mergeCell ref="D1302:D1304"/>
    <mergeCell ref="E1302:E1304"/>
    <mergeCell ref="F1302:F1304"/>
    <mergeCell ref="G1302:G1304"/>
    <mergeCell ref="H1302:H1304"/>
    <mergeCell ref="I1302:I1304"/>
    <mergeCell ref="B1305:E1305"/>
    <mergeCell ref="B1316:B1317"/>
    <mergeCell ref="C1316:C1317"/>
    <mergeCell ref="D1316:D1317"/>
    <mergeCell ref="E1316:E1317"/>
    <mergeCell ref="B1341:B1342"/>
    <mergeCell ref="C1341:C1342"/>
    <mergeCell ref="D1341:D1342"/>
    <mergeCell ref="B1279:B1281"/>
    <mergeCell ref="C1279:C1281"/>
    <mergeCell ref="D1279:D1281"/>
    <mergeCell ref="E1279:E1281"/>
    <mergeCell ref="F1279:F1281"/>
    <mergeCell ref="G1279:G1281"/>
    <mergeCell ref="H1279:H1281"/>
    <mergeCell ref="I1279:I1281"/>
    <mergeCell ref="B1285:B1287"/>
    <mergeCell ref="C1285:C1287"/>
    <mergeCell ref="D1285:D1287"/>
    <mergeCell ref="E1285:E1287"/>
    <mergeCell ref="F1285:F1287"/>
    <mergeCell ref="G1285:G1287"/>
    <mergeCell ref="H1285:H1287"/>
    <mergeCell ref="I1285:I1287"/>
    <mergeCell ref="E1291:E1292"/>
    <mergeCell ref="B1289:B1292"/>
    <mergeCell ref="C1289:C1292"/>
    <mergeCell ref="D1289:D1292"/>
    <mergeCell ref="E1289:E1290"/>
    <mergeCell ref="F1289:F1292"/>
    <mergeCell ref="G1289:G1292"/>
    <mergeCell ref="H1289:H1292"/>
    <mergeCell ref="I1289:I1292"/>
    <mergeCell ref="B1157:B1161"/>
    <mergeCell ref="C1157:C1161"/>
    <mergeCell ref="D1157:D1161"/>
    <mergeCell ref="E1157:E1161"/>
    <mergeCell ref="F1157:F1161"/>
    <mergeCell ref="G1157:G1161"/>
    <mergeCell ref="H1157:H1161"/>
    <mergeCell ref="I1157:I1161"/>
    <mergeCell ref="G1190:G1193"/>
    <mergeCell ref="G1194:G1197"/>
    <mergeCell ref="G1186:G1189"/>
    <mergeCell ref="B1202:B1207"/>
    <mergeCell ref="C1202:C1207"/>
    <mergeCell ref="D1202:D1207"/>
    <mergeCell ref="B1222:B1228"/>
    <mergeCell ref="C1222:C1228"/>
    <mergeCell ref="D1222:D1228"/>
    <mergeCell ref="E1222:E1228"/>
    <mergeCell ref="F1222:F1228"/>
    <mergeCell ref="G1222:G1228"/>
    <mergeCell ref="H1222:H1228"/>
    <mergeCell ref="G1199:G1201"/>
    <mergeCell ref="B1091:B1092"/>
    <mergeCell ref="D1091:D1092"/>
    <mergeCell ref="E1091:E1092"/>
    <mergeCell ref="F1091:F1092"/>
    <mergeCell ref="G1091:G1092"/>
    <mergeCell ref="H1091:H1092"/>
    <mergeCell ref="I1091:I1092"/>
    <mergeCell ref="A1089:E1089"/>
    <mergeCell ref="C1091:C1092"/>
    <mergeCell ref="B1093:B1095"/>
    <mergeCell ref="C1093:C1095"/>
    <mergeCell ref="D1093:D1095"/>
    <mergeCell ref="E1093:E1095"/>
    <mergeCell ref="B1123:E1123"/>
    <mergeCell ref="B1148:B1149"/>
    <mergeCell ref="C1148:C1149"/>
    <mergeCell ref="D1148:D1149"/>
    <mergeCell ref="E1148:E1149"/>
    <mergeCell ref="F1148:F1149"/>
    <mergeCell ref="G1148:G1149"/>
    <mergeCell ref="H1148:H1149"/>
    <mergeCell ref="H867:H869"/>
    <mergeCell ref="I867:I869"/>
    <mergeCell ref="B873:B876"/>
    <mergeCell ref="C873:C876"/>
    <mergeCell ref="D873:D876"/>
    <mergeCell ref="E873:E876"/>
    <mergeCell ref="F873:F876"/>
    <mergeCell ref="G873:G876"/>
    <mergeCell ref="H873:H876"/>
    <mergeCell ref="I873:I876"/>
    <mergeCell ref="B877:B878"/>
    <mergeCell ref="C877:C878"/>
    <mergeCell ref="D877:D878"/>
    <mergeCell ref="E877:E878"/>
    <mergeCell ref="F877:F878"/>
    <mergeCell ref="G877:G878"/>
    <mergeCell ref="B897:B899"/>
    <mergeCell ref="C897:C899"/>
    <mergeCell ref="D897:D899"/>
    <mergeCell ref="E897:E899"/>
    <mergeCell ref="B838:B843"/>
    <mergeCell ref="C838:C843"/>
    <mergeCell ref="D838:D843"/>
    <mergeCell ref="E838:E843"/>
    <mergeCell ref="F838:F843"/>
    <mergeCell ref="G838:G843"/>
    <mergeCell ref="H838:H843"/>
    <mergeCell ref="I838:I843"/>
    <mergeCell ref="B846:B850"/>
    <mergeCell ref="C846:C850"/>
    <mergeCell ref="D846:D850"/>
    <mergeCell ref="E846:E850"/>
    <mergeCell ref="F846:F850"/>
    <mergeCell ref="G846:G850"/>
    <mergeCell ref="H846:H850"/>
    <mergeCell ref="I846:I850"/>
    <mergeCell ref="B852:B857"/>
    <mergeCell ref="C852:C857"/>
    <mergeCell ref="D852:D857"/>
    <mergeCell ref="E852:E857"/>
    <mergeCell ref="F852:F857"/>
    <mergeCell ref="G852:G857"/>
    <mergeCell ref="H852:H857"/>
    <mergeCell ref="I852:I857"/>
    <mergeCell ref="A803:E803"/>
    <mergeCell ref="B779:B780"/>
    <mergeCell ref="C779:C780"/>
    <mergeCell ref="D779:D780"/>
    <mergeCell ref="H779:H780"/>
    <mergeCell ref="B777:B778"/>
    <mergeCell ref="C777:C778"/>
    <mergeCell ref="D777:D778"/>
    <mergeCell ref="H777:H778"/>
    <mergeCell ref="B773:B776"/>
    <mergeCell ref="C773:C776"/>
    <mergeCell ref="D773:D776"/>
    <mergeCell ref="J779:J780"/>
    <mergeCell ref="G810:G818"/>
    <mergeCell ref="H810:H818"/>
    <mergeCell ref="I810:I818"/>
    <mergeCell ref="J810:J818"/>
    <mergeCell ref="E806:E807"/>
    <mergeCell ref="B808:E808"/>
    <mergeCell ref="B810:B818"/>
    <mergeCell ref="C810:C818"/>
    <mergeCell ref="D810:D818"/>
    <mergeCell ref="E810:E818"/>
    <mergeCell ref="B769:B770"/>
    <mergeCell ref="C769:C770"/>
    <mergeCell ref="D769:D770"/>
    <mergeCell ref="B764:B765"/>
    <mergeCell ref="C764:C765"/>
    <mergeCell ref="D764:D765"/>
    <mergeCell ref="E764:E765"/>
    <mergeCell ref="B760:B762"/>
    <mergeCell ref="C760:C762"/>
    <mergeCell ref="D760:D762"/>
    <mergeCell ref="E760:E762"/>
    <mergeCell ref="B757:B759"/>
    <mergeCell ref="C757:C759"/>
    <mergeCell ref="D757:D759"/>
    <mergeCell ref="E757:E759"/>
    <mergeCell ref="A784:E784"/>
    <mergeCell ref="B785:K785"/>
    <mergeCell ref="B754:B756"/>
    <mergeCell ref="C754:C756"/>
    <mergeCell ref="D754:D756"/>
    <mergeCell ref="E754:E756"/>
    <mergeCell ref="B752:B753"/>
    <mergeCell ref="C752:C753"/>
    <mergeCell ref="D752:D753"/>
    <mergeCell ref="B750:B751"/>
    <mergeCell ref="C750:C751"/>
    <mergeCell ref="D750:D751"/>
    <mergeCell ref="E750:E751"/>
    <mergeCell ref="B745:B746"/>
    <mergeCell ref="C745:C746"/>
    <mergeCell ref="D745:D746"/>
    <mergeCell ref="H745:H746"/>
    <mergeCell ref="B742:B743"/>
    <mergeCell ref="C742:C743"/>
    <mergeCell ref="D742:D743"/>
    <mergeCell ref="E742:E743"/>
    <mergeCell ref="E745:E746"/>
    <mergeCell ref="E752:E753"/>
    <mergeCell ref="H750:H751"/>
    <mergeCell ref="B738:B741"/>
    <mergeCell ref="C738:C741"/>
    <mergeCell ref="D738:D741"/>
    <mergeCell ref="A727:E727"/>
    <mergeCell ref="B735:B737"/>
    <mergeCell ref="C735:C737"/>
    <mergeCell ref="D735:D737"/>
    <mergeCell ref="E735:E737"/>
    <mergeCell ref="A720:A721"/>
    <mergeCell ref="C720:C721"/>
    <mergeCell ref="E720:E721"/>
    <mergeCell ref="A722:A723"/>
    <mergeCell ref="C722:C723"/>
    <mergeCell ref="E722:E723"/>
    <mergeCell ref="A707:A708"/>
    <mergeCell ref="C707:C708"/>
    <mergeCell ref="E707:E708"/>
    <mergeCell ref="A709:A719"/>
    <mergeCell ref="C709:C719"/>
    <mergeCell ref="E709:E719"/>
    <mergeCell ref="E738:E741"/>
    <mergeCell ref="A699:A700"/>
    <mergeCell ref="C699:C700"/>
    <mergeCell ref="E699:E700"/>
    <mergeCell ref="A701:A703"/>
    <mergeCell ref="C701:C703"/>
    <mergeCell ref="E701:E703"/>
    <mergeCell ref="A692:E692"/>
    <mergeCell ref="A693:Q693"/>
    <mergeCell ref="A696:A697"/>
    <mergeCell ref="C696:C697"/>
    <mergeCell ref="E696:E697"/>
    <mergeCell ref="B685:B688"/>
    <mergeCell ref="C685:C688"/>
    <mergeCell ref="D685:D688"/>
    <mergeCell ref="E685:E688"/>
    <mergeCell ref="B683:B684"/>
    <mergeCell ref="C683:C684"/>
    <mergeCell ref="D683:D684"/>
    <mergeCell ref="E683:E684"/>
    <mergeCell ref="B696:B697"/>
    <mergeCell ref="D696:D697"/>
    <mergeCell ref="D699:D700"/>
    <mergeCell ref="B701:B703"/>
    <mergeCell ref="D701:D703"/>
    <mergeCell ref="B675:B676"/>
    <mergeCell ref="C675:C676"/>
    <mergeCell ref="D675:D676"/>
    <mergeCell ref="E675:E676"/>
    <mergeCell ref="B671:B672"/>
    <mergeCell ref="C671:C672"/>
    <mergeCell ref="D671:D672"/>
    <mergeCell ref="E671:E672"/>
    <mergeCell ref="B663:B667"/>
    <mergeCell ref="C663:C667"/>
    <mergeCell ref="D663:D667"/>
    <mergeCell ref="E663:E667"/>
    <mergeCell ref="B660:B661"/>
    <mergeCell ref="C660:C661"/>
    <mergeCell ref="D660:D661"/>
    <mergeCell ref="E660:E661"/>
    <mergeCell ref="B657:B659"/>
    <mergeCell ref="C657:C659"/>
    <mergeCell ref="D657:D659"/>
    <mergeCell ref="E657:E659"/>
    <mergeCell ref="A640:Q640"/>
    <mergeCell ref="A645:E645"/>
    <mergeCell ref="A646:Q646"/>
    <mergeCell ref="B648:B655"/>
    <mergeCell ref="C648:C655"/>
    <mergeCell ref="D648:D655"/>
    <mergeCell ref="E648:E655"/>
    <mergeCell ref="P611:P612"/>
    <mergeCell ref="Q611:Q612"/>
    <mergeCell ref="B613:E613"/>
    <mergeCell ref="A614:Q614"/>
    <mergeCell ref="A639:E639"/>
    <mergeCell ref="L639:Q639"/>
    <mergeCell ref="J611:J612"/>
    <mergeCell ref="K611:K612"/>
    <mergeCell ref="L611:L612"/>
    <mergeCell ref="M611:M612"/>
    <mergeCell ref="N611:N612"/>
    <mergeCell ref="O611:O612"/>
    <mergeCell ref="B602:B603"/>
    <mergeCell ref="C602:C603"/>
    <mergeCell ref="D602:D603"/>
    <mergeCell ref="E602:E603"/>
    <mergeCell ref="D589:D590"/>
    <mergeCell ref="B611:B612"/>
    <mergeCell ref="C611:C612"/>
    <mergeCell ref="D611:D612"/>
    <mergeCell ref="E611:E612"/>
    <mergeCell ref="F611:F612"/>
    <mergeCell ref="G611:G612"/>
    <mergeCell ref="H611:H612"/>
    <mergeCell ref="I611:I612"/>
    <mergeCell ref="I607:I608"/>
    <mergeCell ref="J607:J608"/>
    <mergeCell ref="B609:B610"/>
    <mergeCell ref="C609:C610"/>
    <mergeCell ref="D609:D610"/>
    <mergeCell ref="E609:E610"/>
    <mergeCell ref="I609:I610"/>
    <mergeCell ref="J609:J610"/>
    <mergeCell ref="A555:Q555"/>
    <mergeCell ref="D558:D559"/>
    <mergeCell ref="J513:J514"/>
    <mergeCell ref="K518:O518"/>
    <mergeCell ref="K519:O519"/>
    <mergeCell ref="B548:Q548"/>
    <mergeCell ref="A554:E554"/>
    <mergeCell ref="K554:Q554"/>
    <mergeCell ref="J496:J500"/>
    <mergeCell ref="B513:B514"/>
    <mergeCell ref="C513:C514"/>
    <mergeCell ref="D513:D514"/>
    <mergeCell ref="E513:E514"/>
    <mergeCell ref="F513:F514"/>
    <mergeCell ref="G513:G514"/>
    <mergeCell ref="H513:H514"/>
    <mergeCell ref="I513:I514"/>
    <mergeCell ref="L493:L495"/>
    <mergeCell ref="B496:B500"/>
    <mergeCell ref="C496:C500"/>
    <mergeCell ref="D496:D500"/>
    <mergeCell ref="E496:E500"/>
    <mergeCell ref="F496:F500"/>
    <mergeCell ref="G496:G500"/>
    <mergeCell ref="H496:H500"/>
    <mergeCell ref="I496:I500"/>
    <mergeCell ref="G480:G483"/>
    <mergeCell ref="H480:H483"/>
    <mergeCell ref="I480:I483"/>
    <mergeCell ref="J480:J483"/>
    <mergeCell ref="B491:B493"/>
    <mergeCell ref="C491:C493"/>
    <mergeCell ref="D491:D493"/>
    <mergeCell ref="E491:E495"/>
    <mergeCell ref="G477:G479"/>
    <mergeCell ref="H477:H479"/>
    <mergeCell ref="I477:I479"/>
    <mergeCell ref="J477:J479"/>
    <mergeCell ref="B480:B483"/>
    <mergeCell ref="C480:C483"/>
    <mergeCell ref="D480:D483"/>
    <mergeCell ref="E480:E483"/>
    <mergeCell ref="F480:F483"/>
    <mergeCell ref="G475:G476"/>
    <mergeCell ref="H475:H476"/>
    <mergeCell ref="I475:I476"/>
    <mergeCell ref="J475:J476"/>
    <mergeCell ref="B477:B479"/>
    <mergeCell ref="C477:C479"/>
    <mergeCell ref="D477:D479"/>
    <mergeCell ref="E477:E479"/>
    <mergeCell ref="F477:F479"/>
    <mergeCell ref="B475:B476"/>
    <mergeCell ref="C475:C476"/>
    <mergeCell ref="D475:D476"/>
    <mergeCell ref="E475:E476"/>
    <mergeCell ref="F475:F476"/>
    <mergeCell ref="G467:G469"/>
    <mergeCell ref="H467:H469"/>
    <mergeCell ref="I467:I469"/>
    <mergeCell ref="J467:J469"/>
    <mergeCell ref="B471:B473"/>
    <mergeCell ref="C471:C473"/>
    <mergeCell ref="D471:D473"/>
    <mergeCell ref="E471:E474"/>
    <mergeCell ref="G464:G465"/>
    <mergeCell ref="H464:H465"/>
    <mergeCell ref="I464:I465"/>
    <mergeCell ref="J464:J465"/>
    <mergeCell ref="B467:B469"/>
    <mergeCell ref="C467:C469"/>
    <mergeCell ref="D467:D469"/>
    <mergeCell ref="E467:E469"/>
    <mergeCell ref="F467:F469"/>
    <mergeCell ref="G460:G462"/>
    <mergeCell ref="H460:H462"/>
    <mergeCell ref="I460:I462"/>
    <mergeCell ref="J460:J462"/>
    <mergeCell ref="B464:B465"/>
    <mergeCell ref="C464:C465"/>
    <mergeCell ref="D464:D465"/>
    <mergeCell ref="E464:E465"/>
    <mergeCell ref="F464:F465"/>
    <mergeCell ref="G457:G458"/>
    <mergeCell ref="H457:H458"/>
    <mergeCell ref="I457:I458"/>
    <mergeCell ref="J457:J458"/>
    <mergeCell ref="B460:B462"/>
    <mergeCell ref="C460:C462"/>
    <mergeCell ref="D460:D462"/>
    <mergeCell ref="E460:E462"/>
    <mergeCell ref="F460:F462"/>
    <mergeCell ref="B457:B458"/>
    <mergeCell ref="C457:C458"/>
    <mergeCell ref="D457:D458"/>
    <mergeCell ref="E457:E458"/>
    <mergeCell ref="F457:F458"/>
    <mergeCell ref="A449:E449"/>
    <mergeCell ref="B450:J450"/>
    <mergeCell ref="B451:J451"/>
    <mergeCell ref="B452:B453"/>
    <mergeCell ref="C452:C453"/>
    <mergeCell ref="D452:D453"/>
    <mergeCell ref="E452:E453"/>
    <mergeCell ref="F438:F442"/>
    <mergeCell ref="B440:B442"/>
    <mergeCell ref="C440:C442"/>
    <mergeCell ref="D440:D442"/>
    <mergeCell ref="E440:E442"/>
    <mergeCell ref="F443:F444"/>
    <mergeCell ref="B424:B426"/>
    <mergeCell ref="C424:C426"/>
    <mergeCell ref="D424:D426"/>
    <mergeCell ref="E424:E426"/>
    <mergeCell ref="F424:F428"/>
    <mergeCell ref="B436:B437"/>
    <mergeCell ref="C436:C437"/>
    <mergeCell ref="D436:D437"/>
    <mergeCell ref="E436:E437"/>
    <mergeCell ref="F436:F437"/>
    <mergeCell ref="B416:B417"/>
    <mergeCell ref="C416:C417"/>
    <mergeCell ref="D416:D417"/>
    <mergeCell ref="E416:E417"/>
    <mergeCell ref="F416:F422"/>
    <mergeCell ref="B419:B421"/>
    <mergeCell ref="C419:C421"/>
    <mergeCell ref="D419:D421"/>
    <mergeCell ref="E419:E421"/>
    <mergeCell ref="B410:B411"/>
    <mergeCell ref="C410:C411"/>
    <mergeCell ref="D410:D411"/>
    <mergeCell ref="E410:E411"/>
    <mergeCell ref="F410:F414"/>
    <mergeCell ref="B412:B414"/>
    <mergeCell ref="C412:C414"/>
    <mergeCell ref="D412:D414"/>
    <mergeCell ref="E412:E414"/>
    <mergeCell ref="B401:B402"/>
    <mergeCell ref="C401:C402"/>
    <mergeCell ref="D401:D402"/>
    <mergeCell ref="E401:E402"/>
    <mergeCell ref="F401:F402"/>
    <mergeCell ref="B404:B405"/>
    <mergeCell ref="C404:C405"/>
    <mergeCell ref="D404:D405"/>
    <mergeCell ref="E404:E405"/>
    <mergeCell ref="F404:F406"/>
    <mergeCell ref="B393:B394"/>
    <mergeCell ref="C393:C394"/>
    <mergeCell ref="D393:D394"/>
    <mergeCell ref="E393:E394"/>
    <mergeCell ref="F393:F394"/>
    <mergeCell ref="F395:F398"/>
    <mergeCell ref="B397:B398"/>
    <mergeCell ref="C397:C398"/>
    <mergeCell ref="D397:D398"/>
    <mergeCell ref="E397:E398"/>
    <mergeCell ref="A374:Q374"/>
    <mergeCell ref="B382:E382"/>
    <mergeCell ref="A383:Q383"/>
    <mergeCell ref="B390:B391"/>
    <mergeCell ref="E390:E391"/>
    <mergeCell ref="F390:F391"/>
    <mergeCell ref="E347:E351"/>
    <mergeCell ref="A358:E358"/>
    <mergeCell ref="L358:Q358"/>
    <mergeCell ref="A359:Q359"/>
    <mergeCell ref="B373:E373"/>
    <mergeCell ref="L373:Q373"/>
    <mergeCell ref="F344:F352"/>
    <mergeCell ref="G344:G352"/>
    <mergeCell ref="J344:J352"/>
    <mergeCell ref="B345:B346"/>
    <mergeCell ref="C345:C346"/>
    <mergeCell ref="D345:D346"/>
    <mergeCell ref="E345:E346"/>
    <mergeCell ref="B347:B351"/>
    <mergeCell ref="C347:C351"/>
    <mergeCell ref="D347:D351"/>
    <mergeCell ref="F335:F336"/>
    <mergeCell ref="G335:G336"/>
    <mergeCell ref="J335:J336"/>
    <mergeCell ref="B338:B339"/>
    <mergeCell ref="C338:C339"/>
    <mergeCell ref="D338:D339"/>
    <mergeCell ref="E338:E339"/>
    <mergeCell ref="F338:F339"/>
    <mergeCell ref="G338:G339"/>
    <mergeCell ref="J338:J339"/>
    <mergeCell ref="H321:H322"/>
    <mergeCell ref="J321:J322"/>
    <mergeCell ref="B323:B326"/>
    <mergeCell ref="C323:C326"/>
    <mergeCell ref="D323:D326"/>
    <mergeCell ref="E323:E326"/>
    <mergeCell ref="F323:F326"/>
    <mergeCell ref="G323:G326"/>
    <mergeCell ref="H323:H326"/>
    <mergeCell ref="J323:J326"/>
    <mergeCell ref="A298:Q298"/>
    <mergeCell ref="A316:E316"/>
    <mergeCell ref="L316:Q316"/>
    <mergeCell ref="A317:Q317"/>
    <mergeCell ref="B321:B322"/>
    <mergeCell ref="C321:C322"/>
    <mergeCell ref="D321:D322"/>
    <mergeCell ref="E321:E322"/>
    <mergeCell ref="F321:F322"/>
    <mergeCell ref="G321:G322"/>
    <mergeCell ref="A255:E255"/>
    <mergeCell ref="A256:Q256"/>
    <mergeCell ref="A280:E280"/>
    <mergeCell ref="A281:Q281"/>
    <mergeCell ref="E290:E291"/>
    <mergeCell ref="A297:E297"/>
    <mergeCell ref="L297:Q297"/>
    <mergeCell ref="L252:L253"/>
    <mergeCell ref="M252:M253"/>
    <mergeCell ref="N252:N253"/>
    <mergeCell ref="O252:O253"/>
    <mergeCell ref="P252:P253"/>
    <mergeCell ref="Q252:Q253"/>
    <mergeCell ref="P249:P250"/>
    <mergeCell ref="Q249:Q250"/>
    <mergeCell ref="B252:B253"/>
    <mergeCell ref="C252:C253"/>
    <mergeCell ref="D252:D253"/>
    <mergeCell ref="F252:F253"/>
    <mergeCell ref="G252:G253"/>
    <mergeCell ref="H252:H253"/>
    <mergeCell ref="I252:I253"/>
    <mergeCell ref="J252:J253"/>
    <mergeCell ref="I249:I250"/>
    <mergeCell ref="J249:J250"/>
    <mergeCell ref="K249:K250"/>
    <mergeCell ref="L249:L250"/>
    <mergeCell ref="N249:N250"/>
    <mergeCell ref="O249:O250"/>
    <mergeCell ref="A233:E233"/>
    <mergeCell ref="A234:Q234"/>
    <mergeCell ref="A247:E247"/>
    <mergeCell ref="A248:Q248"/>
    <mergeCell ref="B249:B250"/>
    <mergeCell ref="C249:C250"/>
    <mergeCell ref="D249:D250"/>
    <mergeCell ref="F249:F250"/>
    <mergeCell ref="G249:G250"/>
    <mergeCell ref="H249:H250"/>
    <mergeCell ref="K177:K179"/>
    <mergeCell ref="K194:K196"/>
    <mergeCell ref="L194:L196"/>
    <mergeCell ref="K208:K209"/>
    <mergeCell ref="L208:L209"/>
    <mergeCell ref="A232:E232"/>
    <mergeCell ref="A164:E164"/>
    <mergeCell ref="A165:Q165"/>
    <mergeCell ref="K167:K168"/>
    <mergeCell ref="B238:B239"/>
    <mergeCell ref="C238:C239"/>
    <mergeCell ref="D238:D239"/>
    <mergeCell ref="B240:B242"/>
    <mergeCell ref="E238:E239"/>
    <mergeCell ref="E240:E242"/>
    <mergeCell ref="E245:E246"/>
    <mergeCell ref="C240:C242"/>
    <mergeCell ref="D240:D242"/>
    <mergeCell ref="B245:B246"/>
    <mergeCell ref="C245:C246"/>
    <mergeCell ref="D245:D246"/>
    <mergeCell ref="A89:Q89"/>
    <mergeCell ref="E93:E94"/>
    <mergeCell ref="B117:E117"/>
    <mergeCell ref="A118:Q118"/>
    <mergeCell ref="A138:E138"/>
    <mergeCell ref="B84:B85"/>
    <mergeCell ref="C84:C85"/>
    <mergeCell ref="D84:D85"/>
    <mergeCell ref="E84:E85"/>
    <mergeCell ref="B86:B87"/>
    <mergeCell ref="C86:C87"/>
    <mergeCell ref="D86:D87"/>
    <mergeCell ref="E86:E87"/>
    <mergeCell ref="F154:F155"/>
    <mergeCell ref="G154:G155"/>
    <mergeCell ref="H154:H155"/>
    <mergeCell ref="I154:I155"/>
    <mergeCell ref="J154:J155"/>
    <mergeCell ref="B150:B151"/>
    <mergeCell ref="C150:C151"/>
    <mergeCell ref="D150:D151"/>
    <mergeCell ref="E150:E151"/>
    <mergeCell ref="B154:B155"/>
    <mergeCell ref="C154:C155"/>
    <mergeCell ref="D154:D155"/>
    <mergeCell ref="E154:E155"/>
    <mergeCell ref="K69:K74"/>
    <mergeCell ref="B75:B83"/>
    <mergeCell ref="C75:C83"/>
    <mergeCell ref="D75:D83"/>
    <mergeCell ref="E75:E83"/>
    <mergeCell ref="J51:J52"/>
    <mergeCell ref="K51:K52"/>
    <mergeCell ref="L51:L52"/>
    <mergeCell ref="A55:E55"/>
    <mergeCell ref="A56:Q56"/>
    <mergeCell ref="A47:Q47"/>
    <mergeCell ref="A49:E49"/>
    <mergeCell ref="A50:Q50"/>
    <mergeCell ref="B51:B54"/>
    <mergeCell ref="C51:C52"/>
    <mergeCell ref="E51:E52"/>
    <mergeCell ref="F51:F52"/>
    <mergeCell ref="G51:G52"/>
    <mergeCell ref="H51:H52"/>
    <mergeCell ref="I51:I52"/>
    <mergeCell ref="D51:D52"/>
    <mergeCell ref="I38:I39"/>
    <mergeCell ref="J38:J39"/>
    <mergeCell ref="B40:E40"/>
    <mergeCell ref="L40:Q40"/>
    <mergeCell ref="A42:E42"/>
    <mergeCell ref="A46:E46"/>
    <mergeCell ref="C38:C39"/>
    <mergeCell ref="D38:D39"/>
    <mergeCell ref="E38:E39"/>
    <mergeCell ref="F38:F39"/>
    <mergeCell ref="G38:G39"/>
    <mergeCell ref="H38:H39"/>
    <mergeCell ref="J31:J32"/>
    <mergeCell ref="C35:C37"/>
    <mergeCell ref="D35:D37"/>
    <mergeCell ref="E35:E37"/>
    <mergeCell ref="F35:F37"/>
    <mergeCell ref="G35:G37"/>
    <mergeCell ref="H35:H37"/>
    <mergeCell ref="I35:I37"/>
    <mergeCell ref="J35:J37"/>
    <mergeCell ref="L2:Q5"/>
    <mergeCell ref="A7:J7"/>
    <mergeCell ref="A9:A11"/>
    <mergeCell ref="B9:B11"/>
    <mergeCell ref="C9:C11"/>
    <mergeCell ref="D9:D11"/>
    <mergeCell ref="E9:E11"/>
    <mergeCell ref="F9:J9"/>
    <mergeCell ref="K9:K11"/>
    <mergeCell ref="L9:L11"/>
    <mergeCell ref="I26:I27"/>
    <mergeCell ref="J26:J27"/>
    <mergeCell ref="B31:B32"/>
    <mergeCell ref="C31:C32"/>
    <mergeCell ref="D31:D32"/>
    <mergeCell ref="E31:E32"/>
    <mergeCell ref="F31:F32"/>
    <mergeCell ref="G31:G32"/>
    <mergeCell ref="H31:H32"/>
    <mergeCell ref="I31:I32"/>
    <mergeCell ref="M9:M10"/>
    <mergeCell ref="N9:Q10"/>
    <mergeCell ref="F10:J10"/>
    <mergeCell ref="A12:Q12"/>
    <mergeCell ref="C26:C27"/>
    <mergeCell ref="D26:D27"/>
    <mergeCell ref="E26:E27"/>
    <mergeCell ref="F26:F27"/>
    <mergeCell ref="G26:G27"/>
    <mergeCell ref="H26:H27"/>
    <mergeCell ref="I556:I557"/>
    <mergeCell ref="J556:J557"/>
    <mergeCell ref="B593:E593"/>
    <mergeCell ref="H558:H559"/>
    <mergeCell ref="H564:H566"/>
    <mergeCell ref="H569:H570"/>
    <mergeCell ref="H571:H572"/>
    <mergeCell ref="H573:H574"/>
    <mergeCell ref="H576:H577"/>
    <mergeCell ref="H578:H579"/>
    <mergeCell ref="H582:H586"/>
    <mergeCell ref="H587:H588"/>
    <mergeCell ref="H589:H590"/>
    <mergeCell ref="F648:F655"/>
    <mergeCell ref="G648:G655"/>
    <mergeCell ref="H648:H655"/>
    <mergeCell ref="I648:I655"/>
    <mergeCell ref="J648:J655"/>
    <mergeCell ref="C578:C579"/>
    <mergeCell ref="D578:D579"/>
    <mergeCell ref="D573:D574"/>
    <mergeCell ref="C571:C572"/>
    <mergeCell ref="D571:D572"/>
    <mergeCell ref="B604:B605"/>
    <mergeCell ref="C604:C605"/>
    <mergeCell ref="D604:D605"/>
    <mergeCell ref="E604:E605"/>
    <mergeCell ref="B607:B608"/>
    <mergeCell ref="C607:C608"/>
    <mergeCell ref="D607:D608"/>
    <mergeCell ref="E607:E608"/>
    <mergeCell ref="B594:Q594"/>
    <mergeCell ref="I677:I678"/>
    <mergeCell ref="J677:J678"/>
    <mergeCell ref="H663:H667"/>
    <mergeCell ref="I663:I667"/>
    <mergeCell ref="J663:J667"/>
    <mergeCell ref="F657:F659"/>
    <mergeCell ref="G657:G659"/>
    <mergeCell ref="H657:H659"/>
    <mergeCell ref="I657:I659"/>
    <mergeCell ref="J657:J659"/>
    <mergeCell ref="F660:F661"/>
    <mergeCell ref="G660:G661"/>
    <mergeCell ref="H660:H661"/>
    <mergeCell ref="I660:I661"/>
    <mergeCell ref="J660:J661"/>
    <mergeCell ref="F671:F672"/>
    <mergeCell ref="G671:G672"/>
    <mergeCell ref="H671:H672"/>
    <mergeCell ref="I671:I672"/>
    <mergeCell ref="J671:J672"/>
    <mergeCell ref="F663:F667"/>
    <mergeCell ref="G663:G667"/>
    <mergeCell ref="I735:I737"/>
    <mergeCell ref="J735:J737"/>
    <mergeCell ref="F764:F765"/>
    <mergeCell ref="G764:G765"/>
    <mergeCell ref="H764:H765"/>
    <mergeCell ref="I764:I765"/>
    <mergeCell ref="J764:J765"/>
    <mergeCell ref="F750:F751"/>
    <mergeCell ref="G750:G751"/>
    <mergeCell ref="F675:F676"/>
    <mergeCell ref="G675:G676"/>
    <mergeCell ref="H675:H676"/>
    <mergeCell ref="I675:I676"/>
    <mergeCell ref="J675:J676"/>
    <mergeCell ref="F679:F681"/>
    <mergeCell ref="G679:G681"/>
    <mergeCell ref="H679:H681"/>
    <mergeCell ref="I679:I681"/>
    <mergeCell ref="J679:J681"/>
    <mergeCell ref="F683:F684"/>
    <mergeCell ref="G683:G684"/>
    <mergeCell ref="H683:H684"/>
    <mergeCell ref="I683:I684"/>
    <mergeCell ref="J683:J684"/>
    <mergeCell ref="F685:F688"/>
    <mergeCell ref="G685:G688"/>
    <mergeCell ref="H685:H688"/>
    <mergeCell ref="I685:I688"/>
    <mergeCell ref="J685:J688"/>
    <mergeCell ref="F677:F678"/>
    <mergeCell ref="G677:G678"/>
    <mergeCell ref="H677:H678"/>
    <mergeCell ref="E767:E768"/>
    <mergeCell ref="E769:E770"/>
    <mergeCell ref="E773:E776"/>
    <mergeCell ref="E777:E778"/>
    <mergeCell ref="E779:E780"/>
    <mergeCell ref="B68:B74"/>
    <mergeCell ref="B709:B719"/>
    <mergeCell ref="D709:D719"/>
    <mergeCell ref="B707:B708"/>
    <mergeCell ref="D707:D708"/>
    <mergeCell ref="B720:B721"/>
    <mergeCell ref="D720:D721"/>
    <mergeCell ref="B722:B723"/>
    <mergeCell ref="D722:D723"/>
    <mergeCell ref="F735:F737"/>
    <mergeCell ref="G735:G737"/>
    <mergeCell ref="H735:H737"/>
    <mergeCell ref="H560:H561"/>
    <mergeCell ref="F556:F557"/>
    <mergeCell ref="G556:G557"/>
    <mergeCell ref="H556:H557"/>
    <mergeCell ref="C68:C74"/>
    <mergeCell ref="D68:D74"/>
    <mergeCell ref="E68:E74"/>
    <mergeCell ref="A139:Q139"/>
    <mergeCell ref="L146:L147"/>
    <mergeCell ref="M146:M147"/>
    <mergeCell ref="N146:N147"/>
    <mergeCell ref="O146:O147"/>
    <mergeCell ref="P146:P147"/>
    <mergeCell ref="Q146:Q147"/>
    <mergeCell ref="A88:E88"/>
    <mergeCell ref="F773:F776"/>
    <mergeCell ref="G773:G776"/>
    <mergeCell ref="H773:H776"/>
    <mergeCell ref="I773:I776"/>
    <mergeCell ref="J773:J776"/>
    <mergeCell ref="F777:F778"/>
    <mergeCell ref="G777:G778"/>
    <mergeCell ref="I777:I778"/>
    <mergeCell ref="J777:J778"/>
    <mergeCell ref="F779:F780"/>
    <mergeCell ref="G779:G780"/>
    <mergeCell ref="I779:I780"/>
    <mergeCell ref="F738:F741"/>
    <mergeCell ref="G738:G741"/>
    <mergeCell ref="H738:H741"/>
    <mergeCell ref="I738:I741"/>
    <mergeCell ref="J738:J741"/>
    <mergeCell ref="F742:F743"/>
    <mergeCell ref="G742:G743"/>
    <mergeCell ref="H742:H743"/>
    <mergeCell ref="I742:I743"/>
    <mergeCell ref="J742:J743"/>
    <mergeCell ref="F745:F746"/>
    <mergeCell ref="G745:G746"/>
    <mergeCell ref="I750:I751"/>
    <mergeCell ref="J750:J751"/>
    <mergeCell ref="F754:F756"/>
    <mergeCell ref="G754:G756"/>
    <mergeCell ref="H754:H756"/>
    <mergeCell ref="I754:I756"/>
    <mergeCell ref="J754:J756"/>
    <mergeCell ref="F757:F759"/>
    <mergeCell ref="I745:I746"/>
    <mergeCell ref="J745:J746"/>
    <mergeCell ref="F752:F753"/>
    <mergeCell ref="G752:G753"/>
    <mergeCell ref="H752:H753"/>
    <mergeCell ref="I752:I753"/>
    <mergeCell ref="J752:J753"/>
    <mergeCell ref="F767:F768"/>
    <mergeCell ref="F769:F770"/>
    <mergeCell ref="G767:G768"/>
    <mergeCell ref="H767:H768"/>
    <mergeCell ref="I767:I768"/>
    <mergeCell ref="J767:J768"/>
    <mergeCell ref="G769:G770"/>
    <mergeCell ref="H769:H770"/>
    <mergeCell ref="I769:I770"/>
    <mergeCell ref="J769:J770"/>
    <mergeCell ref="G757:G759"/>
    <mergeCell ref="H757:H759"/>
    <mergeCell ref="I757:I759"/>
    <mergeCell ref="J757:J759"/>
    <mergeCell ref="F760:F762"/>
    <mergeCell ref="G760:G762"/>
    <mergeCell ref="H760:H762"/>
    <mergeCell ref="I760:I762"/>
    <mergeCell ref="J760:J762"/>
    <mergeCell ref="L834:L837"/>
    <mergeCell ref="M834:M837"/>
    <mergeCell ref="N834:N837"/>
    <mergeCell ref="O834:O837"/>
    <mergeCell ref="P834:P837"/>
    <mergeCell ref="B806:B807"/>
    <mergeCell ref="C806:C807"/>
    <mergeCell ref="D806:D807"/>
    <mergeCell ref="F806:F807"/>
    <mergeCell ref="G806:G807"/>
    <mergeCell ref="H806:H807"/>
    <mergeCell ref="I806:I807"/>
    <mergeCell ref="J806:J807"/>
    <mergeCell ref="L806:L807"/>
    <mergeCell ref="M806:M807"/>
    <mergeCell ref="N806:N807"/>
    <mergeCell ref="O806:O807"/>
    <mergeCell ref="F810:F818"/>
    <mergeCell ref="L810:L818"/>
    <mergeCell ref="M810:M818"/>
    <mergeCell ref="N810:N818"/>
    <mergeCell ref="O810:O818"/>
    <mergeCell ref="H883:H886"/>
    <mergeCell ref="I883:I886"/>
    <mergeCell ref="G858:G859"/>
    <mergeCell ref="H858:H859"/>
    <mergeCell ref="I858:I859"/>
    <mergeCell ref="B860:B864"/>
    <mergeCell ref="C860:C864"/>
    <mergeCell ref="D860:D864"/>
    <mergeCell ref="E860:E864"/>
    <mergeCell ref="F860:F864"/>
    <mergeCell ref="G860:G864"/>
    <mergeCell ref="H860:H864"/>
    <mergeCell ref="I860:I864"/>
    <mergeCell ref="B865:B866"/>
    <mergeCell ref="C865:C866"/>
    <mergeCell ref="D865:D866"/>
    <mergeCell ref="E865:E866"/>
    <mergeCell ref="F865:F866"/>
    <mergeCell ref="G865:G866"/>
    <mergeCell ref="H865:H866"/>
    <mergeCell ref="I865:I866"/>
    <mergeCell ref="B858:B859"/>
    <mergeCell ref="C858:C859"/>
    <mergeCell ref="D858:D859"/>
    <mergeCell ref="E858:E859"/>
    <mergeCell ref="F858:F859"/>
    <mergeCell ref="B867:B869"/>
    <mergeCell ref="C867:C869"/>
    <mergeCell ref="D867:D869"/>
    <mergeCell ref="E867:E869"/>
    <mergeCell ref="F867:F869"/>
    <mergeCell ref="G867:G869"/>
    <mergeCell ref="B887:B890"/>
    <mergeCell ref="C887:C890"/>
    <mergeCell ref="D887:D890"/>
    <mergeCell ref="E887:E890"/>
    <mergeCell ref="F887:F890"/>
    <mergeCell ref="G887:G890"/>
    <mergeCell ref="H887:H890"/>
    <mergeCell ref="I887:I890"/>
    <mergeCell ref="B891:B893"/>
    <mergeCell ref="C891:C893"/>
    <mergeCell ref="D891:D893"/>
    <mergeCell ref="E891:E893"/>
    <mergeCell ref="F891:F893"/>
    <mergeCell ref="G891:G893"/>
    <mergeCell ref="H891:H893"/>
    <mergeCell ref="I891:I893"/>
    <mergeCell ref="H877:H878"/>
    <mergeCell ref="I877:I878"/>
    <mergeCell ref="B879:B882"/>
    <mergeCell ref="C879:C882"/>
    <mergeCell ref="D879:D882"/>
    <mergeCell ref="E879:E882"/>
    <mergeCell ref="F879:F882"/>
    <mergeCell ref="G879:G882"/>
    <mergeCell ref="H879:H882"/>
    <mergeCell ref="I879:I882"/>
    <mergeCell ref="B883:B886"/>
    <mergeCell ref="C883:C886"/>
    <mergeCell ref="D883:D886"/>
    <mergeCell ref="E883:E886"/>
    <mergeCell ref="F883:F886"/>
    <mergeCell ref="G883:G886"/>
    <mergeCell ref="F897:F899"/>
    <mergeCell ref="G897:G899"/>
    <mergeCell ref="H897:H899"/>
    <mergeCell ref="I897:I899"/>
    <mergeCell ref="B901:B903"/>
    <mergeCell ref="C901:C903"/>
    <mergeCell ref="D901:D903"/>
    <mergeCell ref="E901:E903"/>
    <mergeCell ref="F901:F903"/>
    <mergeCell ref="G901:G903"/>
    <mergeCell ref="H901:H903"/>
    <mergeCell ref="I901:I903"/>
    <mergeCell ref="B904:B912"/>
    <mergeCell ref="C904:C912"/>
    <mergeCell ref="D904:D912"/>
    <mergeCell ref="E904:E912"/>
    <mergeCell ref="F904:F912"/>
    <mergeCell ref="G904:G912"/>
    <mergeCell ref="H904:H912"/>
    <mergeCell ref="I904:I912"/>
    <mergeCell ref="B915:B916"/>
    <mergeCell ref="C915:C916"/>
    <mergeCell ref="D915:D916"/>
    <mergeCell ref="E915:E916"/>
    <mergeCell ref="F915:F916"/>
    <mergeCell ref="G915:G916"/>
    <mergeCell ref="H915:H916"/>
    <mergeCell ref="I915:I916"/>
    <mergeCell ref="B918:E918"/>
    <mergeCell ref="B920:B923"/>
    <mergeCell ref="C920:C923"/>
    <mergeCell ref="D920:D923"/>
    <mergeCell ref="E920:E923"/>
    <mergeCell ref="F920:F923"/>
    <mergeCell ref="G920:G923"/>
    <mergeCell ref="H920:H923"/>
    <mergeCell ref="I920:I923"/>
    <mergeCell ref="A943:A945"/>
    <mergeCell ref="B944:B946"/>
    <mergeCell ref="C944:C946"/>
    <mergeCell ref="D944:D946"/>
    <mergeCell ref="E944:E946"/>
    <mergeCell ref="F944:F946"/>
    <mergeCell ref="G944:G946"/>
    <mergeCell ref="H944:H946"/>
    <mergeCell ref="I944:I946"/>
    <mergeCell ref="A946:A950"/>
    <mergeCell ref="B947:B951"/>
    <mergeCell ref="C947:C951"/>
    <mergeCell ref="D947:D951"/>
    <mergeCell ref="E947:E951"/>
    <mergeCell ref="F947:F951"/>
    <mergeCell ref="G947:G951"/>
    <mergeCell ref="H947:H951"/>
    <mergeCell ref="I947:I951"/>
    <mergeCell ref="A951:A952"/>
    <mergeCell ref="B954:B955"/>
    <mergeCell ref="C954:C955"/>
    <mergeCell ref="D954:D955"/>
    <mergeCell ref="E954:E955"/>
    <mergeCell ref="F954:F955"/>
    <mergeCell ref="G954:G955"/>
    <mergeCell ref="H954:H955"/>
    <mergeCell ref="I954:I955"/>
    <mergeCell ref="B956:B957"/>
    <mergeCell ref="C956:C957"/>
    <mergeCell ref="D956:D957"/>
    <mergeCell ref="E956:E957"/>
    <mergeCell ref="F956:F957"/>
    <mergeCell ref="F929:F930"/>
    <mergeCell ref="F936:F937"/>
    <mergeCell ref="G936:G937"/>
    <mergeCell ref="H936:H937"/>
    <mergeCell ref="I936:I937"/>
    <mergeCell ref="B941:E941"/>
    <mergeCell ref="B942:E942"/>
    <mergeCell ref="A925:B930"/>
    <mergeCell ref="C925:C930"/>
    <mergeCell ref="D925:D930"/>
    <mergeCell ref="E925:E930"/>
    <mergeCell ref="F925:F928"/>
    <mergeCell ref="G925:G930"/>
    <mergeCell ref="H925:H930"/>
    <mergeCell ref="I925:I930"/>
    <mergeCell ref="G956:G957"/>
    <mergeCell ref="H956:H957"/>
    <mergeCell ref="I956:I957"/>
    <mergeCell ref="B958:B961"/>
    <mergeCell ref="C958:C961"/>
    <mergeCell ref="D958:D961"/>
    <mergeCell ref="E958:E961"/>
    <mergeCell ref="F958:F961"/>
    <mergeCell ref="G958:G961"/>
    <mergeCell ref="H958:H961"/>
    <mergeCell ref="I958:I961"/>
    <mergeCell ref="L960:L961"/>
    <mergeCell ref="M960:M961"/>
    <mergeCell ref="N960:N961"/>
    <mergeCell ref="O960:O961"/>
    <mergeCell ref="P960:P961"/>
    <mergeCell ref="B962:B964"/>
    <mergeCell ref="C962:C964"/>
    <mergeCell ref="D962:D964"/>
    <mergeCell ref="E962:E964"/>
    <mergeCell ref="F962:F964"/>
    <mergeCell ref="G962:G964"/>
    <mergeCell ref="H962:H964"/>
    <mergeCell ref="I962:I964"/>
    <mergeCell ref="J958:J961"/>
    <mergeCell ref="K960:K961"/>
    <mergeCell ref="H988:H991"/>
    <mergeCell ref="I988:I991"/>
    <mergeCell ref="A964:A966"/>
    <mergeCell ref="B965:B967"/>
    <mergeCell ref="C965:C967"/>
    <mergeCell ref="D965:D967"/>
    <mergeCell ref="E965:E967"/>
    <mergeCell ref="F965:F967"/>
    <mergeCell ref="G965:G967"/>
    <mergeCell ref="H965:H967"/>
    <mergeCell ref="I965:I967"/>
    <mergeCell ref="A968:A970"/>
    <mergeCell ref="B969:B971"/>
    <mergeCell ref="E969:E971"/>
    <mergeCell ref="F969:F971"/>
    <mergeCell ref="A972:A974"/>
    <mergeCell ref="B973:B975"/>
    <mergeCell ref="C973:C975"/>
    <mergeCell ref="D973:D975"/>
    <mergeCell ref="E973:E975"/>
    <mergeCell ref="F973:F975"/>
    <mergeCell ref="G973:G975"/>
    <mergeCell ref="H973:H975"/>
    <mergeCell ref="I973:I975"/>
    <mergeCell ref="L1032:L1033"/>
    <mergeCell ref="M1032:M1033"/>
    <mergeCell ref="N1032:N1033"/>
    <mergeCell ref="O1032:O1033"/>
    <mergeCell ref="P1032:P1033"/>
    <mergeCell ref="B1035:B1036"/>
    <mergeCell ref="C1035:C1036"/>
    <mergeCell ref="D1035:D1036"/>
    <mergeCell ref="E1035:E1036"/>
    <mergeCell ref="L1035:L1036"/>
    <mergeCell ref="M1035:M1036"/>
    <mergeCell ref="N1035:N1036"/>
    <mergeCell ref="O1035:O1036"/>
    <mergeCell ref="P1035:P1036"/>
    <mergeCell ref="J1030:J1032"/>
    <mergeCell ref="B992:E992"/>
    <mergeCell ref="B997:E997"/>
    <mergeCell ref="B1016:E1016"/>
    <mergeCell ref="B1017:E1017"/>
    <mergeCell ref="B1025:B1026"/>
    <mergeCell ref="C1025:C1026"/>
    <mergeCell ref="D1025:D1026"/>
    <mergeCell ref="L1025:L1026"/>
    <mergeCell ref="M1025:M1026"/>
    <mergeCell ref="N1025:N1026"/>
    <mergeCell ref="O1025:O1026"/>
    <mergeCell ref="P1025:P1026"/>
    <mergeCell ref="A1037:E1037"/>
    <mergeCell ref="B1049:B1050"/>
    <mergeCell ref="C1049:C1050"/>
    <mergeCell ref="D1049:D1050"/>
    <mergeCell ref="E1049:E1050"/>
    <mergeCell ref="I1049:I1050"/>
    <mergeCell ref="B1051:B1052"/>
    <mergeCell ref="C1051:C1052"/>
    <mergeCell ref="D1051:D1052"/>
    <mergeCell ref="E1051:E1052"/>
    <mergeCell ref="F1051:F1052"/>
    <mergeCell ref="G1051:G1052"/>
    <mergeCell ref="H1051:H1052"/>
    <mergeCell ref="I1051:I1052"/>
    <mergeCell ref="B1030:B1033"/>
    <mergeCell ref="C1030:C1033"/>
    <mergeCell ref="D1030:D1033"/>
    <mergeCell ref="F1030:F1032"/>
    <mergeCell ref="G1030:G1032"/>
    <mergeCell ref="H1030:H1032"/>
    <mergeCell ref="I1030:I1032"/>
    <mergeCell ref="E1032:E1033"/>
    <mergeCell ref="G1053:G1054"/>
    <mergeCell ref="H1053:H1054"/>
    <mergeCell ref="I1053:I1054"/>
    <mergeCell ref="J1053:J1054"/>
    <mergeCell ref="B1055:B1056"/>
    <mergeCell ref="C1055:C1056"/>
    <mergeCell ref="D1055:D1056"/>
    <mergeCell ref="E1055:E1056"/>
    <mergeCell ref="F1055:F1056"/>
    <mergeCell ref="G1055:G1056"/>
    <mergeCell ref="H1055:H1056"/>
    <mergeCell ref="I1055:I1056"/>
    <mergeCell ref="J1055:J1056"/>
    <mergeCell ref="A1057:E1057"/>
    <mergeCell ref="B1065:B1066"/>
    <mergeCell ref="C1065:C1066"/>
    <mergeCell ref="D1065:D1066"/>
    <mergeCell ref="E1065:E1066"/>
    <mergeCell ref="F1065:F1066"/>
    <mergeCell ref="G1065:G1066"/>
    <mergeCell ref="H1065:H1066"/>
    <mergeCell ref="I1065:I1066"/>
    <mergeCell ref="J1065:J1066"/>
    <mergeCell ref="B1053:B1054"/>
    <mergeCell ref="C1053:C1054"/>
    <mergeCell ref="D1053:D1054"/>
    <mergeCell ref="E1053:E1054"/>
    <mergeCell ref="F1053:F1054"/>
    <mergeCell ref="J1101:J1102"/>
    <mergeCell ref="B1105:Q1105"/>
    <mergeCell ref="J1110:J1111"/>
    <mergeCell ref="F1093:F1095"/>
    <mergeCell ref="G1093:G1095"/>
    <mergeCell ref="H1093:H1095"/>
    <mergeCell ref="I1093:I1095"/>
    <mergeCell ref="B1096:B1098"/>
    <mergeCell ref="C1096:C1098"/>
    <mergeCell ref="D1096:D1098"/>
    <mergeCell ref="E1096:E1098"/>
    <mergeCell ref="F1096:F1098"/>
    <mergeCell ref="G1096:G1098"/>
    <mergeCell ref="H1096:H1098"/>
    <mergeCell ref="I1096:I1098"/>
    <mergeCell ref="B1099:B1100"/>
    <mergeCell ref="D1099:D1100"/>
    <mergeCell ref="E1099:E1100"/>
    <mergeCell ref="F1099:F1100"/>
    <mergeCell ref="G1099:G1100"/>
    <mergeCell ref="H1099:H1100"/>
    <mergeCell ref="I1099:I1100"/>
    <mergeCell ref="J1096:J1098"/>
    <mergeCell ref="J1099:J1100"/>
    <mergeCell ref="I1148:I1149"/>
    <mergeCell ref="B1150:B1156"/>
    <mergeCell ref="C1150:C1156"/>
    <mergeCell ref="D1150:D1156"/>
    <mergeCell ref="E1150:E1156"/>
    <mergeCell ref="F1150:F1156"/>
    <mergeCell ref="G1150:G1156"/>
    <mergeCell ref="H1150:H1156"/>
    <mergeCell ref="I1150:I1156"/>
    <mergeCell ref="B1137:E1137"/>
    <mergeCell ref="B1101:B1102"/>
    <mergeCell ref="C1101:C1102"/>
    <mergeCell ref="D1101:D1102"/>
    <mergeCell ref="E1101:E1102"/>
    <mergeCell ref="F1101:F1102"/>
    <mergeCell ref="G1101:G1102"/>
    <mergeCell ref="H1101:H1102"/>
    <mergeCell ref="I1101:I1102"/>
    <mergeCell ref="B1104:E1104"/>
    <mergeCell ref="B1110:B1111"/>
    <mergeCell ref="C1110:C1111"/>
    <mergeCell ref="D1110:D1111"/>
    <mergeCell ref="F1110:F1111"/>
    <mergeCell ref="G1110:G1111"/>
    <mergeCell ref="H1110:H1111"/>
    <mergeCell ref="I1110:I1111"/>
    <mergeCell ref="D1174:D1176"/>
    <mergeCell ref="E1174:E1176"/>
    <mergeCell ref="F1174:F1176"/>
    <mergeCell ref="G1174:G1176"/>
    <mergeCell ref="H1174:H1176"/>
    <mergeCell ref="I1174:I1176"/>
    <mergeCell ref="B1162:B1164"/>
    <mergeCell ref="C1162:C1164"/>
    <mergeCell ref="D1162:D1164"/>
    <mergeCell ref="E1162:E1164"/>
    <mergeCell ref="F1162:F1164"/>
    <mergeCell ref="G1162:G1164"/>
    <mergeCell ref="H1162:H1164"/>
    <mergeCell ref="I1162:I1164"/>
    <mergeCell ref="B1165:B1168"/>
    <mergeCell ref="C1165:C1168"/>
    <mergeCell ref="D1165:D1168"/>
    <mergeCell ref="E1165:E1168"/>
    <mergeCell ref="F1165:F1168"/>
    <mergeCell ref="G1165:G1168"/>
    <mergeCell ref="H1165:H1168"/>
    <mergeCell ref="I1165:I1168"/>
    <mergeCell ref="B1208:B1212"/>
    <mergeCell ref="C1208:C1212"/>
    <mergeCell ref="D1208:D1212"/>
    <mergeCell ref="E1208:E1212"/>
    <mergeCell ref="F1208:F1212"/>
    <mergeCell ref="G1208:G1212"/>
    <mergeCell ref="H1208:H1212"/>
    <mergeCell ref="I1208:I1212"/>
    <mergeCell ref="J1208:J1212"/>
    <mergeCell ref="F1186:F1189"/>
    <mergeCell ref="F1190:F1193"/>
    <mergeCell ref="F1194:F1197"/>
    <mergeCell ref="F1199:F1201"/>
    <mergeCell ref="B1178:B1179"/>
    <mergeCell ref="C1178:C1179"/>
    <mergeCell ref="D1178:D1179"/>
    <mergeCell ref="E1178:E1179"/>
    <mergeCell ref="F1178:F1179"/>
    <mergeCell ref="G1178:G1179"/>
    <mergeCell ref="H1178:H1179"/>
    <mergeCell ref="I1178:I1179"/>
    <mergeCell ref="B1214:B1217"/>
    <mergeCell ref="C1214:C1217"/>
    <mergeCell ref="D1214:D1217"/>
    <mergeCell ref="E1214:E1217"/>
    <mergeCell ref="F1214:F1217"/>
    <mergeCell ref="G1214:G1217"/>
    <mergeCell ref="H1214:H1217"/>
    <mergeCell ref="I1214:I1217"/>
    <mergeCell ref="B1218:B1221"/>
    <mergeCell ref="C1218:C1221"/>
    <mergeCell ref="D1218:D1221"/>
    <mergeCell ref="E1218:E1221"/>
    <mergeCell ref="F1218:F1221"/>
    <mergeCell ref="G1218:G1221"/>
    <mergeCell ref="H1218:H1221"/>
    <mergeCell ref="I1218:I1221"/>
    <mergeCell ref="J1214:J1217"/>
    <mergeCell ref="J1218:J1221"/>
    <mergeCell ref="J1254:J1255"/>
    <mergeCell ref="L1259:P1259"/>
    <mergeCell ref="B1260:Q1260"/>
    <mergeCell ref="J1265:J1266"/>
    <mergeCell ref="J1268:J1270"/>
    <mergeCell ref="I1222:I1228"/>
    <mergeCell ref="B1231:E1231"/>
    <mergeCell ref="B1248:B1249"/>
    <mergeCell ref="C1248:C1249"/>
    <mergeCell ref="D1248:D1249"/>
    <mergeCell ref="B1252:B1253"/>
    <mergeCell ref="C1252:C1253"/>
    <mergeCell ref="D1252:D1253"/>
    <mergeCell ref="F1252:F1253"/>
    <mergeCell ref="G1252:G1253"/>
    <mergeCell ref="H1252:H1253"/>
    <mergeCell ref="I1252:I1253"/>
    <mergeCell ref="J1222:J1228"/>
    <mergeCell ref="L1231:Q1231"/>
    <mergeCell ref="B1232:Q1232"/>
    <mergeCell ref="J1252:J1253"/>
    <mergeCell ref="B1254:B1255"/>
    <mergeCell ref="C1254:C1255"/>
    <mergeCell ref="D1254:D1255"/>
    <mergeCell ref="G1254:G1255"/>
    <mergeCell ref="H1254:H1255"/>
    <mergeCell ref="I1254:I1255"/>
    <mergeCell ref="E1299:E1301"/>
    <mergeCell ref="F1299:F1301"/>
    <mergeCell ref="G1299:G1301"/>
    <mergeCell ref="H1299:H1301"/>
    <mergeCell ref="I1299:I1301"/>
    <mergeCell ref="E1254:E1255"/>
    <mergeCell ref="F1254:F1255"/>
    <mergeCell ref="B1259:E1259"/>
    <mergeCell ref="B1265:B1266"/>
    <mergeCell ref="C1265:C1266"/>
    <mergeCell ref="D1265:D1266"/>
    <mergeCell ref="E1265:E1266"/>
    <mergeCell ref="F1265:F1266"/>
    <mergeCell ref="G1265:G1266"/>
    <mergeCell ref="H1265:H1266"/>
    <mergeCell ref="I1265:I1266"/>
    <mergeCell ref="B1268:B1271"/>
    <mergeCell ref="C1268:C1271"/>
    <mergeCell ref="D1268:D1271"/>
    <mergeCell ref="E1268:E1271"/>
    <mergeCell ref="F1268:F1270"/>
    <mergeCell ref="G1268:G1270"/>
    <mergeCell ref="H1268:H1270"/>
    <mergeCell ref="I1268:I1270"/>
    <mergeCell ref="B1275:B1278"/>
    <mergeCell ref="C1275:C1278"/>
    <mergeCell ref="D1275:D1278"/>
    <mergeCell ref="E1275:E1278"/>
    <mergeCell ref="F1275:F1278"/>
    <mergeCell ref="G1275:G1278"/>
    <mergeCell ref="H1275:H1278"/>
    <mergeCell ref="I1275:I1278"/>
    <mergeCell ref="B1309:B1311"/>
    <mergeCell ref="C1309:C1311"/>
    <mergeCell ref="D1309:D1311"/>
    <mergeCell ref="E1309:E1311"/>
    <mergeCell ref="F1309:F1311"/>
    <mergeCell ref="G1309:G1311"/>
    <mergeCell ref="H1309:H1311"/>
    <mergeCell ref="I1309:I1311"/>
    <mergeCell ref="B1314:B1315"/>
    <mergeCell ref="C1314:C1315"/>
    <mergeCell ref="D1314:D1315"/>
    <mergeCell ref="E1314:E1315"/>
    <mergeCell ref="F1314:F1315"/>
    <mergeCell ref="G1314:G1315"/>
    <mergeCell ref="H1314:H1315"/>
    <mergeCell ref="I1314:I1315"/>
    <mergeCell ref="E1293:E1295"/>
    <mergeCell ref="F1293:F1295"/>
    <mergeCell ref="G1293:G1295"/>
    <mergeCell ref="H1293:H1295"/>
    <mergeCell ref="I1293:I1295"/>
    <mergeCell ref="B1296:B1297"/>
    <mergeCell ref="C1296:C1297"/>
    <mergeCell ref="D1296:D1297"/>
    <mergeCell ref="E1296:E1297"/>
    <mergeCell ref="F1296:F1297"/>
    <mergeCell ref="G1296:G1297"/>
    <mergeCell ref="H1296:H1297"/>
    <mergeCell ref="I1296:I1297"/>
    <mergeCell ref="B1299:B1301"/>
    <mergeCell ref="C1299:C1301"/>
    <mergeCell ref="D1299:D1301"/>
    <mergeCell ref="B1349:B1355"/>
    <mergeCell ref="C1349:C1355"/>
    <mergeCell ref="D1349:D1355"/>
    <mergeCell ref="E1349:E1355"/>
    <mergeCell ref="F1349:F1355"/>
    <mergeCell ref="G1349:G1355"/>
    <mergeCell ref="H1349:H1355"/>
    <mergeCell ref="I1349:I1355"/>
    <mergeCell ref="L1346:Q1346"/>
    <mergeCell ref="B1347:Q1347"/>
    <mergeCell ref="J1349:J1355"/>
    <mergeCell ref="K1349:K1352"/>
    <mergeCell ref="J1327:J1328"/>
    <mergeCell ref="B1329:B1330"/>
    <mergeCell ref="C1329:C1330"/>
    <mergeCell ref="D1329:D1330"/>
    <mergeCell ref="E1329:E1330"/>
    <mergeCell ref="F1329:F1330"/>
    <mergeCell ref="G1329:G1330"/>
    <mergeCell ref="H1329:H1330"/>
    <mergeCell ref="I1329:I1330"/>
    <mergeCell ref="J1329:J1330"/>
    <mergeCell ref="K1329:K1330"/>
    <mergeCell ref="N1329:P1329"/>
    <mergeCell ref="N1330:P1330"/>
    <mergeCell ref="N1331:P1331"/>
    <mergeCell ref="N1332:P1332"/>
    <mergeCell ref="B1327:B1328"/>
    <mergeCell ref="C1327:C1328"/>
    <mergeCell ref="D1327:D1328"/>
    <mergeCell ref="E1327:E1328"/>
    <mergeCell ref="F1327:F1328"/>
    <mergeCell ref="B1383:E1383"/>
    <mergeCell ref="B1385:B1386"/>
    <mergeCell ref="C1385:C1386"/>
    <mergeCell ref="D1385:D1386"/>
    <mergeCell ref="F1385:F1386"/>
    <mergeCell ref="G1385:G1386"/>
    <mergeCell ref="H1385:H1386"/>
    <mergeCell ref="I1385:I1386"/>
    <mergeCell ref="J1385:J1386"/>
    <mergeCell ref="K1385:K1386"/>
    <mergeCell ref="L1385:L1386"/>
    <mergeCell ref="M1385:M1386"/>
    <mergeCell ref="N1385:N1386"/>
    <mergeCell ref="O1385:O1386"/>
    <mergeCell ref="P1385:P1386"/>
    <mergeCell ref="P1359:P1360"/>
    <mergeCell ref="B1361:E1361"/>
    <mergeCell ref="J1359:J1360"/>
    <mergeCell ref="K1359:K1360"/>
    <mergeCell ref="B1359:B1360"/>
    <mergeCell ref="C1359:C1360"/>
    <mergeCell ref="D1359:D1360"/>
    <mergeCell ref="E1359:E1360"/>
    <mergeCell ref="F1359:F1360"/>
    <mergeCell ref="G1359:G1360"/>
    <mergeCell ref="H1359:H1360"/>
    <mergeCell ref="I1359:I1360"/>
    <mergeCell ref="L1359:L1360"/>
    <mergeCell ref="M1359:M1360"/>
    <mergeCell ref="N1359:N1360"/>
    <mergeCell ref="O1359:O1360"/>
    <mergeCell ref="P1394:P1395"/>
    <mergeCell ref="B1396:E1396"/>
    <mergeCell ref="B1388:B1390"/>
    <mergeCell ref="C1388:C1390"/>
    <mergeCell ref="D1388:D1390"/>
    <mergeCell ref="E1388:E1390"/>
    <mergeCell ref="B1391:B1392"/>
    <mergeCell ref="C1391:C1392"/>
    <mergeCell ref="D1391:D1392"/>
    <mergeCell ref="F1391:F1392"/>
    <mergeCell ref="G1391:G1392"/>
    <mergeCell ref="H1391:H1392"/>
    <mergeCell ref="I1391:I1392"/>
    <mergeCell ref="J1391:J1392"/>
    <mergeCell ref="K1391:K1392"/>
    <mergeCell ref="L1391:L1392"/>
    <mergeCell ref="P1391:P1392"/>
    <mergeCell ref="C1422:C1424"/>
    <mergeCell ref="D1422:D1424"/>
    <mergeCell ref="E1422:E1424"/>
    <mergeCell ref="F1422:F1424"/>
    <mergeCell ref="G1422:G1424"/>
    <mergeCell ref="H1422:H1424"/>
    <mergeCell ref="I1422:I1424"/>
    <mergeCell ref="B1394:B1395"/>
    <mergeCell ref="C1394:C1395"/>
    <mergeCell ref="D1394:D1395"/>
    <mergeCell ref="E1394:E1395"/>
    <mergeCell ref="F1394:F1395"/>
    <mergeCell ref="G1394:G1395"/>
    <mergeCell ref="H1394:H1395"/>
    <mergeCell ref="I1394:I1395"/>
    <mergeCell ref="J1394:J1395"/>
    <mergeCell ref="L1394:L1395"/>
    <mergeCell ref="F1444:F1447"/>
    <mergeCell ref="G1444:G1447"/>
    <mergeCell ref="H1444:H1447"/>
    <mergeCell ref="I1444:I1447"/>
    <mergeCell ref="B1449:B1451"/>
    <mergeCell ref="C1449:C1451"/>
    <mergeCell ref="D1449:D1451"/>
    <mergeCell ref="E1449:E1451"/>
    <mergeCell ref="F1449:F1451"/>
    <mergeCell ref="G1449:G1451"/>
    <mergeCell ref="H1449:H1451"/>
    <mergeCell ref="I1449:I1451"/>
    <mergeCell ref="B1434:B1438"/>
    <mergeCell ref="C1434:C1438"/>
    <mergeCell ref="D1434:D1438"/>
    <mergeCell ref="E1434:E1436"/>
    <mergeCell ref="F1434:F1438"/>
    <mergeCell ref="G1434:G1438"/>
    <mergeCell ref="H1434:H1438"/>
    <mergeCell ref="I1434:I1438"/>
    <mergeCell ref="B1440:B1443"/>
    <mergeCell ref="C1440:C1443"/>
    <mergeCell ref="D1440:D1443"/>
    <mergeCell ref="E1440:E1443"/>
    <mergeCell ref="F1440:F1443"/>
    <mergeCell ref="G1440:G1443"/>
    <mergeCell ref="H1440:H1443"/>
    <mergeCell ref="I1440:I1443"/>
    <mergeCell ref="J873:J876"/>
    <mergeCell ref="J877:J878"/>
    <mergeCell ref="J879:J882"/>
    <mergeCell ref="J883:J886"/>
    <mergeCell ref="J887:J890"/>
    <mergeCell ref="J891:J893"/>
    <mergeCell ref="G1486:G1487"/>
    <mergeCell ref="H1486:H1487"/>
    <mergeCell ref="I1486:I1487"/>
    <mergeCell ref="B1488:E1488"/>
    <mergeCell ref="B1494:B1495"/>
    <mergeCell ref="C1494:C1495"/>
    <mergeCell ref="D1494:D1495"/>
    <mergeCell ref="E1494:E1495"/>
    <mergeCell ref="F1494:F1495"/>
    <mergeCell ref="G1494:G1495"/>
    <mergeCell ref="H1494:H1495"/>
    <mergeCell ref="I1494:I1495"/>
    <mergeCell ref="B1489:Q1489"/>
    <mergeCell ref="J1494:J1495"/>
    <mergeCell ref="B1460:B1461"/>
    <mergeCell ref="C1460:C1461"/>
    <mergeCell ref="D1460:D1461"/>
    <mergeCell ref="F1460:F1461"/>
    <mergeCell ref="G1460:G1461"/>
    <mergeCell ref="H1460:H1461"/>
    <mergeCell ref="I1460:I1461"/>
    <mergeCell ref="J1460:J1461"/>
    <mergeCell ref="L1460:L1461"/>
    <mergeCell ref="B1473:E1473"/>
    <mergeCell ref="B1452:B1453"/>
    <mergeCell ref="C1452:C1453"/>
    <mergeCell ref="A804:J804"/>
    <mergeCell ref="K806:K807"/>
    <mergeCell ref="P806:P807"/>
    <mergeCell ref="A809:K809"/>
    <mergeCell ref="K810:K818"/>
    <mergeCell ref="Q810:Q818"/>
    <mergeCell ref="J819:J827"/>
    <mergeCell ref="J828:J837"/>
    <mergeCell ref="K834:K837"/>
    <mergeCell ref="Q834:Q837"/>
    <mergeCell ref="J838:J843"/>
    <mergeCell ref="J846:J850"/>
    <mergeCell ref="J852:J857"/>
    <mergeCell ref="J858:J859"/>
    <mergeCell ref="J860:J864"/>
    <mergeCell ref="J865:J866"/>
    <mergeCell ref="J867:J869"/>
    <mergeCell ref="P810:P818"/>
    <mergeCell ref="C819:C827"/>
    <mergeCell ref="E819:E827"/>
    <mergeCell ref="F819:F827"/>
    <mergeCell ref="G819:G827"/>
    <mergeCell ref="H819:H827"/>
    <mergeCell ref="I819:I827"/>
    <mergeCell ref="B828:B837"/>
    <mergeCell ref="C828:C837"/>
    <mergeCell ref="D828:D837"/>
    <mergeCell ref="E828:E837"/>
    <mergeCell ref="F828:F837"/>
    <mergeCell ref="G828:G837"/>
    <mergeCell ref="H828:H837"/>
    <mergeCell ref="I828:I837"/>
    <mergeCell ref="J897:J899"/>
    <mergeCell ref="J901:J903"/>
    <mergeCell ref="J904:J912"/>
    <mergeCell ref="M914:Q914"/>
    <mergeCell ref="J915:J916"/>
    <mergeCell ref="A919:K919"/>
    <mergeCell ref="J920:J923"/>
    <mergeCell ref="J925:J930"/>
    <mergeCell ref="Q926:Q927"/>
    <mergeCell ref="K935:K936"/>
    <mergeCell ref="J936:J937"/>
    <mergeCell ref="L941:P941"/>
    <mergeCell ref="J944:J946"/>
    <mergeCell ref="J947:J951"/>
    <mergeCell ref="K952:K953"/>
    <mergeCell ref="Q952:Q953"/>
    <mergeCell ref="J954:J955"/>
    <mergeCell ref="B952:B953"/>
    <mergeCell ref="C952:C953"/>
    <mergeCell ref="D952:D953"/>
    <mergeCell ref="E952:E953"/>
    <mergeCell ref="F952:F953"/>
    <mergeCell ref="G952:G953"/>
    <mergeCell ref="H952:H953"/>
    <mergeCell ref="I952:I953"/>
    <mergeCell ref="J952:J953"/>
    <mergeCell ref="L952:L953"/>
    <mergeCell ref="M952:M953"/>
    <mergeCell ref="N952:N953"/>
    <mergeCell ref="O952:O953"/>
    <mergeCell ref="P952:P953"/>
    <mergeCell ref="A953:A963"/>
    <mergeCell ref="Q960:Q961"/>
    <mergeCell ref="J962:J964"/>
    <mergeCell ref="J965:J967"/>
    <mergeCell ref="J969:J971"/>
    <mergeCell ref="J973:J975"/>
    <mergeCell ref="J978:J980"/>
    <mergeCell ref="L985:Q985"/>
    <mergeCell ref="J988:J991"/>
    <mergeCell ref="L992:Q992"/>
    <mergeCell ref="B993:Q993"/>
    <mergeCell ref="L997:Q997"/>
    <mergeCell ref="B998:Q998"/>
    <mergeCell ref="L1016:Q1016"/>
    <mergeCell ref="L1017:Q1017"/>
    <mergeCell ref="A1018:K1018"/>
    <mergeCell ref="K1025:K1026"/>
    <mergeCell ref="Q1025:Q1026"/>
    <mergeCell ref="C978:C980"/>
    <mergeCell ref="D978:D980"/>
    <mergeCell ref="E978:E980"/>
    <mergeCell ref="F978:F980"/>
    <mergeCell ref="G978:G980"/>
    <mergeCell ref="H978:H980"/>
    <mergeCell ref="I978:I980"/>
    <mergeCell ref="B985:E985"/>
    <mergeCell ref="B986:E986"/>
    <mergeCell ref="B988:B991"/>
    <mergeCell ref="C988:C991"/>
    <mergeCell ref="D988:D991"/>
    <mergeCell ref="E988:E991"/>
    <mergeCell ref="F988:F991"/>
    <mergeCell ref="G988:G991"/>
    <mergeCell ref="Q1032:Q1033"/>
    <mergeCell ref="K1035:K1036"/>
    <mergeCell ref="Q1035:Q1036"/>
    <mergeCell ref="A1038:K1038"/>
    <mergeCell ref="J1049:J1050"/>
    <mergeCell ref="J1051:J1052"/>
    <mergeCell ref="K1053:K1054"/>
    <mergeCell ref="K1055:K1056"/>
    <mergeCell ref="A1058:K1058"/>
    <mergeCell ref="K1065:K1066"/>
    <mergeCell ref="A1073:K1073"/>
    <mergeCell ref="K1083:K1084"/>
    <mergeCell ref="J1087:J1088"/>
    <mergeCell ref="A1090:K1090"/>
    <mergeCell ref="J1091:J1092"/>
    <mergeCell ref="J1093:J1095"/>
    <mergeCell ref="K1094:K1095"/>
    <mergeCell ref="L1065:L1066"/>
    <mergeCell ref="A1072:E1072"/>
    <mergeCell ref="F1083:F1084"/>
    <mergeCell ref="G1083:G1084"/>
    <mergeCell ref="H1083:H1084"/>
    <mergeCell ref="I1083:I1084"/>
    <mergeCell ref="J1083:J1084"/>
    <mergeCell ref="B1087:B1088"/>
    <mergeCell ref="C1087:C1088"/>
    <mergeCell ref="D1087:D1088"/>
    <mergeCell ref="E1087:E1088"/>
    <mergeCell ref="F1087:F1088"/>
    <mergeCell ref="G1087:G1088"/>
    <mergeCell ref="H1087:H1088"/>
    <mergeCell ref="I1087:I1088"/>
    <mergeCell ref="L1123:Q1123"/>
    <mergeCell ref="B1124:Q1124"/>
    <mergeCell ref="L1137:Q1137"/>
    <mergeCell ref="B1138:O1138"/>
    <mergeCell ref="J1148:J1149"/>
    <mergeCell ref="J1150:J1156"/>
    <mergeCell ref="J1157:J1161"/>
    <mergeCell ref="J1162:J1164"/>
    <mergeCell ref="J1165:J1168"/>
    <mergeCell ref="J1171:J1172"/>
    <mergeCell ref="J1174:J1176"/>
    <mergeCell ref="J1178:J1179"/>
    <mergeCell ref="J1186:J1189"/>
    <mergeCell ref="J1190:J1193"/>
    <mergeCell ref="J1194:J1197"/>
    <mergeCell ref="J1199:J1201"/>
    <mergeCell ref="J1202:J1207"/>
    <mergeCell ref="E1202:E1207"/>
    <mergeCell ref="F1202:F1207"/>
    <mergeCell ref="G1202:G1207"/>
    <mergeCell ref="H1202:H1207"/>
    <mergeCell ref="I1202:I1207"/>
    <mergeCell ref="B1171:B1172"/>
    <mergeCell ref="C1171:C1172"/>
    <mergeCell ref="D1171:D1172"/>
    <mergeCell ref="E1171:E1172"/>
    <mergeCell ref="F1171:F1172"/>
    <mergeCell ref="G1171:G1172"/>
    <mergeCell ref="H1171:H1172"/>
    <mergeCell ref="I1171:I1172"/>
    <mergeCell ref="B1174:B1176"/>
    <mergeCell ref="C1174:C1176"/>
    <mergeCell ref="J1275:J1278"/>
    <mergeCell ref="J1279:J1281"/>
    <mergeCell ref="J1285:J1287"/>
    <mergeCell ref="J1289:J1292"/>
    <mergeCell ref="J1293:J1295"/>
    <mergeCell ref="J1296:J1297"/>
    <mergeCell ref="J1299:J1301"/>
    <mergeCell ref="J1302:J1304"/>
    <mergeCell ref="L1305:Q1305"/>
    <mergeCell ref="B1306:Q1306"/>
    <mergeCell ref="J1309:J1311"/>
    <mergeCell ref="J1314:J1315"/>
    <mergeCell ref="J1316:J1317"/>
    <mergeCell ref="J1318:J1319"/>
    <mergeCell ref="K1327:K1328"/>
    <mergeCell ref="N1327:O1327"/>
    <mergeCell ref="N1328:O1328"/>
    <mergeCell ref="F1316:F1317"/>
    <mergeCell ref="G1316:G1317"/>
    <mergeCell ref="H1316:H1317"/>
    <mergeCell ref="I1316:I1317"/>
    <mergeCell ref="B1318:B1319"/>
    <mergeCell ref="C1318:C1319"/>
    <mergeCell ref="D1318:D1319"/>
    <mergeCell ref="E1318:E1319"/>
    <mergeCell ref="F1318:F1319"/>
    <mergeCell ref="G1318:G1319"/>
    <mergeCell ref="H1318:H1319"/>
    <mergeCell ref="I1318:I1319"/>
    <mergeCell ref="G1327:G1328"/>
    <mergeCell ref="H1327:H1328"/>
    <mergeCell ref="I1327:I1328"/>
    <mergeCell ref="Q1359:Q1360"/>
    <mergeCell ref="L1361:Q1361"/>
    <mergeCell ref="B1362:Q1362"/>
    <mergeCell ref="L1383:Q1383"/>
    <mergeCell ref="B1384:Q1384"/>
    <mergeCell ref="Q1385:Q1386"/>
    <mergeCell ref="Q1391:Q1392"/>
    <mergeCell ref="K1394:K1395"/>
    <mergeCell ref="Q1394:Q1395"/>
    <mergeCell ref="L1396:Q1396"/>
    <mergeCell ref="B1397:Q1397"/>
    <mergeCell ref="J1412:J1413"/>
    <mergeCell ref="L1417:Q1417"/>
    <mergeCell ref="B1418:Q1418"/>
    <mergeCell ref="J1422:J1424"/>
    <mergeCell ref="J1427:J1428"/>
    <mergeCell ref="J1429:J1433"/>
    <mergeCell ref="F1427:F1428"/>
    <mergeCell ref="B1401:B1402"/>
    <mergeCell ref="C1401:C1402"/>
    <mergeCell ref="D1401:D1402"/>
    <mergeCell ref="E1401:E1402"/>
    <mergeCell ref="B1412:B1413"/>
    <mergeCell ref="C1412:C1413"/>
    <mergeCell ref="D1412:D1413"/>
    <mergeCell ref="E1412:E1413"/>
    <mergeCell ref="F1412:F1413"/>
    <mergeCell ref="G1412:G1413"/>
    <mergeCell ref="H1412:H1413"/>
    <mergeCell ref="I1412:I1413"/>
    <mergeCell ref="B1417:E1417"/>
    <mergeCell ref="B1422:B1424"/>
    <mergeCell ref="J1434:J1438"/>
    <mergeCell ref="J1440:J1443"/>
    <mergeCell ref="K1440:K1441"/>
    <mergeCell ref="L1440:L1441"/>
    <mergeCell ref="J1444:J1447"/>
    <mergeCell ref="J1449:J1451"/>
    <mergeCell ref="K1449:K1450"/>
    <mergeCell ref="J1452:J1453"/>
    <mergeCell ref="J1455:J1457"/>
    <mergeCell ref="L1458:Q1458"/>
    <mergeCell ref="B1459:Q1459"/>
    <mergeCell ref="K1460:K1461"/>
    <mergeCell ref="L1473:Q1473"/>
    <mergeCell ref="B1474:Q1474"/>
    <mergeCell ref="J1484:J1485"/>
    <mergeCell ref="J1486:J1487"/>
    <mergeCell ref="L1488:Q1488"/>
    <mergeCell ref="D1452:D1453"/>
    <mergeCell ref="F1452:F1453"/>
    <mergeCell ref="G1452:G1453"/>
    <mergeCell ref="H1452:H1453"/>
    <mergeCell ref="I1452:I1453"/>
    <mergeCell ref="B1455:B1457"/>
    <mergeCell ref="C1455:C1457"/>
    <mergeCell ref="D1455:D1457"/>
    <mergeCell ref="E1455:E1457"/>
    <mergeCell ref="F1455:F1457"/>
    <mergeCell ref="G1455:G1457"/>
    <mergeCell ref="H1455:H1457"/>
    <mergeCell ref="I1455:I1457"/>
    <mergeCell ref="C1444:C1447"/>
    <mergeCell ref="E1444:E1447"/>
    <mergeCell ref="J1496:J1497"/>
    <mergeCell ref="L1499:Q1499"/>
    <mergeCell ref="B1500:Q1500"/>
    <mergeCell ref="B1512:E1512"/>
    <mergeCell ref="L1512:Q1512"/>
    <mergeCell ref="B1513:Q1513"/>
    <mergeCell ref="B1517:E1517"/>
    <mergeCell ref="L1517:Q1517"/>
    <mergeCell ref="B1518:Q1518"/>
    <mergeCell ref="B1524:B1525"/>
    <mergeCell ref="C1524:C1525"/>
    <mergeCell ref="D1524:D1525"/>
    <mergeCell ref="E1524:E1525"/>
    <mergeCell ref="H1524:H1525"/>
    <mergeCell ref="I1524:I1525"/>
    <mergeCell ref="J1524:J1525"/>
    <mergeCell ref="K1524:K1525"/>
    <mergeCell ref="L1524:L1525"/>
    <mergeCell ref="M1524:M1525"/>
    <mergeCell ref="N1524:N1525"/>
    <mergeCell ref="O1524:O1525"/>
    <mergeCell ref="P1524:P1525"/>
    <mergeCell ref="Q1524:Q1525"/>
    <mergeCell ref="E1496:E1497"/>
    <mergeCell ref="F1496:F1497"/>
    <mergeCell ref="G1496:G1497"/>
    <mergeCell ref="H1496:H1497"/>
    <mergeCell ref="I1496:I1497"/>
    <mergeCell ref="B1499:E1499"/>
    <mergeCell ref="C1496:C1497"/>
    <mergeCell ref="D1496:D1497"/>
    <mergeCell ref="P1526:P1527"/>
    <mergeCell ref="Q1526:Q1527"/>
    <mergeCell ref="B1528:E1528"/>
    <mergeCell ref="L1528:Q1528"/>
    <mergeCell ref="B1529:Q1529"/>
    <mergeCell ref="L1533:Q1533"/>
    <mergeCell ref="B1534:Q1534"/>
    <mergeCell ref="B1539:E1539"/>
    <mergeCell ref="L1539:Q1539"/>
    <mergeCell ref="B1540:Q1540"/>
    <mergeCell ref="B1553:E1553"/>
    <mergeCell ref="L1553:Q1553"/>
    <mergeCell ref="B1554:Q1554"/>
    <mergeCell ref="F1555:F1556"/>
    <mergeCell ref="F1557:F1558"/>
    <mergeCell ref="F1559:F1560"/>
    <mergeCell ref="B1561:B1562"/>
    <mergeCell ref="C1561:C1562"/>
    <mergeCell ref="D1561:D1562"/>
    <mergeCell ref="E1561:E1562"/>
    <mergeCell ref="F1561:F1562"/>
    <mergeCell ref="G1561:G1562"/>
    <mergeCell ref="H1561:H1562"/>
    <mergeCell ref="I1561:I1562"/>
    <mergeCell ref="J1561:J1562"/>
    <mergeCell ref="B1533:E1533"/>
    <mergeCell ref="D1563:D1564"/>
    <mergeCell ref="E1563:E1564"/>
    <mergeCell ref="F1563:F1564"/>
    <mergeCell ref="G1563:G1564"/>
    <mergeCell ref="B1567:B1568"/>
    <mergeCell ref="C1567:C1568"/>
    <mergeCell ref="D1567:D1568"/>
    <mergeCell ref="E1567:E1568"/>
    <mergeCell ref="F1567:F1568"/>
    <mergeCell ref="G1567:G1568"/>
    <mergeCell ref="H1567:H1568"/>
    <mergeCell ref="I1567:I1568"/>
    <mergeCell ref="J1567:J1568"/>
    <mergeCell ref="B1569:B1572"/>
    <mergeCell ref="C1569:C1572"/>
    <mergeCell ref="D1569:D1572"/>
    <mergeCell ref="E1569:E1572"/>
    <mergeCell ref="F1569:F1572"/>
    <mergeCell ref="G1569:G1572"/>
    <mergeCell ref="H1569:H1572"/>
    <mergeCell ref="I1569:I1572"/>
    <mergeCell ref="J1569:J1572"/>
    <mergeCell ref="B1563:B1564"/>
    <mergeCell ref="C1563:C1564"/>
    <mergeCell ref="B1573:B1578"/>
    <mergeCell ref="C1573:C1578"/>
    <mergeCell ref="D1573:D1578"/>
    <mergeCell ref="E1573:E1578"/>
    <mergeCell ref="F1573:F1578"/>
    <mergeCell ref="G1573:G1578"/>
    <mergeCell ref="H1573:H1578"/>
    <mergeCell ref="I1573:I1578"/>
    <mergeCell ref="J1573:J1578"/>
    <mergeCell ref="N1578:Q1578"/>
    <mergeCell ref="B1579:B1581"/>
    <mergeCell ref="C1579:C1581"/>
    <mergeCell ref="D1579:D1581"/>
    <mergeCell ref="E1579:E1581"/>
    <mergeCell ref="F1579:F1581"/>
    <mergeCell ref="G1579:G1581"/>
    <mergeCell ref="H1579:H1581"/>
    <mergeCell ref="I1579:I1581"/>
    <mergeCell ref="J1579:J1581"/>
    <mergeCell ref="B1582:E1582"/>
    <mergeCell ref="B1583:Q1583"/>
    <mergeCell ref="B1585:B1589"/>
    <mergeCell ref="C1585:C1589"/>
    <mergeCell ref="D1585:D1589"/>
    <mergeCell ref="E1585:E1589"/>
    <mergeCell ref="F1585:F1589"/>
    <mergeCell ref="G1585:G1589"/>
    <mergeCell ref="H1585:H1589"/>
    <mergeCell ref="I1585:I1589"/>
    <mergeCell ref="J1585:J1589"/>
    <mergeCell ref="B1593:B1594"/>
    <mergeCell ref="C1593:C1594"/>
    <mergeCell ref="D1593:D1594"/>
    <mergeCell ref="E1593:E1594"/>
    <mergeCell ref="F1593:F1594"/>
    <mergeCell ref="G1593:G1594"/>
    <mergeCell ref="H1593:H1594"/>
    <mergeCell ref="I1593:I1594"/>
    <mergeCell ref="J1593:J1594"/>
    <mergeCell ref="H1595:H1597"/>
    <mergeCell ref="I1595:I1597"/>
    <mergeCell ref="J1595:J1597"/>
    <mergeCell ref="B1598:B1599"/>
    <mergeCell ref="C1598:C1599"/>
    <mergeCell ref="D1598:D1599"/>
    <mergeCell ref="E1598:E1599"/>
    <mergeCell ref="F1598:F1599"/>
    <mergeCell ref="G1598:G1599"/>
    <mergeCell ref="H1598:H1599"/>
    <mergeCell ref="I1598:I1599"/>
    <mergeCell ref="J1598:J1599"/>
    <mergeCell ref="B1600:E1600"/>
    <mergeCell ref="B1601:Q1601"/>
    <mergeCell ref="B1603:B1604"/>
    <mergeCell ref="C1603:C1604"/>
    <mergeCell ref="D1603:D1604"/>
    <mergeCell ref="E1603:E1604"/>
    <mergeCell ref="F1603:F1604"/>
    <mergeCell ref="G1603:G1604"/>
    <mergeCell ref="H1603:H1604"/>
    <mergeCell ref="I1603:I1604"/>
    <mergeCell ref="J1603:J1604"/>
    <mergeCell ref="B1595:B1597"/>
    <mergeCell ref="C1595:C1597"/>
    <mergeCell ref="D1595:D1597"/>
    <mergeCell ref="E1595:E1597"/>
    <mergeCell ref="F1595:F1597"/>
    <mergeCell ref="G1595:G1597"/>
    <mergeCell ref="B1610:B1611"/>
    <mergeCell ref="C1610:C1611"/>
    <mergeCell ref="D1610:D1611"/>
    <mergeCell ref="E1610:E1611"/>
    <mergeCell ref="F1610:F1611"/>
    <mergeCell ref="G1610:G1611"/>
    <mergeCell ref="H1610:H1611"/>
    <mergeCell ref="I1610:I1611"/>
    <mergeCell ref="J1610:J1611"/>
    <mergeCell ref="B1614:B1615"/>
    <mergeCell ref="C1614:C1615"/>
    <mergeCell ref="D1614:D1615"/>
    <mergeCell ref="E1614:E1615"/>
    <mergeCell ref="F1614:F1615"/>
    <mergeCell ref="G1614:G1615"/>
    <mergeCell ref="H1614:H1615"/>
    <mergeCell ref="I1614:I1615"/>
    <mergeCell ref="J1614:J1615"/>
    <mergeCell ref="B1616:E1616"/>
    <mergeCell ref="B1617:Q1617"/>
    <mergeCell ref="B1619:B1621"/>
    <mergeCell ref="C1619:C1621"/>
    <mergeCell ref="D1619:D1621"/>
    <mergeCell ref="E1619:E1621"/>
    <mergeCell ref="F1619:F1621"/>
    <mergeCell ref="G1619:G1621"/>
    <mergeCell ref="H1619:H1621"/>
    <mergeCell ref="I1619:I1621"/>
    <mergeCell ref="J1619:J1621"/>
    <mergeCell ref="B1622:B1626"/>
    <mergeCell ref="C1622:C1626"/>
    <mergeCell ref="D1622:D1626"/>
    <mergeCell ref="E1622:E1626"/>
    <mergeCell ref="F1622:F1626"/>
    <mergeCell ref="G1622:G1626"/>
    <mergeCell ref="H1622:H1626"/>
    <mergeCell ref="I1622:I1626"/>
    <mergeCell ref="J1622:J1626"/>
    <mergeCell ref="F1648:F1649"/>
    <mergeCell ref="G1648:G1649"/>
    <mergeCell ref="H1648:H1649"/>
    <mergeCell ref="I1648:I1649"/>
    <mergeCell ref="J1648:J1649"/>
    <mergeCell ref="K1648:K1649"/>
    <mergeCell ref="L1648:L1649"/>
    <mergeCell ref="M1648:M1649"/>
    <mergeCell ref="N1648:N1649"/>
    <mergeCell ref="O1648:O1649"/>
    <mergeCell ref="P1648:P1649"/>
    <mergeCell ref="Q1648:Q1649"/>
    <mergeCell ref="B1650:B1651"/>
    <mergeCell ref="C1650:C1651"/>
    <mergeCell ref="D1650:D1651"/>
    <mergeCell ref="E1650:E1651"/>
    <mergeCell ref="F1650:F1651"/>
    <mergeCell ref="G1650:G1651"/>
    <mergeCell ref="H1650:H1651"/>
    <mergeCell ref="I1650:I1651"/>
    <mergeCell ref="J1650:J1651"/>
    <mergeCell ref="K1650:K1651"/>
    <mergeCell ref="L1650:L1651"/>
    <mergeCell ref="M1650:M1651"/>
    <mergeCell ref="N1650:N1651"/>
    <mergeCell ref="O1650:O1651"/>
    <mergeCell ref="P1650:P1651"/>
    <mergeCell ref="Q1650:Q1651"/>
    <mergeCell ref="Q1652:Q1653"/>
    <mergeCell ref="B1654:B1655"/>
    <mergeCell ref="C1654:C1655"/>
    <mergeCell ref="D1654:D1655"/>
    <mergeCell ref="E1654:E1655"/>
    <mergeCell ref="F1654:F1655"/>
    <mergeCell ref="G1654:G1655"/>
    <mergeCell ref="H1654:H1655"/>
    <mergeCell ref="I1654:I1655"/>
    <mergeCell ref="J1654:J1655"/>
    <mergeCell ref="K1654:K1655"/>
    <mergeCell ref="L1654:L1655"/>
    <mergeCell ref="M1654:M1655"/>
    <mergeCell ref="N1654:N1655"/>
    <mergeCell ref="O1654:O1655"/>
    <mergeCell ref="P1654:P1655"/>
    <mergeCell ref="Q1654:Q1655"/>
    <mergeCell ref="I1795:I1796"/>
    <mergeCell ref="J1795:J1796"/>
    <mergeCell ref="K1795:K1796"/>
    <mergeCell ref="L1795:L1796"/>
    <mergeCell ref="B1656:E1656"/>
    <mergeCell ref="B1657:Q1657"/>
    <mergeCell ref="B1659:B1660"/>
    <mergeCell ref="C1659:C1660"/>
    <mergeCell ref="D1659:D1660"/>
    <mergeCell ref="E1659:E1660"/>
    <mergeCell ref="F1659:F1660"/>
    <mergeCell ref="G1659:G1660"/>
    <mergeCell ref="H1659:H1660"/>
    <mergeCell ref="I1659:I1660"/>
    <mergeCell ref="J1659:J1660"/>
    <mergeCell ref="B1661:E1661"/>
    <mergeCell ref="B1662:Q1662"/>
    <mergeCell ref="B1681:Q1681"/>
    <mergeCell ref="B1684:E1684"/>
    <mergeCell ref="B1685:Q1685"/>
    <mergeCell ref="B1699:B1700"/>
    <mergeCell ref="C1699:C1700"/>
    <mergeCell ref="D1699:D1700"/>
    <mergeCell ref="E1699:E1700"/>
    <mergeCell ref="B1708:E1708"/>
    <mergeCell ref="Q1704:Q1705"/>
    <mergeCell ref="H1704:H1705"/>
    <mergeCell ref="I1704:I1705"/>
    <mergeCell ref="J1704:J1705"/>
    <mergeCell ref="M1704:M1705"/>
    <mergeCell ref="B1712:E1712"/>
    <mergeCell ref="B558:B559"/>
    <mergeCell ref="C558:C559"/>
    <mergeCell ref="B560:B561"/>
    <mergeCell ref="C560:C561"/>
    <mergeCell ref="E564:E566"/>
    <mergeCell ref="E558:E559"/>
    <mergeCell ref="E560:E561"/>
    <mergeCell ref="E569:E570"/>
    <mergeCell ref="B1702:E1702"/>
    <mergeCell ref="B1703:Q1703"/>
    <mergeCell ref="B1709:Q1709"/>
    <mergeCell ref="B1713:Q1713"/>
    <mergeCell ref="B1714:Q1714"/>
    <mergeCell ref="B1738:E1738"/>
    <mergeCell ref="B1739:Q1739"/>
    <mergeCell ref="B1752:E1752"/>
    <mergeCell ref="B1753:Q1753"/>
    <mergeCell ref="B1652:B1653"/>
    <mergeCell ref="C1652:C1653"/>
    <mergeCell ref="D1652:D1653"/>
    <mergeCell ref="E1652:E1653"/>
    <mergeCell ref="F1652:F1653"/>
    <mergeCell ref="G1652:G1653"/>
    <mergeCell ref="H1652:H1653"/>
    <mergeCell ref="I1652:I1653"/>
    <mergeCell ref="J1652:J1653"/>
    <mergeCell ref="K1652:K1653"/>
    <mergeCell ref="L1652:L1653"/>
    <mergeCell ref="M1652:M1653"/>
    <mergeCell ref="N1652:N1653"/>
    <mergeCell ref="O1652:O1653"/>
    <mergeCell ref="P1652:P1653"/>
    <mergeCell ref="J1797:J1798"/>
    <mergeCell ref="K1797:K1798"/>
    <mergeCell ref="L1797:L1798"/>
    <mergeCell ref="B1799:E1799"/>
    <mergeCell ref="D560:D561"/>
    <mergeCell ref="B564:B566"/>
    <mergeCell ref="B569:B570"/>
    <mergeCell ref="B571:B572"/>
    <mergeCell ref="B573:B574"/>
    <mergeCell ref="C573:C574"/>
    <mergeCell ref="B576:B577"/>
    <mergeCell ref="C576:C577"/>
    <mergeCell ref="B578:B579"/>
    <mergeCell ref="E582:E586"/>
    <mergeCell ref="B582:B586"/>
    <mergeCell ref="C582:C586"/>
    <mergeCell ref="B587:B588"/>
    <mergeCell ref="B589:B590"/>
    <mergeCell ref="C589:C590"/>
    <mergeCell ref="B1766:E1766"/>
    <mergeCell ref="B1767:Q1767"/>
    <mergeCell ref="B1776:E1776"/>
    <mergeCell ref="B1777:Q1777"/>
    <mergeCell ref="B1790:E1790"/>
    <mergeCell ref="B1791:Q1791"/>
    <mergeCell ref="B1795:B1796"/>
    <mergeCell ref="C1795:C1796"/>
    <mergeCell ref="D1795:D1796"/>
    <mergeCell ref="E1795:E1796"/>
    <mergeCell ref="F1795:F1796"/>
    <mergeCell ref="G1795:G1796"/>
    <mergeCell ref="H1795:H1796"/>
  </mergeCells>
  <printOptions horizontalCentered="1"/>
  <pageMargins left="0.39370078740157483" right="0.39370078740157483" top="0.19685039370078741" bottom="0.19685039370078741" header="0" footer="0.19685039370078741"/>
  <pageSetup paperSize="9" scale="47" fitToHeight="0" orientation="landscape" r:id="rId1"/>
  <headerFooter>
    <oddFooter>&amp;R&amp;P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U166"/>
  <sheetViews>
    <sheetView tabSelected="1" view="pageBreakPreview" topLeftCell="A88" zoomScale="80" zoomScaleNormal="60" zoomScaleSheetLayoutView="80" workbookViewId="0">
      <selection activeCell="D100" sqref="D100:D101"/>
    </sheetView>
  </sheetViews>
  <sheetFormatPr defaultRowHeight="12.75" x14ac:dyDescent="0.2"/>
  <cols>
    <col min="1" max="3" width="7.5703125" style="442" customWidth="1"/>
    <col min="4" max="4" width="55.140625" style="442" customWidth="1"/>
    <col min="5" max="6" width="14.42578125" style="2522" customWidth="1"/>
    <col min="7" max="7" width="16" style="2522" customWidth="1"/>
    <col min="8" max="8" width="14.42578125" style="2522" customWidth="1"/>
    <col min="9" max="9" width="16.28515625" style="2522" customWidth="1"/>
    <col min="10" max="10" width="42.85546875" style="519" customWidth="1"/>
    <col min="11" max="11" width="11.7109375" style="2496" customWidth="1"/>
    <col min="12" max="16" width="11.7109375" style="442" customWidth="1"/>
    <col min="17" max="16384" width="9.140625" style="442"/>
  </cols>
  <sheetData>
    <row r="2" spans="1:21" s="9" customFormat="1" ht="12.75" customHeight="1" x14ac:dyDescent="0.2">
      <c r="A2" s="8"/>
      <c r="B2" s="121"/>
      <c r="C2" s="122"/>
      <c r="D2" s="121"/>
      <c r="E2" s="2497"/>
      <c r="F2" s="2497"/>
      <c r="G2" s="2497"/>
      <c r="H2" s="1576"/>
      <c r="I2" s="1576"/>
      <c r="J2" s="286"/>
      <c r="K2" s="8"/>
      <c r="L2" s="2173" t="s">
        <v>1</v>
      </c>
      <c r="M2" s="2173"/>
      <c r="N2" s="2173"/>
      <c r="O2" s="2173"/>
      <c r="P2" s="2173"/>
      <c r="Q2" s="1429"/>
      <c r="R2" s="1429"/>
      <c r="S2" s="1429"/>
      <c r="T2" s="1429"/>
      <c r="U2" s="1429"/>
    </row>
    <row r="3" spans="1:21" s="9" customFormat="1" ht="12.75" customHeight="1" x14ac:dyDescent="0.2">
      <c r="A3" s="8"/>
      <c r="B3" s="121"/>
      <c r="C3" s="122"/>
      <c r="D3" s="121"/>
      <c r="E3" s="2497"/>
      <c r="F3" s="2497" t="s">
        <v>0</v>
      </c>
      <c r="G3" s="2497"/>
      <c r="H3" s="1576"/>
      <c r="I3" s="1576"/>
      <c r="J3" s="286"/>
      <c r="K3" s="8"/>
      <c r="L3" s="2173"/>
      <c r="M3" s="2173"/>
      <c r="N3" s="2173"/>
      <c r="O3" s="2173"/>
      <c r="P3" s="2173"/>
      <c r="Q3" s="1429"/>
      <c r="R3" s="1429"/>
      <c r="S3" s="1429"/>
      <c r="T3" s="1429"/>
      <c r="U3" s="1429"/>
    </row>
    <row r="4" spans="1:21" s="9" customFormat="1" ht="12.75" customHeight="1" x14ac:dyDescent="0.2">
      <c r="A4" s="8"/>
      <c r="B4" s="121"/>
      <c r="C4" s="122"/>
      <c r="D4" s="121"/>
      <c r="E4" s="2497"/>
      <c r="F4" s="2497"/>
      <c r="G4" s="2497"/>
      <c r="H4" s="1576"/>
      <c r="I4" s="1576"/>
      <c r="J4" s="286"/>
      <c r="K4" s="8"/>
      <c r="L4" s="2173"/>
      <c r="M4" s="2173"/>
      <c r="N4" s="2173"/>
      <c r="O4" s="2173"/>
      <c r="P4" s="2173"/>
      <c r="Q4" s="1429"/>
      <c r="R4" s="1429"/>
      <c r="S4" s="1429"/>
      <c r="T4" s="1429"/>
      <c r="U4" s="1429"/>
    </row>
    <row r="5" spans="1:21" s="9" customFormat="1" ht="30" customHeight="1" x14ac:dyDescent="0.2">
      <c r="A5" s="8"/>
      <c r="B5" s="121"/>
      <c r="C5" s="122"/>
      <c r="D5" s="121"/>
      <c r="E5" s="2497"/>
      <c r="F5" s="2497"/>
      <c r="G5" s="2497"/>
      <c r="H5" s="1576"/>
      <c r="I5" s="1576"/>
      <c r="J5" s="286"/>
      <c r="K5" s="8"/>
      <c r="L5" s="2173"/>
      <c r="M5" s="2173"/>
      <c r="N5" s="2173"/>
      <c r="O5" s="2173"/>
      <c r="P5" s="2173"/>
      <c r="Q5" s="1429"/>
      <c r="R5" s="1429"/>
      <c r="S5" s="1429"/>
      <c r="T5" s="1429"/>
      <c r="U5" s="1429"/>
    </row>
    <row r="6" spans="1:21" s="9" customFormat="1" x14ac:dyDescent="0.2">
      <c r="A6" s="495"/>
      <c r="B6" s="496"/>
      <c r="C6" s="496"/>
      <c r="D6" s="497"/>
      <c r="E6" s="2497"/>
      <c r="F6" s="2497"/>
      <c r="G6" s="2497"/>
      <c r="H6" s="1576"/>
      <c r="I6" s="1576"/>
      <c r="J6" s="286"/>
      <c r="K6" s="8"/>
      <c r="N6" s="498"/>
      <c r="O6" s="498"/>
      <c r="P6" s="499" t="s">
        <v>1406</v>
      </c>
    </row>
    <row r="7" spans="1:21" s="9" customFormat="1" ht="15.75" customHeight="1" x14ac:dyDescent="0.2">
      <c r="A7" s="2483" t="s">
        <v>3</v>
      </c>
      <c r="B7" s="2483"/>
      <c r="C7" s="2483"/>
      <c r="D7" s="2483"/>
      <c r="E7" s="2497"/>
      <c r="F7" s="2497"/>
      <c r="G7" s="2497"/>
      <c r="H7" s="1576"/>
      <c r="I7" s="1576"/>
      <c r="J7" s="286"/>
      <c r="K7" s="8"/>
      <c r="N7" s="498"/>
      <c r="O7" s="498"/>
    </row>
    <row r="8" spans="1:21" s="9" customFormat="1" x14ac:dyDescent="0.2">
      <c r="A8" s="8"/>
      <c r="B8" s="121"/>
      <c r="C8" s="122"/>
      <c r="D8" s="121"/>
      <c r="E8" s="2497"/>
      <c r="F8" s="2497"/>
      <c r="G8" s="2497"/>
      <c r="H8" s="1576"/>
      <c r="I8" s="1576"/>
      <c r="J8" s="286"/>
      <c r="K8" s="8"/>
    </row>
    <row r="9" spans="1:21" s="9" customFormat="1" ht="12.75" customHeight="1" x14ac:dyDescent="0.2">
      <c r="A9" s="2484" t="s">
        <v>4</v>
      </c>
      <c r="B9" s="2484" t="s">
        <v>5</v>
      </c>
      <c r="C9" s="2484" t="s">
        <v>6</v>
      </c>
      <c r="D9" s="2485" t="s">
        <v>7</v>
      </c>
      <c r="E9" s="2498" t="s">
        <v>8</v>
      </c>
      <c r="F9" s="2498"/>
      <c r="G9" s="2498"/>
      <c r="H9" s="2498"/>
      <c r="I9" s="2498"/>
      <c r="J9" s="2185" t="s">
        <v>9</v>
      </c>
      <c r="K9" s="2185" t="s">
        <v>10</v>
      </c>
      <c r="L9" s="2185" t="s">
        <v>11</v>
      </c>
      <c r="M9" s="2185" t="s">
        <v>12</v>
      </c>
      <c r="N9" s="2185"/>
      <c r="O9" s="2185"/>
      <c r="P9" s="2185"/>
    </row>
    <row r="10" spans="1:21" s="9" customFormat="1" ht="12.75" customHeight="1" x14ac:dyDescent="0.2">
      <c r="A10" s="2179"/>
      <c r="B10" s="2179"/>
      <c r="C10" s="2179"/>
      <c r="D10" s="2182"/>
      <c r="E10" s="2499" t="s">
        <v>13</v>
      </c>
      <c r="F10" s="2499"/>
      <c r="G10" s="2499"/>
      <c r="H10" s="2499"/>
      <c r="I10" s="2499"/>
      <c r="J10" s="2185"/>
      <c r="K10" s="2185"/>
      <c r="L10" s="2185"/>
      <c r="M10" s="2185"/>
      <c r="N10" s="2185"/>
      <c r="O10" s="2185"/>
      <c r="P10" s="2185"/>
    </row>
    <row r="11" spans="1:21" s="8" customFormat="1" ht="36" customHeight="1" x14ac:dyDescent="0.2">
      <c r="A11" s="2180"/>
      <c r="B11" s="2180"/>
      <c r="C11" s="2180"/>
      <c r="D11" s="2183"/>
      <c r="E11" s="2523">
        <v>2019</v>
      </c>
      <c r="F11" s="2523">
        <v>2020</v>
      </c>
      <c r="G11" s="2523">
        <v>2021</v>
      </c>
      <c r="H11" s="2523">
        <v>2022</v>
      </c>
      <c r="I11" s="2523">
        <v>2023</v>
      </c>
      <c r="J11" s="2185"/>
      <c r="K11" s="2185"/>
      <c r="L11" s="14">
        <v>2019</v>
      </c>
      <c r="M11" s="14">
        <v>2020</v>
      </c>
      <c r="N11" s="14">
        <v>2021</v>
      </c>
      <c r="O11" s="14">
        <v>2022</v>
      </c>
      <c r="P11" s="14">
        <v>2023</v>
      </c>
    </row>
    <row r="12" spans="1:21" s="500" customFormat="1" ht="23.25" customHeight="1" x14ac:dyDescent="0.2">
      <c r="A12" s="1873" t="s">
        <v>1451</v>
      </c>
      <c r="B12" s="1873"/>
      <c r="C12" s="1873"/>
      <c r="D12" s="1873"/>
      <c r="E12" s="1873"/>
      <c r="F12" s="1873"/>
      <c r="G12" s="1873"/>
      <c r="H12" s="1873"/>
      <c r="I12" s="1873"/>
      <c r="J12" s="1873"/>
      <c r="K12" s="1873"/>
      <c r="L12" s="1873"/>
      <c r="M12" s="1873"/>
      <c r="N12" s="1873"/>
      <c r="O12" s="1873"/>
      <c r="P12" s="1873"/>
    </row>
    <row r="13" spans="1:21" s="500" customFormat="1" ht="39.75" customHeight="1" x14ac:dyDescent="0.2">
      <c r="A13" s="2486">
        <v>1</v>
      </c>
      <c r="B13" s="2163"/>
      <c r="C13" s="2487"/>
      <c r="D13" s="2488" t="s">
        <v>3049</v>
      </c>
      <c r="E13" s="2500">
        <v>76366.996510000026</v>
      </c>
      <c r="F13" s="2500">
        <v>91934.341</v>
      </c>
      <c r="G13" s="2500">
        <f>G17+G18+G19+G20+G21</f>
        <v>95669.540999999983</v>
      </c>
      <c r="H13" s="2500">
        <f t="shared" ref="H13:I13" si="0">H17+H18+H19+H20+H21</f>
        <v>95520.841</v>
      </c>
      <c r="I13" s="2500">
        <f t="shared" si="0"/>
        <v>95520.841</v>
      </c>
      <c r="J13" s="2490" t="s">
        <v>2282</v>
      </c>
      <c r="K13" s="2066" t="s">
        <v>2704</v>
      </c>
      <c r="L13" s="2066"/>
      <c r="M13" s="2066"/>
      <c r="N13" s="2066"/>
      <c r="O13" s="2066"/>
      <c r="P13" s="2066"/>
    </row>
    <row r="14" spans="1:21" s="500" customFormat="1" ht="12.75" customHeight="1" x14ac:dyDescent="0.2">
      <c r="A14" s="2486"/>
      <c r="B14" s="2163"/>
      <c r="C14" s="2487"/>
      <c r="D14" s="2488"/>
      <c r="E14" s="2500"/>
      <c r="F14" s="2500"/>
      <c r="G14" s="2500"/>
      <c r="H14" s="2500"/>
      <c r="I14" s="2500"/>
      <c r="J14" s="2490"/>
      <c r="K14" s="2066"/>
      <c r="L14" s="2066"/>
      <c r="M14" s="2066"/>
      <c r="N14" s="2066"/>
      <c r="O14" s="2066"/>
      <c r="P14" s="2066"/>
    </row>
    <row r="15" spans="1:21" s="500" customFormat="1" ht="12.75" customHeight="1" x14ac:dyDescent="0.2">
      <c r="A15" s="2237"/>
      <c r="B15" s="2237"/>
      <c r="C15" s="2487"/>
      <c r="D15" s="2488"/>
      <c r="E15" s="2500"/>
      <c r="F15" s="2500"/>
      <c r="G15" s="2500"/>
      <c r="H15" s="2500"/>
      <c r="I15" s="2500"/>
      <c r="J15" s="528" t="s">
        <v>18</v>
      </c>
      <c r="K15" s="708" t="s">
        <v>1452</v>
      </c>
      <c r="L15" s="668"/>
      <c r="M15" s="668"/>
      <c r="N15" s="668"/>
      <c r="O15" s="668"/>
      <c r="P15" s="668"/>
    </row>
    <row r="16" spans="1:21" ht="38.25" x14ac:dyDescent="0.2">
      <c r="A16" s="2237"/>
      <c r="B16" s="2237"/>
      <c r="C16" s="2487"/>
      <c r="D16" s="2488"/>
      <c r="E16" s="2500"/>
      <c r="F16" s="2500"/>
      <c r="G16" s="2500"/>
      <c r="H16" s="2500"/>
      <c r="I16" s="2500"/>
      <c r="J16" s="624" t="s">
        <v>2283</v>
      </c>
      <c r="K16" s="708" t="s">
        <v>1452</v>
      </c>
      <c r="L16" s="668"/>
      <c r="M16" s="668"/>
      <c r="N16" s="668"/>
      <c r="O16" s="668"/>
      <c r="P16" s="668"/>
    </row>
    <row r="17" spans="1:16" x14ac:dyDescent="0.2">
      <c r="A17" s="585"/>
      <c r="B17" s="578">
        <v>1</v>
      </c>
      <c r="C17" s="391"/>
      <c r="D17" s="72" t="s">
        <v>17</v>
      </c>
      <c r="E17" s="2501">
        <v>3685.6</v>
      </c>
      <c r="F17" s="2501">
        <v>0</v>
      </c>
      <c r="G17" s="2501">
        <v>4695.5</v>
      </c>
      <c r="H17" s="2501">
        <v>4695.5</v>
      </c>
      <c r="I17" s="2501">
        <v>4695.5</v>
      </c>
      <c r="J17" s="624"/>
      <c r="K17" s="711"/>
      <c r="L17" s="668"/>
      <c r="M17" s="668"/>
      <c r="N17" s="668"/>
      <c r="O17" s="668"/>
      <c r="P17" s="668"/>
    </row>
    <row r="18" spans="1:16" ht="12.75" customHeight="1" x14ac:dyDescent="0.2">
      <c r="A18" s="585"/>
      <c r="B18" s="578">
        <v>2</v>
      </c>
      <c r="C18" s="623"/>
      <c r="D18" s="483" t="s">
        <v>1453</v>
      </c>
      <c r="E18" s="2501">
        <v>3349.8</v>
      </c>
      <c r="F18" s="2501">
        <v>3899.3</v>
      </c>
      <c r="G18" s="2501">
        <v>3899.9</v>
      </c>
      <c r="H18" s="2501">
        <v>3899.9</v>
      </c>
      <c r="I18" s="2501">
        <v>3899.9</v>
      </c>
      <c r="J18" s="529"/>
      <c r="K18" s="711"/>
      <c r="L18" s="635"/>
      <c r="M18" s="635"/>
      <c r="N18" s="635"/>
      <c r="O18" s="635"/>
      <c r="P18" s="635"/>
    </row>
    <row r="19" spans="1:16" ht="12.75" customHeight="1" x14ac:dyDescent="0.2">
      <c r="A19" s="585"/>
      <c r="B19" s="578">
        <v>3</v>
      </c>
      <c r="C19" s="623"/>
      <c r="D19" s="59" t="s">
        <v>1454</v>
      </c>
      <c r="E19" s="2501">
        <v>1677.1</v>
      </c>
      <c r="F19" s="2501">
        <v>1705.2</v>
      </c>
      <c r="G19" s="2501">
        <v>1705.2000000000003</v>
      </c>
      <c r="H19" s="2501">
        <v>1705.2000000000003</v>
      </c>
      <c r="I19" s="2501">
        <v>1705.2000000000003</v>
      </c>
      <c r="J19" s="530"/>
      <c r="K19" s="711"/>
      <c r="L19" s="635"/>
      <c r="M19" s="635"/>
      <c r="N19" s="635"/>
      <c r="O19" s="635"/>
      <c r="P19" s="635"/>
    </row>
    <row r="20" spans="1:16" ht="25.5" x14ac:dyDescent="0.2">
      <c r="A20" s="585"/>
      <c r="B20" s="578">
        <v>4</v>
      </c>
      <c r="C20" s="623"/>
      <c r="D20" s="40" t="s">
        <v>1455</v>
      </c>
      <c r="E20" s="2501">
        <v>1314.2</v>
      </c>
      <c r="F20" s="2501">
        <v>1531.8</v>
      </c>
      <c r="G20" s="2501">
        <v>1531.7</v>
      </c>
      <c r="H20" s="2501">
        <v>1531.7</v>
      </c>
      <c r="I20" s="2501">
        <v>1531.7</v>
      </c>
      <c r="J20" s="530"/>
      <c r="K20" s="708"/>
      <c r="L20" s="508"/>
      <c r="M20" s="508"/>
      <c r="N20" s="508"/>
      <c r="O20" s="508"/>
      <c r="P20" s="508"/>
    </row>
    <row r="21" spans="1:16" x14ac:dyDescent="0.2">
      <c r="A21" s="585"/>
      <c r="B21" s="578">
        <v>5</v>
      </c>
      <c r="C21" s="623"/>
      <c r="D21" s="40" t="s">
        <v>1456</v>
      </c>
      <c r="E21" s="2501">
        <v>66340.296510000015</v>
      </c>
      <c r="F21" s="2501">
        <v>84798.040999999997</v>
      </c>
      <c r="G21" s="2501">
        <v>83837.24099999998</v>
      </c>
      <c r="H21" s="2501">
        <v>83688.540999999997</v>
      </c>
      <c r="I21" s="2501">
        <v>83688.540999999997</v>
      </c>
      <c r="J21" s="531"/>
      <c r="K21" s="708"/>
      <c r="L21" s="668"/>
      <c r="M21" s="668"/>
      <c r="N21" s="668"/>
      <c r="O21" s="668"/>
      <c r="P21" s="668"/>
    </row>
    <row r="22" spans="1:16" ht="93" customHeight="1" x14ac:dyDescent="0.2">
      <c r="A22" s="1337" t="s">
        <v>131</v>
      </c>
      <c r="B22" s="669"/>
      <c r="C22" s="669"/>
      <c r="D22" s="219" t="s">
        <v>3050</v>
      </c>
      <c r="E22" s="2501">
        <v>973468.28964999982</v>
      </c>
      <c r="F22" s="2501">
        <v>1008363.8111</v>
      </c>
      <c r="G22" s="2501">
        <f>G23+G28+G30+G39+G40</f>
        <v>4601218.91</v>
      </c>
      <c r="H22" s="2501">
        <f t="shared" ref="H22:I22" si="1">H23+H28+H30+H39+H40</f>
        <v>1160096.3</v>
      </c>
      <c r="I22" s="2501">
        <f t="shared" si="1"/>
        <v>1003557.5000000001</v>
      </c>
      <c r="J22" s="531"/>
      <c r="K22" s="708"/>
      <c r="L22" s="509"/>
      <c r="M22" s="509"/>
      <c r="N22" s="509"/>
      <c r="O22" s="509"/>
      <c r="P22" s="509"/>
    </row>
    <row r="23" spans="1:16" ht="41.25" customHeight="1" x14ac:dyDescent="0.2">
      <c r="A23" s="1980"/>
      <c r="B23" s="1980" t="s">
        <v>114</v>
      </c>
      <c r="C23" s="1980"/>
      <c r="D23" s="2333" t="s">
        <v>1457</v>
      </c>
      <c r="E23" s="2502">
        <v>41896.90857</v>
      </c>
      <c r="F23" s="2502">
        <v>18429.3</v>
      </c>
      <c r="G23" s="2502">
        <v>31819.7</v>
      </c>
      <c r="H23" s="2503">
        <v>31819.7</v>
      </c>
      <c r="I23" s="2503">
        <v>31819.7</v>
      </c>
      <c r="J23" s="624"/>
      <c r="K23" s="711"/>
      <c r="L23" s="625"/>
      <c r="M23" s="510"/>
      <c r="N23" s="510"/>
      <c r="O23" s="510"/>
      <c r="P23" s="510"/>
    </row>
    <row r="24" spans="1:16" ht="25.5" customHeight="1" x14ac:dyDescent="0.2">
      <c r="A24" s="2061"/>
      <c r="B24" s="2061"/>
      <c r="C24" s="2061"/>
      <c r="D24" s="2481"/>
      <c r="E24" s="2504"/>
      <c r="F24" s="2504"/>
      <c r="G24" s="2504"/>
      <c r="H24" s="2502">
        <v>31819.7</v>
      </c>
      <c r="I24" s="2502">
        <v>31819.7</v>
      </c>
      <c r="J24" s="635" t="s">
        <v>2284</v>
      </c>
      <c r="K24" s="711"/>
      <c r="L24" s="625"/>
      <c r="M24" s="510"/>
      <c r="N24" s="510"/>
      <c r="O24" s="510"/>
      <c r="P24" s="510"/>
    </row>
    <row r="25" spans="1:16" ht="25.5" x14ac:dyDescent="0.2">
      <c r="A25" s="2061"/>
      <c r="B25" s="2061"/>
      <c r="C25" s="2061"/>
      <c r="D25" s="2481"/>
      <c r="E25" s="2504"/>
      <c r="F25" s="2504"/>
      <c r="G25" s="2504"/>
      <c r="H25" s="2504">
        <v>31819.7</v>
      </c>
      <c r="I25" s="2504">
        <v>31819.7</v>
      </c>
      <c r="J25" s="635" t="s">
        <v>2285</v>
      </c>
      <c r="K25" s="711" t="s">
        <v>2700</v>
      </c>
      <c r="L25" s="510">
        <v>4</v>
      </c>
      <c r="M25" s="510">
        <v>5</v>
      </c>
      <c r="N25" s="510">
        <v>6</v>
      </c>
      <c r="O25" s="510">
        <v>7</v>
      </c>
      <c r="P25" s="510">
        <v>8</v>
      </c>
    </row>
    <row r="26" spans="1:16" ht="47.25" customHeight="1" x14ac:dyDescent="0.2">
      <c r="A26" s="2061"/>
      <c r="B26" s="2061"/>
      <c r="C26" s="2061"/>
      <c r="D26" s="2481"/>
      <c r="E26" s="2504"/>
      <c r="F26" s="2504"/>
      <c r="G26" s="2504"/>
      <c r="H26" s="2504">
        <v>31819.7</v>
      </c>
      <c r="I26" s="2504">
        <v>31819.7</v>
      </c>
      <c r="J26" s="635" t="s">
        <v>2286</v>
      </c>
      <c r="K26" s="711" t="s">
        <v>2706</v>
      </c>
      <c r="L26" s="510">
        <v>3</v>
      </c>
      <c r="M26" s="510">
        <v>3</v>
      </c>
      <c r="N26" s="510">
        <v>3</v>
      </c>
      <c r="O26" s="510">
        <v>3</v>
      </c>
      <c r="P26" s="510">
        <v>3</v>
      </c>
    </row>
    <row r="27" spans="1:16" ht="40.5" customHeight="1" x14ac:dyDescent="0.2">
      <c r="A27" s="2046"/>
      <c r="B27" s="2046"/>
      <c r="C27" s="2046"/>
      <c r="D27" s="2482"/>
      <c r="E27" s="2505"/>
      <c r="F27" s="2505"/>
      <c r="G27" s="2505"/>
      <c r="H27" s="2504">
        <v>31819.7</v>
      </c>
      <c r="I27" s="2504">
        <v>31819.7</v>
      </c>
      <c r="J27" s="635" t="s">
        <v>2287</v>
      </c>
      <c r="K27" s="711" t="s">
        <v>2705</v>
      </c>
      <c r="L27" s="510">
        <v>10</v>
      </c>
      <c r="M27" s="510">
        <v>10</v>
      </c>
      <c r="N27" s="510">
        <v>10</v>
      </c>
      <c r="O27" s="510">
        <v>15</v>
      </c>
      <c r="P27" s="510">
        <v>15</v>
      </c>
    </row>
    <row r="28" spans="1:16" ht="43.5" customHeight="1" x14ac:dyDescent="0.2">
      <c r="A28" s="1980"/>
      <c r="B28" s="1980" t="s">
        <v>116</v>
      </c>
      <c r="C28" s="1980"/>
      <c r="D28" s="2475" t="s">
        <v>1458</v>
      </c>
      <c r="E28" s="2502">
        <v>89743.628800000006</v>
      </c>
      <c r="F28" s="2502">
        <v>115229.2</v>
      </c>
      <c r="G28" s="2502">
        <v>115229.2</v>
      </c>
      <c r="H28" s="2502">
        <v>115229.2</v>
      </c>
      <c r="I28" s="2502">
        <v>115229.2</v>
      </c>
      <c r="J28" s="528" t="s">
        <v>2288</v>
      </c>
      <c r="K28" s="711" t="s">
        <v>2704</v>
      </c>
      <c r="L28" s="511" t="s">
        <v>1459</v>
      </c>
      <c r="M28" s="511" t="s">
        <v>1459</v>
      </c>
      <c r="N28" s="511" t="s">
        <v>1459</v>
      </c>
      <c r="O28" s="511" t="s">
        <v>1459</v>
      </c>
      <c r="P28" s="511" t="s">
        <v>1459</v>
      </c>
    </row>
    <row r="29" spans="1:16" ht="65.25" customHeight="1" x14ac:dyDescent="0.2">
      <c r="A29" s="2046"/>
      <c r="B29" s="2046"/>
      <c r="C29" s="2046"/>
      <c r="D29" s="2063"/>
      <c r="E29" s="2505"/>
      <c r="F29" s="2505"/>
      <c r="G29" s="2505"/>
      <c r="H29" s="2505"/>
      <c r="I29" s="2505"/>
      <c r="J29" s="635" t="s">
        <v>2289</v>
      </c>
      <c r="K29" s="711" t="s">
        <v>115</v>
      </c>
      <c r="L29" s="511"/>
      <c r="M29" s="511"/>
      <c r="N29" s="511"/>
      <c r="O29" s="511"/>
      <c r="P29" s="511"/>
    </row>
    <row r="30" spans="1:16" ht="92.25" customHeight="1" x14ac:dyDescent="0.2">
      <c r="A30" s="1980"/>
      <c r="B30" s="1980" t="s">
        <v>119</v>
      </c>
      <c r="C30" s="1980"/>
      <c r="D30" s="2162" t="s">
        <v>1460</v>
      </c>
      <c r="E30" s="2506">
        <v>595476.11597999989</v>
      </c>
      <c r="F30" s="2506">
        <v>629971.88828000007</v>
      </c>
      <c r="G30" s="2506">
        <v>4036497.7100000004</v>
      </c>
      <c r="H30" s="2506">
        <v>653984.10000000009</v>
      </c>
      <c r="I30" s="2506">
        <v>653986.10000000009</v>
      </c>
      <c r="J30" s="528" t="s">
        <v>2290</v>
      </c>
      <c r="K30" s="711" t="s">
        <v>2702</v>
      </c>
      <c r="L30" s="511" t="s">
        <v>1461</v>
      </c>
      <c r="M30" s="511" t="s">
        <v>1461</v>
      </c>
      <c r="N30" s="511" t="s">
        <v>1461</v>
      </c>
      <c r="O30" s="511" t="s">
        <v>1461</v>
      </c>
      <c r="P30" s="511" t="s">
        <v>1461</v>
      </c>
    </row>
    <row r="31" spans="1:16" ht="38.25" x14ac:dyDescent="0.2">
      <c r="A31" s="2480"/>
      <c r="B31" s="2480"/>
      <c r="C31" s="2480"/>
      <c r="D31" s="2237"/>
      <c r="E31" s="2507"/>
      <c r="F31" s="2507"/>
      <c r="G31" s="2507"/>
      <c r="H31" s="2507">
        <v>653984.10000000009</v>
      </c>
      <c r="I31" s="2507">
        <v>653986.10000000009</v>
      </c>
      <c r="J31" s="528" t="s">
        <v>2291</v>
      </c>
      <c r="K31" s="711" t="s">
        <v>2701</v>
      </c>
      <c r="L31" s="625">
        <v>92.7</v>
      </c>
      <c r="M31" s="625">
        <v>92.7</v>
      </c>
      <c r="N31" s="625">
        <v>90.9</v>
      </c>
      <c r="O31" s="625">
        <v>89.2</v>
      </c>
      <c r="P31" s="625">
        <v>87.5</v>
      </c>
    </row>
    <row r="32" spans="1:16" ht="25.5" x14ac:dyDescent="0.2">
      <c r="A32" s="2480"/>
      <c r="B32" s="2480"/>
      <c r="C32" s="2480"/>
      <c r="D32" s="2237"/>
      <c r="E32" s="2507"/>
      <c r="F32" s="2507"/>
      <c r="G32" s="2507"/>
      <c r="H32" s="2507">
        <v>653984.10000000009</v>
      </c>
      <c r="I32" s="2507">
        <v>653986.10000000009</v>
      </c>
      <c r="J32" s="528" t="s">
        <v>2292</v>
      </c>
      <c r="K32" s="711" t="s">
        <v>1462</v>
      </c>
      <c r="L32" s="625">
        <v>250</v>
      </c>
      <c r="M32" s="700">
        <v>250</v>
      </c>
      <c r="N32" s="700">
        <v>250</v>
      </c>
      <c r="O32" s="700">
        <v>250</v>
      </c>
      <c r="P32" s="700">
        <v>250</v>
      </c>
    </row>
    <row r="33" spans="1:16" ht="38.25" customHeight="1" x14ac:dyDescent="0.2">
      <c r="A33" s="2480"/>
      <c r="B33" s="2480"/>
      <c r="C33" s="2480"/>
      <c r="D33" s="2237"/>
      <c r="E33" s="2507"/>
      <c r="F33" s="2507"/>
      <c r="G33" s="2507"/>
      <c r="H33" s="2507">
        <v>653984.10000000009</v>
      </c>
      <c r="I33" s="2507">
        <v>653986.10000000009</v>
      </c>
      <c r="J33" s="528" t="s">
        <v>2293</v>
      </c>
      <c r="K33" s="711" t="s">
        <v>2704</v>
      </c>
      <c r="L33" s="625">
        <v>85</v>
      </c>
      <c r="M33" s="512">
        <v>85</v>
      </c>
      <c r="N33" s="512">
        <v>85</v>
      </c>
      <c r="O33" s="512">
        <v>85</v>
      </c>
      <c r="P33" s="512">
        <v>85</v>
      </c>
    </row>
    <row r="34" spans="1:16" ht="38.25" x14ac:dyDescent="0.2">
      <c r="A34" s="2480"/>
      <c r="B34" s="2480"/>
      <c r="C34" s="2480"/>
      <c r="D34" s="2237"/>
      <c r="E34" s="2507"/>
      <c r="F34" s="2507"/>
      <c r="G34" s="2507"/>
      <c r="H34" s="2507">
        <v>653984.10000000009</v>
      </c>
      <c r="I34" s="2507">
        <v>653986.10000000009</v>
      </c>
      <c r="J34" s="40" t="s">
        <v>2294</v>
      </c>
      <c r="K34" s="711" t="s">
        <v>2704</v>
      </c>
      <c r="L34" s="625">
        <v>56</v>
      </c>
      <c r="M34" s="512">
        <v>60</v>
      </c>
      <c r="N34" s="512">
        <v>67</v>
      </c>
      <c r="O34" s="512">
        <v>75</v>
      </c>
      <c r="P34" s="512">
        <v>90</v>
      </c>
    </row>
    <row r="35" spans="1:16" ht="25.5" x14ac:dyDescent="0.2">
      <c r="A35" s="2480"/>
      <c r="B35" s="2480"/>
      <c r="C35" s="2480"/>
      <c r="D35" s="2237"/>
      <c r="E35" s="2507"/>
      <c r="F35" s="2507"/>
      <c r="G35" s="2507"/>
      <c r="H35" s="2507">
        <v>653984.10000000009</v>
      </c>
      <c r="I35" s="2507">
        <v>653986.10000000009</v>
      </c>
      <c r="J35" s="41" t="s">
        <v>2295</v>
      </c>
      <c r="K35" s="711" t="s">
        <v>2704</v>
      </c>
      <c r="L35" s="513">
        <v>82</v>
      </c>
      <c r="M35" s="513">
        <v>82</v>
      </c>
      <c r="N35" s="513">
        <v>82</v>
      </c>
      <c r="O35" s="513">
        <v>82</v>
      </c>
      <c r="P35" s="513">
        <v>82</v>
      </c>
    </row>
    <row r="36" spans="1:16" ht="12.75" customHeight="1" x14ac:dyDescent="0.2">
      <c r="A36" s="2480"/>
      <c r="B36" s="2480"/>
      <c r="C36" s="2480"/>
      <c r="D36" s="2237"/>
      <c r="E36" s="2507"/>
      <c r="F36" s="2507"/>
      <c r="G36" s="2507"/>
      <c r="H36" s="2507">
        <v>653984.10000000009</v>
      </c>
      <c r="I36" s="2507">
        <v>653986.10000000009</v>
      </c>
      <c r="J36" s="40" t="s">
        <v>2296</v>
      </c>
      <c r="K36" s="708" t="s">
        <v>2704</v>
      </c>
      <c r="L36" s="625"/>
      <c r="M36" s="512"/>
      <c r="N36" s="512"/>
      <c r="O36" s="512"/>
      <c r="P36" s="512"/>
    </row>
    <row r="37" spans="1:16" ht="12.75" customHeight="1" x14ac:dyDescent="0.2">
      <c r="A37" s="2480"/>
      <c r="B37" s="2480"/>
      <c r="C37" s="2480"/>
      <c r="D37" s="2237"/>
      <c r="E37" s="2507"/>
      <c r="F37" s="2507"/>
      <c r="G37" s="2507"/>
      <c r="H37" s="2507">
        <v>653984.10000000009</v>
      </c>
      <c r="I37" s="2507">
        <v>653986.10000000009</v>
      </c>
      <c r="J37" s="40" t="s">
        <v>2297</v>
      </c>
      <c r="K37" s="708" t="s">
        <v>2704</v>
      </c>
      <c r="L37" s="625"/>
      <c r="M37" s="512"/>
      <c r="N37" s="512"/>
      <c r="O37" s="512"/>
      <c r="P37" s="512"/>
    </row>
    <row r="38" spans="1:16" ht="73.5" customHeight="1" x14ac:dyDescent="0.2">
      <c r="A38" s="2046"/>
      <c r="B38" s="2046"/>
      <c r="C38" s="2046"/>
      <c r="D38" s="2237"/>
      <c r="E38" s="2508"/>
      <c r="F38" s="2508"/>
      <c r="G38" s="2508"/>
      <c r="H38" s="2508">
        <v>653984.10000000009</v>
      </c>
      <c r="I38" s="2508">
        <v>653986.10000000009</v>
      </c>
      <c r="J38" s="40" t="s">
        <v>2298</v>
      </c>
      <c r="K38" s="711" t="s">
        <v>2704</v>
      </c>
      <c r="L38" s="513"/>
      <c r="M38" s="513"/>
      <c r="N38" s="513"/>
      <c r="O38" s="513"/>
      <c r="P38" s="513"/>
    </row>
    <row r="39" spans="1:16" ht="48.75" customHeight="1" x14ac:dyDescent="0.2">
      <c r="A39" s="581"/>
      <c r="B39" s="581" t="s">
        <v>124</v>
      </c>
      <c r="C39" s="581"/>
      <c r="D39" s="624" t="s">
        <v>1463</v>
      </c>
      <c r="E39" s="2501">
        <v>156461.12479000003</v>
      </c>
      <c r="F39" s="2501">
        <v>150754.02943999998</v>
      </c>
      <c r="G39" s="2501">
        <v>412672.30000000005</v>
      </c>
      <c r="H39" s="2501">
        <v>354063.3</v>
      </c>
      <c r="I39" s="2501">
        <v>197522.5</v>
      </c>
      <c r="J39" s="635" t="s">
        <v>2299</v>
      </c>
      <c r="K39" s="711" t="s">
        <v>1464</v>
      </c>
      <c r="L39" s="625">
        <v>100</v>
      </c>
      <c r="M39" s="510">
        <v>120</v>
      </c>
      <c r="N39" s="510">
        <v>180</v>
      </c>
      <c r="O39" s="510">
        <v>200</v>
      </c>
      <c r="P39" s="510">
        <v>200</v>
      </c>
    </row>
    <row r="40" spans="1:16" ht="131.25" customHeight="1" x14ac:dyDescent="0.2">
      <c r="A40" s="1980"/>
      <c r="B40" s="1980" t="s">
        <v>128</v>
      </c>
      <c r="C40" s="1980"/>
      <c r="D40" s="2475" t="s">
        <v>1465</v>
      </c>
      <c r="E40" s="2509">
        <v>3000</v>
      </c>
      <c r="F40" s="2509">
        <v>3000</v>
      </c>
      <c r="G40" s="2509">
        <v>5000</v>
      </c>
      <c r="H40" s="2509">
        <v>5000</v>
      </c>
      <c r="I40" s="2509">
        <v>5000</v>
      </c>
      <c r="J40" s="635" t="s">
        <v>2686</v>
      </c>
      <c r="K40" s="711" t="s">
        <v>2700</v>
      </c>
      <c r="L40" s="625" t="s">
        <v>1466</v>
      </c>
      <c r="M40" s="512" t="s">
        <v>1466</v>
      </c>
      <c r="N40" s="512" t="s">
        <v>1466</v>
      </c>
      <c r="O40" s="512" t="s">
        <v>1467</v>
      </c>
      <c r="P40" s="512" t="s">
        <v>1468</v>
      </c>
    </row>
    <row r="41" spans="1:16" ht="36" customHeight="1" x14ac:dyDescent="0.2">
      <c r="A41" s="2476"/>
      <c r="B41" s="2476"/>
      <c r="C41" s="2476"/>
      <c r="D41" s="2478"/>
      <c r="E41" s="2510"/>
      <c r="F41" s="2510"/>
      <c r="G41" s="2510"/>
      <c r="H41" s="2510"/>
      <c r="I41" s="2510"/>
      <c r="J41" s="528" t="s">
        <v>2300</v>
      </c>
      <c r="K41" s="711" t="s">
        <v>115</v>
      </c>
      <c r="L41" s="512">
        <v>0</v>
      </c>
      <c r="M41" s="512">
        <v>0</v>
      </c>
      <c r="N41" s="512">
        <v>0</v>
      </c>
      <c r="O41" s="512">
        <v>0</v>
      </c>
      <c r="P41" s="512">
        <v>0</v>
      </c>
    </row>
    <row r="42" spans="1:16" ht="37.5" customHeight="1" x14ac:dyDescent="0.2">
      <c r="A42" s="2476"/>
      <c r="B42" s="2476"/>
      <c r="C42" s="2476"/>
      <c r="D42" s="2478"/>
      <c r="E42" s="2510"/>
      <c r="F42" s="2510"/>
      <c r="G42" s="2510"/>
      <c r="H42" s="2510"/>
      <c r="I42" s="2510"/>
      <c r="J42" s="528" t="s">
        <v>2301</v>
      </c>
      <c r="K42" s="711" t="s">
        <v>115</v>
      </c>
      <c r="L42" s="512">
        <v>0</v>
      </c>
      <c r="M42" s="512">
        <v>0</v>
      </c>
      <c r="N42" s="512">
        <v>0</v>
      </c>
      <c r="O42" s="512">
        <v>0</v>
      </c>
      <c r="P42" s="512">
        <v>0</v>
      </c>
    </row>
    <row r="43" spans="1:16" ht="40.5" customHeight="1" x14ac:dyDescent="0.2">
      <c r="A43" s="2476"/>
      <c r="B43" s="2476"/>
      <c r="C43" s="2476"/>
      <c r="D43" s="2478"/>
      <c r="E43" s="2510"/>
      <c r="F43" s="2510"/>
      <c r="G43" s="2510"/>
      <c r="H43" s="2510"/>
      <c r="I43" s="2510"/>
      <c r="J43" s="528" t="s">
        <v>2302</v>
      </c>
      <c r="K43" s="711" t="s">
        <v>115</v>
      </c>
      <c r="L43" s="512">
        <v>0</v>
      </c>
      <c r="M43" s="512">
        <v>0</v>
      </c>
      <c r="N43" s="512">
        <v>0</v>
      </c>
      <c r="O43" s="512">
        <v>0</v>
      </c>
      <c r="P43" s="512">
        <v>0</v>
      </c>
    </row>
    <row r="44" spans="1:16" ht="77.25" customHeight="1" x14ac:dyDescent="0.2">
      <c r="A44" s="2477"/>
      <c r="B44" s="2477"/>
      <c r="C44" s="2477"/>
      <c r="D44" s="2479"/>
      <c r="E44" s="2511"/>
      <c r="F44" s="2511"/>
      <c r="G44" s="2511"/>
      <c r="H44" s="2511"/>
      <c r="I44" s="2511"/>
      <c r="J44" s="528" t="s">
        <v>2303</v>
      </c>
      <c r="K44" s="711" t="s">
        <v>122</v>
      </c>
      <c r="L44" s="75"/>
      <c r="M44" s="75"/>
      <c r="N44" s="75"/>
      <c r="O44" s="75"/>
      <c r="P44" s="75"/>
    </row>
    <row r="45" spans="1:16" ht="74.25" customHeight="1" x14ac:dyDescent="0.2">
      <c r="A45" s="872" t="s">
        <v>155</v>
      </c>
      <c r="B45" s="581"/>
      <c r="C45" s="581"/>
      <c r="D45" s="624" t="s">
        <v>2756</v>
      </c>
      <c r="E45" s="2501">
        <v>1675801.4937000002</v>
      </c>
      <c r="F45" s="2501">
        <v>1421245.6996299999</v>
      </c>
      <c r="G45" s="2501">
        <f>G46+G50+G51+G52+G57+G69+G70+G71</f>
        <v>2186237.5</v>
      </c>
      <c r="H45" s="2501">
        <f t="shared" ref="H45:I45" si="2">H46+H50+H51+H52+H57+H69+H70+H71</f>
        <v>2544063.6</v>
      </c>
      <c r="I45" s="2501">
        <f t="shared" si="2"/>
        <v>3324931.7999999993</v>
      </c>
      <c r="K45" s="711"/>
      <c r="L45" s="512"/>
      <c r="M45" s="512"/>
      <c r="N45" s="512"/>
      <c r="O45" s="512"/>
      <c r="P45" s="512"/>
    </row>
    <row r="46" spans="1:16" ht="68.25" customHeight="1" x14ac:dyDescent="0.2">
      <c r="A46" s="1980"/>
      <c r="B46" s="1980" t="s">
        <v>114</v>
      </c>
      <c r="C46" s="1980"/>
      <c r="D46" s="2475" t="s">
        <v>1469</v>
      </c>
      <c r="E46" s="2509">
        <v>67053.492839999992</v>
      </c>
      <c r="F46" s="2509">
        <v>33594.1</v>
      </c>
      <c r="G46" s="2509">
        <v>229884.69999999998</v>
      </c>
      <c r="H46" s="2509">
        <v>873934.70000000007</v>
      </c>
      <c r="I46" s="2509">
        <v>1630215.9</v>
      </c>
      <c r="J46" s="528" t="s">
        <v>2305</v>
      </c>
      <c r="K46" s="711" t="s">
        <v>16</v>
      </c>
      <c r="L46" s="625">
        <v>4.3</v>
      </c>
      <c r="M46" s="625" t="s">
        <v>2712</v>
      </c>
      <c r="N46" s="625" t="s">
        <v>2712</v>
      </c>
      <c r="O46" s="625" t="s">
        <v>2712</v>
      </c>
      <c r="P46" s="625" t="s">
        <v>2712</v>
      </c>
    </row>
    <row r="47" spans="1:16" ht="43.5" customHeight="1" x14ac:dyDescent="0.2">
      <c r="A47" s="2061"/>
      <c r="B47" s="2061"/>
      <c r="C47" s="2061"/>
      <c r="D47" s="2478"/>
      <c r="E47" s="2510"/>
      <c r="F47" s="2510"/>
      <c r="G47" s="2510"/>
      <c r="H47" s="2510">
        <v>873934.70000000007</v>
      </c>
      <c r="I47" s="2510">
        <v>1630215.9</v>
      </c>
      <c r="J47" s="528" t="s">
        <v>2687</v>
      </c>
      <c r="K47" s="711" t="s">
        <v>16</v>
      </c>
      <c r="L47" s="625"/>
      <c r="M47" s="625"/>
      <c r="N47" s="625"/>
      <c r="O47" s="625"/>
      <c r="P47" s="625"/>
    </row>
    <row r="48" spans="1:16" ht="51" x14ac:dyDescent="0.2">
      <c r="A48" s="2061"/>
      <c r="B48" s="2061"/>
      <c r="C48" s="2061"/>
      <c r="D48" s="2478"/>
      <c r="E48" s="2510"/>
      <c r="F48" s="2510"/>
      <c r="G48" s="2510"/>
      <c r="H48" s="2510">
        <v>873934.70000000007</v>
      </c>
      <c r="I48" s="2510">
        <v>1630215.9</v>
      </c>
      <c r="J48" s="528" t="s">
        <v>2306</v>
      </c>
      <c r="K48" s="711" t="s">
        <v>16</v>
      </c>
      <c r="L48" s="625"/>
      <c r="M48" s="625"/>
      <c r="N48" s="625"/>
      <c r="O48" s="625"/>
      <c r="P48" s="625"/>
    </row>
    <row r="49" spans="1:16" ht="52.5" customHeight="1" x14ac:dyDescent="0.2">
      <c r="A49" s="2046"/>
      <c r="B49" s="2046"/>
      <c r="C49" s="2046"/>
      <c r="D49" s="2479"/>
      <c r="E49" s="2511"/>
      <c r="F49" s="2511"/>
      <c r="G49" s="2511"/>
      <c r="H49" s="2511">
        <v>873934.70000000007</v>
      </c>
      <c r="I49" s="2511">
        <v>1630215.9</v>
      </c>
      <c r="J49" s="528" t="s">
        <v>2307</v>
      </c>
      <c r="K49" s="711" t="s">
        <v>16</v>
      </c>
      <c r="L49" s="625"/>
      <c r="M49" s="625"/>
      <c r="N49" s="625"/>
      <c r="O49" s="625"/>
      <c r="P49" s="625"/>
    </row>
    <row r="50" spans="1:16" ht="63" customHeight="1" x14ac:dyDescent="0.2">
      <c r="A50" s="581"/>
      <c r="B50" s="581" t="s">
        <v>116</v>
      </c>
      <c r="C50" s="581"/>
      <c r="D50" s="624" t="s">
        <v>2689</v>
      </c>
      <c r="E50" s="2501">
        <v>126223.98419999998</v>
      </c>
      <c r="F50" s="2501">
        <v>145402.30000000002</v>
      </c>
      <c r="G50" s="2501">
        <v>145402.30000000002</v>
      </c>
      <c r="H50" s="2501">
        <v>145402.30000000002</v>
      </c>
      <c r="I50" s="2501">
        <v>145402.30000000002</v>
      </c>
      <c r="J50" s="514" t="s">
        <v>2308</v>
      </c>
      <c r="K50" s="713" t="s">
        <v>2704</v>
      </c>
      <c r="L50" s="699">
        <v>0.5</v>
      </c>
      <c r="M50" s="699">
        <v>0.75</v>
      </c>
      <c r="N50" s="699">
        <v>1</v>
      </c>
      <c r="O50" s="515">
        <v>1</v>
      </c>
      <c r="P50" s="515">
        <v>1</v>
      </c>
    </row>
    <row r="51" spans="1:16" ht="25.5" x14ac:dyDescent="0.2">
      <c r="A51" s="581"/>
      <c r="B51" s="581" t="s">
        <v>119</v>
      </c>
      <c r="C51" s="581"/>
      <c r="D51" s="524" t="s">
        <v>2693</v>
      </c>
      <c r="E51" s="2501">
        <v>112958.79432000002</v>
      </c>
      <c r="F51" s="2501">
        <v>108913.9</v>
      </c>
      <c r="G51" s="2501">
        <v>115675.9</v>
      </c>
      <c r="H51" s="2501">
        <v>115675.9</v>
      </c>
      <c r="I51" s="2501">
        <v>115675.9</v>
      </c>
      <c r="J51" s="635" t="s">
        <v>2309</v>
      </c>
      <c r="K51" s="711" t="s">
        <v>1470</v>
      </c>
      <c r="L51" s="510">
        <v>22000</v>
      </c>
      <c r="M51" s="510">
        <v>23000</v>
      </c>
      <c r="N51" s="510">
        <v>24000</v>
      </c>
      <c r="O51" s="510">
        <v>24000</v>
      </c>
      <c r="P51" s="510">
        <v>24000</v>
      </c>
    </row>
    <row r="52" spans="1:16" x14ac:dyDescent="0.2">
      <c r="A52" s="1980"/>
      <c r="B52" s="1980" t="s">
        <v>124</v>
      </c>
      <c r="C52" s="1980"/>
      <c r="D52" s="2475" t="s">
        <v>2690</v>
      </c>
      <c r="E52" s="2509">
        <v>874313.73645000008</v>
      </c>
      <c r="F52" s="2509">
        <v>585730.19999999995</v>
      </c>
      <c r="G52" s="2509">
        <v>738629</v>
      </c>
      <c r="H52" s="2509">
        <v>761916.5</v>
      </c>
      <c r="I52" s="2509">
        <v>785503.5</v>
      </c>
      <c r="J52" s="108" t="s">
        <v>2310</v>
      </c>
      <c r="K52" s="708" t="s">
        <v>115</v>
      </c>
      <c r="L52" s="508">
        <v>21139</v>
      </c>
      <c r="M52" s="508">
        <v>21139</v>
      </c>
      <c r="N52" s="508">
        <v>21139</v>
      </c>
      <c r="O52" s="508">
        <v>21139</v>
      </c>
      <c r="P52" s="508">
        <v>21139</v>
      </c>
    </row>
    <row r="53" spans="1:16" ht="38.25" x14ac:dyDescent="0.2">
      <c r="A53" s="2061"/>
      <c r="B53" s="2061"/>
      <c r="C53" s="2061"/>
      <c r="D53" s="2062"/>
      <c r="E53" s="2510"/>
      <c r="F53" s="2510"/>
      <c r="G53" s="2510"/>
      <c r="H53" s="2510">
        <v>761916.5</v>
      </c>
      <c r="I53" s="2510">
        <v>785503.5</v>
      </c>
      <c r="J53" s="108" t="s">
        <v>2311</v>
      </c>
      <c r="K53" s="708" t="s">
        <v>1471</v>
      </c>
      <c r="L53" s="624" t="s">
        <v>1472</v>
      </c>
      <c r="M53" s="624" t="s">
        <v>1472</v>
      </c>
      <c r="N53" s="624" t="s">
        <v>1472</v>
      </c>
      <c r="O53" s="624" t="s">
        <v>1472</v>
      </c>
      <c r="P53" s="624" t="s">
        <v>1472</v>
      </c>
    </row>
    <row r="54" spans="1:16" ht="54" customHeight="1" x14ac:dyDescent="0.2">
      <c r="A54" s="2061"/>
      <c r="B54" s="2061"/>
      <c r="C54" s="2061"/>
      <c r="D54" s="2062"/>
      <c r="E54" s="2510"/>
      <c r="F54" s="2510"/>
      <c r="G54" s="2510"/>
      <c r="H54" s="2510">
        <v>761916.5</v>
      </c>
      <c r="I54" s="2510">
        <v>785503.5</v>
      </c>
      <c r="J54" s="108" t="s">
        <v>2312</v>
      </c>
      <c r="K54" s="708" t="s">
        <v>2704</v>
      </c>
      <c r="L54" s="516">
        <v>0</v>
      </c>
      <c r="M54" s="516">
        <v>0</v>
      </c>
      <c r="N54" s="516">
        <v>0.1</v>
      </c>
      <c r="O54" s="516">
        <v>0.2</v>
      </c>
      <c r="P54" s="516">
        <v>0.3</v>
      </c>
    </row>
    <row r="55" spans="1:16" ht="25.5" x14ac:dyDescent="0.2">
      <c r="A55" s="2061"/>
      <c r="B55" s="2061"/>
      <c r="C55" s="2061"/>
      <c r="D55" s="2062"/>
      <c r="E55" s="2510"/>
      <c r="F55" s="2510"/>
      <c r="G55" s="2510"/>
      <c r="H55" s="2510">
        <v>761916.5</v>
      </c>
      <c r="I55" s="2510">
        <v>785503.5</v>
      </c>
      <c r="J55" s="108" t="s">
        <v>2313</v>
      </c>
      <c r="K55" s="708" t="s">
        <v>2704</v>
      </c>
      <c r="L55" s="516">
        <v>0.1</v>
      </c>
      <c r="M55" s="516">
        <v>0.2</v>
      </c>
      <c r="N55" s="516">
        <v>0.3</v>
      </c>
      <c r="O55" s="516">
        <v>0.4</v>
      </c>
      <c r="P55" s="516">
        <v>0.5</v>
      </c>
    </row>
    <row r="56" spans="1:16" ht="12.75" customHeight="1" x14ac:dyDescent="0.2">
      <c r="A56" s="2046"/>
      <c r="B56" s="2046"/>
      <c r="C56" s="2046"/>
      <c r="D56" s="2063"/>
      <c r="E56" s="2511"/>
      <c r="F56" s="2511"/>
      <c r="G56" s="2511"/>
      <c r="H56" s="2511">
        <v>761916.5</v>
      </c>
      <c r="I56" s="2511">
        <v>785503.5</v>
      </c>
      <c r="J56" s="108" t="s">
        <v>2314</v>
      </c>
      <c r="K56" s="708" t="s">
        <v>2704</v>
      </c>
      <c r="L56" s="516">
        <v>0.3</v>
      </c>
      <c r="M56" s="79">
        <v>0.9</v>
      </c>
      <c r="N56" s="79">
        <v>0.95</v>
      </c>
      <c r="O56" s="79">
        <v>1</v>
      </c>
      <c r="P56" s="79">
        <v>1</v>
      </c>
    </row>
    <row r="57" spans="1:16" ht="51" x14ac:dyDescent="0.2">
      <c r="A57" s="1980"/>
      <c r="B57" s="1980" t="s">
        <v>128</v>
      </c>
      <c r="C57" s="1980"/>
      <c r="D57" s="2475" t="s">
        <v>2691</v>
      </c>
      <c r="E57" s="2509">
        <v>71079.779720000006</v>
      </c>
      <c r="F57" s="2509">
        <v>76626</v>
      </c>
      <c r="G57" s="2509">
        <v>387743.2</v>
      </c>
      <c r="H57" s="2509">
        <v>78231.799999999988</v>
      </c>
      <c r="I57" s="2509">
        <v>79231.799999999988</v>
      </c>
      <c r="J57" s="108" t="s">
        <v>2315</v>
      </c>
      <c r="K57" s="708" t="s">
        <v>2708</v>
      </c>
      <c r="L57" s="668" t="s">
        <v>1473</v>
      </c>
      <c r="M57" s="699" t="s">
        <v>1473</v>
      </c>
      <c r="N57" s="699" t="s">
        <v>1473</v>
      </c>
      <c r="O57" s="699" t="s">
        <v>1473</v>
      </c>
      <c r="P57" s="699" t="s">
        <v>1474</v>
      </c>
    </row>
    <row r="58" spans="1:16" ht="25.5" x14ac:dyDescent="0.2">
      <c r="A58" s="2061"/>
      <c r="B58" s="2061"/>
      <c r="C58" s="2061"/>
      <c r="D58" s="2062"/>
      <c r="E58" s="2510"/>
      <c r="F58" s="2510"/>
      <c r="G58" s="2510"/>
      <c r="H58" s="2510"/>
      <c r="I58" s="2510"/>
      <c r="J58" s="108" t="s">
        <v>2316</v>
      </c>
      <c r="K58" s="708" t="s">
        <v>2707</v>
      </c>
      <c r="L58" s="668" t="s">
        <v>1473</v>
      </c>
      <c r="M58" s="699" t="s">
        <v>1473</v>
      </c>
      <c r="N58" s="699" t="s">
        <v>1473</v>
      </c>
      <c r="O58" s="699" t="s">
        <v>1473</v>
      </c>
      <c r="P58" s="699" t="s">
        <v>1476</v>
      </c>
    </row>
    <row r="59" spans="1:16" ht="38.25" x14ac:dyDescent="0.2">
      <c r="A59" s="2061"/>
      <c r="B59" s="2061"/>
      <c r="C59" s="2061"/>
      <c r="D59" s="2062"/>
      <c r="E59" s="2510"/>
      <c r="F59" s="2510"/>
      <c r="G59" s="2510"/>
      <c r="H59" s="2510"/>
      <c r="I59" s="2510"/>
      <c r="J59" s="108" t="s">
        <v>2317</v>
      </c>
      <c r="K59" s="708" t="s">
        <v>1475</v>
      </c>
      <c r="L59" s="668" t="s">
        <v>1473</v>
      </c>
      <c r="M59" s="699" t="s">
        <v>1473</v>
      </c>
      <c r="N59" s="699" t="s">
        <v>1473</v>
      </c>
      <c r="O59" s="699" t="s">
        <v>1473</v>
      </c>
      <c r="P59" s="699" t="s">
        <v>1477</v>
      </c>
    </row>
    <row r="60" spans="1:16" ht="25.5" customHeight="1" x14ac:dyDescent="0.2">
      <c r="A60" s="2061"/>
      <c r="B60" s="2061"/>
      <c r="C60" s="2061"/>
      <c r="D60" s="2062"/>
      <c r="E60" s="2510"/>
      <c r="F60" s="2510"/>
      <c r="G60" s="2510"/>
      <c r="H60" s="2510"/>
      <c r="I60" s="2510"/>
      <c r="J60" s="108" t="s">
        <v>2318</v>
      </c>
      <c r="K60" s="708" t="s">
        <v>2704</v>
      </c>
      <c r="L60" s="516">
        <v>0.99</v>
      </c>
      <c r="M60" s="516">
        <v>0.99</v>
      </c>
      <c r="N60" s="516">
        <v>0.99</v>
      </c>
      <c r="O60" s="516">
        <v>0.99</v>
      </c>
      <c r="P60" s="516">
        <v>0.99</v>
      </c>
    </row>
    <row r="61" spans="1:16" ht="25.5" x14ac:dyDescent="0.2">
      <c r="A61" s="2061"/>
      <c r="B61" s="2061"/>
      <c r="C61" s="2061"/>
      <c r="D61" s="2062"/>
      <c r="E61" s="2510"/>
      <c r="F61" s="2510"/>
      <c r="G61" s="2510"/>
      <c r="H61" s="2510"/>
      <c r="I61" s="2510"/>
      <c r="J61" s="624" t="s">
        <v>2319</v>
      </c>
      <c r="K61" s="708" t="s">
        <v>115</v>
      </c>
      <c r="L61" s="668"/>
      <c r="M61" s="699"/>
      <c r="N61" s="699"/>
      <c r="O61" s="699"/>
      <c r="P61" s="699"/>
    </row>
    <row r="62" spans="1:16" ht="25.5" x14ac:dyDescent="0.2">
      <c r="A62" s="2061"/>
      <c r="B62" s="2061"/>
      <c r="C62" s="2061"/>
      <c r="D62" s="2062"/>
      <c r="E62" s="2510"/>
      <c r="F62" s="2510"/>
      <c r="G62" s="2510"/>
      <c r="H62" s="2510"/>
      <c r="I62" s="2510"/>
      <c r="J62" s="108" t="s">
        <v>2320</v>
      </c>
      <c r="K62" s="708" t="s">
        <v>2718</v>
      </c>
      <c r="L62" s="668"/>
      <c r="M62" s="699"/>
      <c r="N62" s="699"/>
      <c r="O62" s="699"/>
      <c r="P62" s="699"/>
    </row>
    <row r="63" spans="1:16" ht="12.75" customHeight="1" x14ac:dyDescent="0.2">
      <c r="A63" s="2061"/>
      <c r="B63" s="2061"/>
      <c r="C63" s="2061"/>
      <c r="D63" s="2062"/>
      <c r="E63" s="2510"/>
      <c r="F63" s="2510"/>
      <c r="G63" s="2510"/>
      <c r="H63" s="2510"/>
      <c r="I63" s="2510"/>
      <c r="J63" s="108" t="s">
        <v>2321</v>
      </c>
      <c r="K63" s="708" t="s">
        <v>2704</v>
      </c>
      <c r="L63" s="668" t="s">
        <v>1473</v>
      </c>
      <c r="M63" s="508" t="s">
        <v>1473</v>
      </c>
      <c r="N63" s="508" t="s">
        <v>1473</v>
      </c>
      <c r="O63" s="508" t="s">
        <v>1473</v>
      </c>
      <c r="P63" s="508" t="s">
        <v>1473</v>
      </c>
    </row>
    <row r="64" spans="1:16" ht="25.5" x14ac:dyDescent="0.2">
      <c r="A64" s="2061"/>
      <c r="B64" s="2061"/>
      <c r="C64" s="2061"/>
      <c r="D64" s="2062"/>
      <c r="E64" s="2510"/>
      <c r="F64" s="2510"/>
      <c r="G64" s="2510"/>
      <c r="H64" s="2510"/>
      <c r="I64" s="2510"/>
      <c r="J64" s="108" t="s">
        <v>2322</v>
      </c>
      <c r="K64" s="708" t="s">
        <v>115</v>
      </c>
      <c r="L64" s="668"/>
      <c r="M64" s="508"/>
      <c r="N64" s="508"/>
      <c r="O64" s="508"/>
      <c r="P64" s="508"/>
    </row>
    <row r="65" spans="1:16" ht="25.5" customHeight="1" x14ac:dyDescent="0.2">
      <c r="A65" s="2061"/>
      <c r="B65" s="2061"/>
      <c r="C65" s="2061"/>
      <c r="D65" s="2062"/>
      <c r="E65" s="2510"/>
      <c r="F65" s="2510"/>
      <c r="G65" s="2510"/>
      <c r="H65" s="2510"/>
      <c r="I65" s="2510"/>
      <c r="J65" s="108" t="s">
        <v>2323</v>
      </c>
      <c r="K65" s="708" t="s">
        <v>2704</v>
      </c>
      <c r="L65" s="668"/>
      <c r="M65" s="508"/>
      <c r="N65" s="508"/>
      <c r="O65" s="508"/>
      <c r="P65" s="508"/>
    </row>
    <row r="66" spans="1:16" ht="25.5" x14ac:dyDescent="0.2">
      <c r="A66" s="2061"/>
      <c r="B66" s="2061"/>
      <c r="C66" s="2061"/>
      <c r="D66" s="2062"/>
      <c r="E66" s="2510"/>
      <c r="F66" s="2510"/>
      <c r="G66" s="2510"/>
      <c r="H66" s="2510"/>
      <c r="I66" s="2510"/>
      <c r="J66" s="108" t="s">
        <v>2324</v>
      </c>
      <c r="K66" s="708" t="s">
        <v>2709</v>
      </c>
      <c r="L66" s="668"/>
      <c r="M66" s="508"/>
      <c r="N66" s="508"/>
      <c r="O66" s="508"/>
      <c r="P66" s="508"/>
    </row>
    <row r="67" spans="1:16" ht="25.5" customHeight="1" x14ac:dyDescent="0.2">
      <c r="A67" s="2061"/>
      <c r="B67" s="2061"/>
      <c r="C67" s="2061"/>
      <c r="D67" s="2062"/>
      <c r="E67" s="2510"/>
      <c r="F67" s="2510"/>
      <c r="G67" s="2510"/>
      <c r="H67" s="2510"/>
      <c r="I67" s="2510"/>
      <c r="J67" s="108" t="s">
        <v>2325</v>
      </c>
      <c r="K67" s="708" t="s">
        <v>2709</v>
      </c>
      <c r="L67" s="668"/>
      <c r="M67" s="508"/>
      <c r="N67" s="508"/>
      <c r="O67" s="508"/>
      <c r="P67" s="508"/>
    </row>
    <row r="68" spans="1:16" ht="60.75" customHeight="1" x14ac:dyDescent="0.2">
      <c r="A68" s="2046"/>
      <c r="B68" s="2046"/>
      <c r="C68" s="2046"/>
      <c r="D68" s="2063"/>
      <c r="E68" s="2511"/>
      <c r="F68" s="2511"/>
      <c r="G68" s="2511"/>
      <c r="H68" s="2511"/>
      <c r="I68" s="2511"/>
      <c r="J68" s="108" t="s">
        <v>2326</v>
      </c>
      <c r="K68" s="708" t="s">
        <v>2710</v>
      </c>
      <c r="L68" s="668"/>
      <c r="M68" s="508"/>
      <c r="N68" s="508"/>
      <c r="O68" s="508"/>
      <c r="P68" s="508"/>
    </row>
    <row r="69" spans="1:16" ht="37.5" customHeight="1" x14ac:dyDescent="0.2">
      <c r="A69" s="581"/>
      <c r="B69" s="581" t="s">
        <v>202</v>
      </c>
      <c r="C69" s="581"/>
      <c r="D69" s="624" t="s">
        <v>2692</v>
      </c>
      <c r="E69" s="2501">
        <v>327875.03817000001</v>
      </c>
      <c r="F69" s="2501">
        <v>349452.59962999995</v>
      </c>
      <c r="G69" s="2501">
        <v>355156.89999999997</v>
      </c>
      <c r="H69" s="2501">
        <v>355156.89999999997</v>
      </c>
      <c r="I69" s="2501">
        <v>355156.89999999997</v>
      </c>
      <c r="J69" s="108" t="s">
        <v>2327</v>
      </c>
      <c r="K69" s="708" t="s">
        <v>115</v>
      </c>
      <c r="L69" s="668" t="s">
        <v>1473</v>
      </c>
      <c r="M69" s="699" t="s">
        <v>1473</v>
      </c>
      <c r="N69" s="699" t="s">
        <v>1473</v>
      </c>
      <c r="O69" s="699" t="s">
        <v>1473</v>
      </c>
      <c r="P69" s="699" t="s">
        <v>1473</v>
      </c>
    </row>
    <row r="70" spans="1:16" ht="112.5" customHeight="1" x14ac:dyDescent="0.2">
      <c r="A70" s="581"/>
      <c r="B70" s="581" t="s">
        <v>149</v>
      </c>
      <c r="C70" s="581"/>
      <c r="D70" s="624" t="s">
        <v>2694</v>
      </c>
      <c r="E70" s="2501">
        <v>96296.668000000005</v>
      </c>
      <c r="F70" s="2501">
        <v>121526.6</v>
      </c>
      <c r="G70" s="2501">
        <v>121526.6</v>
      </c>
      <c r="H70" s="2501">
        <v>121526.6</v>
      </c>
      <c r="I70" s="2501">
        <v>121526.6</v>
      </c>
      <c r="J70" s="108" t="s">
        <v>2328</v>
      </c>
      <c r="K70" s="708" t="s">
        <v>115</v>
      </c>
      <c r="L70" s="73">
        <v>1200</v>
      </c>
      <c r="M70" s="73">
        <v>1200</v>
      </c>
      <c r="N70" s="73">
        <v>1200</v>
      </c>
      <c r="O70" s="73">
        <v>1200</v>
      </c>
      <c r="P70" s="73">
        <v>1200</v>
      </c>
    </row>
    <row r="71" spans="1:16" ht="23.25" customHeight="1" x14ac:dyDescent="0.2">
      <c r="A71" s="581"/>
      <c r="B71" s="581" t="s">
        <v>152</v>
      </c>
      <c r="C71" s="581"/>
      <c r="D71" s="624" t="s">
        <v>2688</v>
      </c>
      <c r="E71" s="2501">
        <v>86890.511510000011</v>
      </c>
      <c r="F71" s="2501">
        <v>90979.393379999994</v>
      </c>
      <c r="G71" s="2501">
        <v>92218.9</v>
      </c>
      <c r="H71" s="2501">
        <v>92218.9</v>
      </c>
      <c r="I71" s="2501">
        <v>92218.9</v>
      </c>
      <c r="J71" s="528" t="s">
        <v>2304</v>
      </c>
      <c r="K71" s="711" t="s">
        <v>122</v>
      </c>
      <c r="L71" s="635"/>
      <c r="M71" s="510"/>
      <c r="N71" s="510"/>
      <c r="O71" s="510"/>
      <c r="P71" s="510"/>
    </row>
    <row r="72" spans="1:16" ht="66.75" customHeight="1" x14ac:dyDescent="0.2">
      <c r="A72" s="872" t="s">
        <v>164</v>
      </c>
      <c r="B72" s="581"/>
      <c r="C72" s="581"/>
      <c r="D72" s="624" t="s">
        <v>2757</v>
      </c>
      <c r="E72" s="2501">
        <v>1088048.3697299999</v>
      </c>
      <c r="F72" s="2501">
        <v>1256224.5000000002</v>
      </c>
      <c r="G72" s="2501">
        <f>G73+G80+G83+G90+G94</f>
        <v>1253034.6000000001</v>
      </c>
      <c r="H72" s="2501">
        <f t="shared" ref="H72:I72" si="3">H73+H80+H83+H90+H94</f>
        <v>1253036.6000000001</v>
      </c>
      <c r="I72" s="2501">
        <f t="shared" si="3"/>
        <v>1253038.6000000001</v>
      </c>
      <c r="K72" s="708"/>
      <c r="L72" s="508"/>
      <c r="M72" s="508"/>
      <c r="N72" s="508"/>
      <c r="O72" s="508"/>
      <c r="P72" s="508"/>
    </row>
    <row r="73" spans="1:16" ht="25.5" x14ac:dyDescent="0.2">
      <c r="A73" s="2210"/>
      <c r="B73" s="2210" t="s">
        <v>114</v>
      </c>
      <c r="C73" s="2210"/>
      <c r="D73" s="2489" t="s">
        <v>2695</v>
      </c>
      <c r="E73" s="2500">
        <v>135312.15487000003</v>
      </c>
      <c r="F73" s="2500">
        <v>164591.1</v>
      </c>
      <c r="G73" s="2502">
        <v>164096.9</v>
      </c>
      <c r="H73" s="2500">
        <v>164096.9</v>
      </c>
      <c r="I73" s="2500">
        <v>164096.9</v>
      </c>
      <c r="J73" s="699" t="s">
        <v>2329</v>
      </c>
      <c r="K73" s="713" t="s">
        <v>2711</v>
      </c>
      <c r="L73" s="699">
        <v>12.9</v>
      </c>
      <c r="M73" s="699">
        <v>13</v>
      </c>
      <c r="N73" s="699">
        <v>13</v>
      </c>
      <c r="O73" s="699">
        <v>14</v>
      </c>
      <c r="P73" s="699">
        <v>14</v>
      </c>
    </row>
    <row r="74" spans="1:16" ht="38.25" customHeight="1" x14ac:dyDescent="0.2">
      <c r="A74" s="2210"/>
      <c r="B74" s="2210"/>
      <c r="C74" s="2210"/>
      <c r="D74" s="2489"/>
      <c r="E74" s="2500"/>
      <c r="F74" s="2500"/>
      <c r="G74" s="2504"/>
      <c r="H74" s="2500"/>
      <c r="I74" s="2500"/>
      <c r="J74" s="699" t="s">
        <v>2330</v>
      </c>
      <c r="K74" s="713" t="s">
        <v>2711</v>
      </c>
      <c r="L74" s="699">
        <v>2.5</v>
      </c>
      <c r="M74" s="699" t="s">
        <v>2712</v>
      </c>
      <c r="N74" s="699" t="s">
        <v>2712</v>
      </c>
      <c r="O74" s="699" t="s">
        <v>2712</v>
      </c>
      <c r="P74" s="699" t="s">
        <v>2712</v>
      </c>
    </row>
    <row r="75" spans="1:16" ht="66" customHeight="1" x14ac:dyDescent="0.2">
      <c r="A75" s="2210"/>
      <c r="B75" s="2210"/>
      <c r="C75" s="2210"/>
      <c r="D75" s="2489"/>
      <c r="E75" s="2500"/>
      <c r="F75" s="2500"/>
      <c r="G75" s="2504"/>
      <c r="H75" s="2500"/>
      <c r="I75" s="2500"/>
      <c r="J75" s="699" t="s">
        <v>2331</v>
      </c>
      <c r="K75" s="713" t="s">
        <v>115</v>
      </c>
      <c r="L75" s="699">
        <v>150</v>
      </c>
      <c r="M75" s="699">
        <v>150</v>
      </c>
      <c r="N75" s="699">
        <v>150</v>
      </c>
      <c r="O75" s="699">
        <v>160</v>
      </c>
      <c r="P75" s="699">
        <v>170</v>
      </c>
    </row>
    <row r="76" spans="1:16" ht="44.25" customHeight="1" x14ac:dyDescent="0.2">
      <c r="A76" s="2210"/>
      <c r="B76" s="2210"/>
      <c r="C76" s="2210"/>
      <c r="D76" s="2489"/>
      <c r="E76" s="2500"/>
      <c r="F76" s="2500"/>
      <c r="G76" s="2504"/>
      <c r="H76" s="2500"/>
      <c r="I76" s="2500"/>
      <c r="J76" s="699" t="s">
        <v>2332</v>
      </c>
      <c r="K76" s="713" t="s">
        <v>2704</v>
      </c>
      <c r="L76" s="699"/>
      <c r="M76" s="699"/>
      <c r="N76" s="699"/>
      <c r="O76" s="699"/>
      <c r="P76" s="699"/>
    </row>
    <row r="77" spans="1:16" ht="51" x14ac:dyDescent="0.2">
      <c r="A77" s="2210"/>
      <c r="B77" s="2210"/>
      <c r="C77" s="2210"/>
      <c r="D77" s="2489"/>
      <c r="E77" s="2500"/>
      <c r="F77" s="2500"/>
      <c r="G77" s="2504"/>
      <c r="H77" s="2500"/>
      <c r="I77" s="2500"/>
      <c r="J77" s="699" t="s">
        <v>2333</v>
      </c>
      <c r="K77" s="713" t="s">
        <v>2713</v>
      </c>
      <c r="L77" s="699"/>
      <c r="M77" s="699"/>
      <c r="N77" s="699"/>
      <c r="O77" s="699"/>
      <c r="P77" s="699"/>
    </row>
    <row r="78" spans="1:16" ht="55.5" customHeight="1" x14ac:dyDescent="0.2">
      <c r="A78" s="2210"/>
      <c r="B78" s="2210"/>
      <c r="C78" s="2210"/>
      <c r="D78" s="2489"/>
      <c r="E78" s="2500"/>
      <c r="F78" s="2500"/>
      <c r="G78" s="2504"/>
      <c r="H78" s="2500"/>
      <c r="I78" s="2500"/>
      <c r="J78" s="699" t="s">
        <v>2334</v>
      </c>
      <c r="K78" s="713" t="s">
        <v>2714</v>
      </c>
      <c r="L78" s="699"/>
      <c r="M78" s="699"/>
      <c r="N78" s="699"/>
      <c r="O78" s="699"/>
      <c r="P78" s="699"/>
    </row>
    <row r="79" spans="1:16" ht="191.25" x14ac:dyDescent="0.2">
      <c r="A79" s="2210"/>
      <c r="B79" s="2210"/>
      <c r="C79" s="2210"/>
      <c r="D79" s="2489"/>
      <c r="E79" s="2500"/>
      <c r="F79" s="2500"/>
      <c r="G79" s="2505"/>
      <c r="H79" s="2500"/>
      <c r="I79" s="2500"/>
      <c r="J79" s="699" t="s">
        <v>2335</v>
      </c>
      <c r="K79" s="713" t="s">
        <v>2715</v>
      </c>
      <c r="L79" s="699" t="s">
        <v>2716</v>
      </c>
      <c r="M79" s="699" t="s">
        <v>2717</v>
      </c>
      <c r="N79" s="699"/>
      <c r="O79" s="699"/>
      <c r="P79" s="699"/>
    </row>
    <row r="80" spans="1:16" ht="38.25" customHeight="1" x14ac:dyDescent="0.2">
      <c r="A80" s="2210"/>
      <c r="B80" s="2210" t="s">
        <v>116</v>
      </c>
      <c r="C80" s="2210"/>
      <c r="D80" s="1983" t="s">
        <v>2696</v>
      </c>
      <c r="E80" s="2500">
        <v>21474.059999999998</v>
      </c>
      <c r="F80" s="2500">
        <v>27192.699999999997</v>
      </c>
      <c r="G80" s="2500">
        <v>27192.699999999997</v>
      </c>
      <c r="H80" s="2500">
        <v>27193.7</v>
      </c>
      <c r="I80" s="2500">
        <v>27194.7</v>
      </c>
      <c r="J80" s="635" t="s">
        <v>2336</v>
      </c>
      <c r="K80" s="708" t="s">
        <v>115</v>
      </c>
      <c r="L80" s="668">
        <v>626</v>
      </c>
      <c r="M80" s="668">
        <v>519</v>
      </c>
      <c r="N80" s="508">
        <v>367</v>
      </c>
      <c r="O80" s="508">
        <v>353</v>
      </c>
      <c r="P80" s="508">
        <v>345</v>
      </c>
    </row>
    <row r="81" spans="1:16" ht="38.25" x14ac:dyDescent="0.2">
      <c r="A81" s="2210"/>
      <c r="B81" s="2210"/>
      <c r="C81" s="2210"/>
      <c r="D81" s="1984"/>
      <c r="E81" s="2500"/>
      <c r="F81" s="2500"/>
      <c r="G81" s="2500"/>
      <c r="H81" s="2500"/>
      <c r="I81" s="2500"/>
      <c r="J81" s="635" t="s">
        <v>2337</v>
      </c>
      <c r="K81" s="708" t="s">
        <v>115</v>
      </c>
      <c r="L81" s="516"/>
      <c r="M81" s="517"/>
      <c r="N81" s="517"/>
      <c r="O81" s="517"/>
      <c r="P81" s="517"/>
    </row>
    <row r="82" spans="1:16" ht="25.5" x14ac:dyDescent="0.2">
      <c r="A82" s="2210"/>
      <c r="B82" s="2210"/>
      <c r="C82" s="2210"/>
      <c r="D82" s="1985"/>
      <c r="E82" s="2500"/>
      <c r="F82" s="2500"/>
      <c r="G82" s="2500"/>
      <c r="H82" s="2500"/>
      <c r="I82" s="2500"/>
      <c r="J82" s="635" t="s">
        <v>2338</v>
      </c>
      <c r="K82" s="708" t="s">
        <v>2704</v>
      </c>
      <c r="L82" s="516"/>
      <c r="M82" s="517"/>
      <c r="N82" s="517"/>
      <c r="O82" s="517"/>
      <c r="P82" s="517"/>
    </row>
    <row r="83" spans="1:16" ht="84.75" customHeight="1" x14ac:dyDescent="0.2">
      <c r="A83" s="2210"/>
      <c r="B83" s="2210" t="s">
        <v>119</v>
      </c>
      <c r="C83" s="2210"/>
      <c r="D83" s="1983" t="s">
        <v>2697</v>
      </c>
      <c r="E83" s="2500">
        <v>719084.99864999996</v>
      </c>
      <c r="F83" s="2500">
        <v>808056.3</v>
      </c>
      <c r="G83" s="2500">
        <v>808056.3</v>
      </c>
      <c r="H83" s="2500">
        <v>808056.3</v>
      </c>
      <c r="I83" s="2500">
        <v>808056.3</v>
      </c>
      <c r="J83" s="514" t="s">
        <v>2339</v>
      </c>
      <c r="K83" s="713" t="s">
        <v>2704</v>
      </c>
      <c r="L83" s="699" t="s">
        <v>1473</v>
      </c>
      <c r="M83" s="699" t="s">
        <v>1473</v>
      </c>
      <c r="N83" s="668" t="s">
        <v>1473</v>
      </c>
      <c r="O83" s="668" t="s">
        <v>1473</v>
      </c>
      <c r="P83" s="668" t="s">
        <v>1473</v>
      </c>
    </row>
    <row r="84" spans="1:16" ht="61.5" customHeight="1" x14ac:dyDescent="0.2">
      <c r="A84" s="2210"/>
      <c r="B84" s="2210"/>
      <c r="C84" s="2210"/>
      <c r="D84" s="1984"/>
      <c r="E84" s="2500"/>
      <c r="F84" s="2500"/>
      <c r="G84" s="2500"/>
      <c r="H84" s="2500"/>
      <c r="I84" s="2500"/>
      <c r="J84" s="514" t="s">
        <v>2340</v>
      </c>
      <c r="K84" s="713" t="s">
        <v>115</v>
      </c>
      <c r="L84" s="699">
        <v>200</v>
      </c>
      <c r="M84" s="699">
        <v>200</v>
      </c>
      <c r="N84" s="508">
        <v>252</v>
      </c>
      <c r="O84" s="508">
        <v>277</v>
      </c>
      <c r="P84" s="508">
        <v>378</v>
      </c>
    </row>
    <row r="85" spans="1:16" ht="84.75" customHeight="1" x14ac:dyDescent="0.2">
      <c r="A85" s="2210"/>
      <c r="B85" s="2210"/>
      <c r="C85" s="2210"/>
      <c r="D85" s="1984"/>
      <c r="E85" s="2500"/>
      <c r="F85" s="2500"/>
      <c r="G85" s="2500"/>
      <c r="H85" s="2500"/>
      <c r="I85" s="2500"/>
      <c r="J85" s="514" t="s">
        <v>2341</v>
      </c>
      <c r="K85" s="713" t="s">
        <v>115</v>
      </c>
      <c r="L85" s="699">
        <v>221</v>
      </c>
      <c r="M85" s="699">
        <v>141</v>
      </c>
      <c r="N85" s="508">
        <v>298</v>
      </c>
      <c r="O85" s="508">
        <v>305</v>
      </c>
      <c r="P85" s="508">
        <v>367</v>
      </c>
    </row>
    <row r="86" spans="1:16" x14ac:dyDescent="0.2">
      <c r="A86" s="2210"/>
      <c r="B86" s="2210"/>
      <c r="C86" s="2210"/>
      <c r="D86" s="1984"/>
      <c r="E86" s="2500"/>
      <c r="F86" s="2500"/>
      <c r="G86" s="2500"/>
      <c r="H86" s="2500"/>
      <c r="I86" s="2500"/>
      <c r="J86" s="624" t="s">
        <v>2342</v>
      </c>
      <c r="K86" s="708" t="s">
        <v>2703</v>
      </c>
      <c r="L86" s="624"/>
      <c r="M86" s="699"/>
      <c r="N86" s="508"/>
      <c r="O86" s="508"/>
      <c r="P86" s="508"/>
    </row>
    <row r="87" spans="1:16" ht="44.25" customHeight="1" x14ac:dyDescent="0.2">
      <c r="A87" s="2210"/>
      <c r="B87" s="2210"/>
      <c r="C87" s="2210"/>
      <c r="D87" s="1984"/>
      <c r="E87" s="2500"/>
      <c r="F87" s="2500"/>
      <c r="G87" s="2500"/>
      <c r="H87" s="2500"/>
      <c r="I87" s="2500"/>
      <c r="J87" s="624" t="s">
        <v>2343</v>
      </c>
      <c r="K87" s="708" t="s">
        <v>115</v>
      </c>
      <c r="L87" s="624"/>
      <c r="M87" s="699"/>
      <c r="N87" s="508"/>
      <c r="O87" s="508"/>
      <c r="P87" s="508"/>
    </row>
    <row r="88" spans="1:16" ht="48" customHeight="1" x14ac:dyDescent="0.2">
      <c r="A88" s="2210"/>
      <c r="B88" s="2210"/>
      <c r="C88" s="2210"/>
      <c r="D88" s="1984"/>
      <c r="E88" s="2500"/>
      <c r="F88" s="2500"/>
      <c r="G88" s="2500"/>
      <c r="H88" s="2500"/>
      <c r="I88" s="2500"/>
      <c r="J88" s="624" t="s">
        <v>2344</v>
      </c>
      <c r="K88" s="708" t="s">
        <v>115</v>
      </c>
      <c r="L88" s="624"/>
      <c r="M88" s="699"/>
      <c r="N88" s="510"/>
      <c r="O88" s="510"/>
      <c r="P88" s="510"/>
    </row>
    <row r="89" spans="1:16" ht="79.5" customHeight="1" x14ac:dyDescent="0.2">
      <c r="A89" s="2210"/>
      <c r="B89" s="2210"/>
      <c r="C89" s="2210"/>
      <c r="D89" s="1985"/>
      <c r="E89" s="2500"/>
      <c r="F89" s="2500"/>
      <c r="G89" s="2500"/>
      <c r="H89" s="2500"/>
      <c r="I89" s="2500"/>
      <c r="J89" s="624" t="s">
        <v>2345</v>
      </c>
      <c r="K89" s="708" t="s">
        <v>1478</v>
      </c>
      <c r="L89" s="624"/>
      <c r="M89" s="699"/>
      <c r="N89" s="510"/>
      <c r="O89" s="510"/>
      <c r="P89" s="510"/>
    </row>
    <row r="90" spans="1:16" ht="55.5" customHeight="1" x14ac:dyDescent="0.2">
      <c r="A90" s="2210"/>
      <c r="B90" s="2210" t="s">
        <v>124</v>
      </c>
      <c r="C90" s="2210"/>
      <c r="D90" s="1983" t="s">
        <v>2698</v>
      </c>
      <c r="E90" s="2500">
        <v>211061.95620999997</v>
      </c>
      <c r="F90" s="2500">
        <v>254751.30000000002</v>
      </c>
      <c r="G90" s="2500">
        <v>252055.60000000003</v>
      </c>
      <c r="H90" s="2500">
        <v>252055.60000000003</v>
      </c>
      <c r="I90" s="2500">
        <v>252055.60000000003</v>
      </c>
      <c r="J90" s="624" t="s">
        <v>2346</v>
      </c>
      <c r="K90" s="708" t="s">
        <v>115</v>
      </c>
      <c r="L90" s="625">
        <v>1210</v>
      </c>
      <c r="M90" s="625">
        <v>1210</v>
      </c>
      <c r="N90" s="510">
        <v>1110</v>
      </c>
      <c r="O90" s="510">
        <v>900</v>
      </c>
      <c r="P90" s="510">
        <v>900</v>
      </c>
    </row>
    <row r="91" spans="1:16" ht="48.75" customHeight="1" x14ac:dyDescent="0.2">
      <c r="A91" s="2210"/>
      <c r="B91" s="2210"/>
      <c r="C91" s="2210"/>
      <c r="D91" s="1984"/>
      <c r="E91" s="2500"/>
      <c r="F91" s="2500"/>
      <c r="G91" s="2500"/>
      <c r="H91" s="2500"/>
      <c r="I91" s="2500"/>
      <c r="J91" s="624" t="s">
        <v>2347</v>
      </c>
      <c r="K91" s="708" t="s">
        <v>115</v>
      </c>
      <c r="L91" s="625" t="s">
        <v>1473</v>
      </c>
      <c r="M91" s="625" t="s">
        <v>1473</v>
      </c>
      <c r="N91" s="625" t="s">
        <v>1473</v>
      </c>
      <c r="O91" s="625" t="s">
        <v>1473</v>
      </c>
      <c r="P91" s="625" t="s">
        <v>1473</v>
      </c>
    </row>
    <row r="92" spans="1:16" ht="65.25" customHeight="1" x14ac:dyDescent="0.2">
      <c r="A92" s="2210"/>
      <c r="B92" s="2210"/>
      <c r="C92" s="2210"/>
      <c r="D92" s="1984"/>
      <c r="E92" s="2500"/>
      <c r="F92" s="2500"/>
      <c r="G92" s="2500"/>
      <c r="H92" s="2500"/>
      <c r="I92" s="2500"/>
      <c r="J92" s="624" t="s">
        <v>2348</v>
      </c>
      <c r="K92" s="708" t="s">
        <v>115</v>
      </c>
      <c r="L92" s="625" t="s">
        <v>1473</v>
      </c>
      <c r="M92" s="625" t="s">
        <v>1473</v>
      </c>
      <c r="N92" s="625" t="s">
        <v>1473</v>
      </c>
      <c r="O92" s="625" t="s">
        <v>1473</v>
      </c>
      <c r="P92" s="625" t="s">
        <v>1473</v>
      </c>
    </row>
    <row r="93" spans="1:16" ht="44.25" customHeight="1" x14ac:dyDescent="0.2">
      <c r="A93" s="2210"/>
      <c r="B93" s="2210"/>
      <c r="C93" s="2210"/>
      <c r="D93" s="1985"/>
      <c r="E93" s="2500"/>
      <c r="F93" s="2500"/>
      <c r="G93" s="2500"/>
      <c r="H93" s="2500"/>
      <c r="I93" s="2500"/>
      <c r="J93" s="624" t="s">
        <v>2349</v>
      </c>
      <c r="K93" s="708" t="s">
        <v>2719</v>
      </c>
      <c r="L93" s="625"/>
      <c r="M93" s="625"/>
      <c r="N93" s="625"/>
      <c r="O93" s="625"/>
      <c r="P93" s="625"/>
    </row>
    <row r="94" spans="1:16" ht="108" customHeight="1" x14ac:dyDescent="0.2">
      <c r="A94" s="2210"/>
      <c r="B94" s="2210" t="s">
        <v>128</v>
      </c>
      <c r="C94" s="2210"/>
      <c r="D94" s="1983" t="s">
        <v>2699</v>
      </c>
      <c r="E94" s="2500">
        <v>1115.2</v>
      </c>
      <c r="F94" s="2500">
        <v>1633.1</v>
      </c>
      <c r="G94" s="2500">
        <v>1633.1</v>
      </c>
      <c r="H94" s="2500">
        <v>1634.1</v>
      </c>
      <c r="I94" s="2500">
        <v>1635.1</v>
      </c>
      <c r="J94" s="624" t="s">
        <v>2350</v>
      </c>
      <c r="K94" s="708" t="s">
        <v>2720</v>
      </c>
      <c r="L94" s="511"/>
      <c r="M94" s="515"/>
      <c r="N94" s="515"/>
      <c r="O94" s="515"/>
      <c r="P94" s="515"/>
    </row>
    <row r="95" spans="1:16" ht="38.25" x14ac:dyDescent="0.2">
      <c r="A95" s="2210"/>
      <c r="B95" s="2210"/>
      <c r="C95" s="2210"/>
      <c r="D95" s="1985"/>
      <c r="E95" s="2500"/>
      <c r="F95" s="2500"/>
      <c r="G95" s="2500"/>
      <c r="H95" s="2500"/>
      <c r="I95" s="2500"/>
      <c r="J95" s="624" t="s">
        <v>2351</v>
      </c>
      <c r="K95" s="708" t="s">
        <v>2721</v>
      </c>
      <c r="L95" s="518"/>
      <c r="M95" s="518"/>
      <c r="N95" s="518"/>
      <c r="O95" s="518"/>
      <c r="P95" s="518"/>
    </row>
    <row r="96" spans="1:16" ht="23.25" customHeight="1" x14ac:dyDescent="0.2">
      <c r="A96" s="1719" t="s">
        <v>2722</v>
      </c>
      <c r="B96" s="1720"/>
      <c r="C96" s="1720"/>
      <c r="D96" s="1721"/>
      <c r="E96" s="2512">
        <v>3813685.1495899996</v>
      </c>
      <c r="F96" s="2512">
        <v>3777768.3517300002</v>
      </c>
      <c r="G96" s="2512">
        <f>G13+G22+G45+G72</f>
        <v>8136160.5510000009</v>
      </c>
      <c r="H96" s="2512">
        <f t="shared" ref="H96:I96" si="4">H13+H22+H45+H72</f>
        <v>5052717.341</v>
      </c>
      <c r="I96" s="2512">
        <f t="shared" si="4"/>
        <v>5677048.7409999985</v>
      </c>
      <c r="J96" s="449"/>
      <c r="K96" s="2491"/>
      <c r="L96" s="2491"/>
      <c r="M96" s="2491"/>
      <c r="N96" s="2491"/>
      <c r="O96" s="2491"/>
      <c r="P96" s="2491"/>
    </row>
    <row r="97" spans="1:16" ht="26.25" customHeight="1" x14ac:dyDescent="0.2">
      <c r="A97" s="1873" t="s">
        <v>3107</v>
      </c>
      <c r="B97" s="1873"/>
      <c r="C97" s="1873"/>
      <c r="D97" s="1873"/>
      <c r="E97" s="1873"/>
      <c r="F97" s="1873"/>
      <c r="G97" s="1873"/>
      <c r="H97" s="1873"/>
      <c r="I97" s="1873"/>
      <c r="J97" s="1873"/>
      <c r="K97" s="1873"/>
      <c r="L97" s="1873"/>
      <c r="M97" s="1873"/>
      <c r="N97" s="1873"/>
      <c r="O97" s="1873"/>
      <c r="P97" s="1873"/>
    </row>
    <row r="98" spans="1:16" x14ac:dyDescent="0.2">
      <c r="A98" s="2472">
        <v>1</v>
      </c>
      <c r="B98" s="2463"/>
      <c r="C98" s="2463"/>
      <c r="D98" s="2471" t="s">
        <v>3006</v>
      </c>
      <c r="E98" s="2513">
        <v>42563.3</v>
      </c>
      <c r="F98" s="2513">
        <v>45438</v>
      </c>
      <c r="G98" s="2513">
        <v>43483.822</v>
      </c>
      <c r="H98" s="2513">
        <v>43707.022000000004</v>
      </c>
      <c r="I98" s="2513">
        <v>44081.922000000006</v>
      </c>
      <c r="J98" s="1884" t="s">
        <v>1407</v>
      </c>
      <c r="K98" s="2185" t="s">
        <v>1408</v>
      </c>
      <c r="L98" s="2185">
        <v>87</v>
      </c>
      <c r="M98" s="2185">
        <v>93</v>
      </c>
      <c r="N98" s="2185">
        <v>94</v>
      </c>
      <c r="O98" s="2185">
        <v>95</v>
      </c>
      <c r="P98" s="2185">
        <v>96</v>
      </c>
    </row>
    <row r="99" spans="1:16" x14ac:dyDescent="0.2">
      <c r="A99" s="2472"/>
      <c r="B99" s="2463"/>
      <c r="C99" s="2463"/>
      <c r="D99" s="2471"/>
      <c r="E99" s="2513"/>
      <c r="F99" s="2513"/>
      <c r="G99" s="2513"/>
      <c r="H99" s="2513"/>
      <c r="I99" s="2513"/>
      <c r="J99" s="1884"/>
      <c r="K99" s="2185"/>
      <c r="L99" s="2185"/>
      <c r="M99" s="2185"/>
      <c r="N99" s="2185"/>
      <c r="O99" s="2185"/>
      <c r="P99" s="2185"/>
    </row>
    <row r="100" spans="1:16" x14ac:dyDescent="0.2">
      <c r="A100" s="2472"/>
      <c r="B100" s="2463"/>
      <c r="C100" s="2463"/>
      <c r="D100" s="2470" t="s">
        <v>1409</v>
      </c>
      <c r="E100" s="2513"/>
      <c r="F100" s="2513"/>
      <c r="G100" s="2513"/>
      <c r="H100" s="2513"/>
      <c r="I100" s="2513"/>
      <c r="J100" s="1884"/>
      <c r="K100" s="2185"/>
      <c r="L100" s="2469"/>
      <c r="M100" s="2469">
        <v>32</v>
      </c>
      <c r="N100" s="2469">
        <v>32</v>
      </c>
      <c r="O100" s="2469">
        <v>32</v>
      </c>
      <c r="P100" s="2469"/>
    </row>
    <row r="101" spans="1:16" ht="47.25" customHeight="1" x14ac:dyDescent="0.2">
      <c r="A101" s="2472"/>
      <c r="B101" s="2463"/>
      <c r="C101" s="2463"/>
      <c r="D101" s="2471"/>
      <c r="E101" s="2513"/>
      <c r="F101" s="2513"/>
      <c r="G101" s="2513"/>
      <c r="H101" s="2513"/>
      <c r="I101" s="2513"/>
      <c r="J101" s="1060" t="s">
        <v>18</v>
      </c>
      <c r="K101" s="1430" t="s">
        <v>1410</v>
      </c>
      <c r="L101" s="1431">
        <v>0.623</v>
      </c>
      <c r="M101" s="1431">
        <v>0.623</v>
      </c>
      <c r="N101" s="1431">
        <v>0.623</v>
      </c>
      <c r="O101" s="568">
        <v>63</v>
      </c>
      <c r="P101" s="568">
        <v>63</v>
      </c>
    </row>
    <row r="102" spans="1:16" ht="72.75" customHeight="1" x14ac:dyDescent="0.2">
      <c r="A102" s="505"/>
      <c r="B102" s="696" t="s">
        <v>114</v>
      </c>
      <c r="C102" s="599"/>
      <c r="D102" s="414" t="s">
        <v>3007</v>
      </c>
      <c r="E102" s="2514">
        <v>42563.3</v>
      </c>
      <c r="F102" s="2515">
        <v>29064</v>
      </c>
      <c r="G102" s="2516">
        <v>29421.9</v>
      </c>
      <c r="H102" s="2516">
        <v>29791.9</v>
      </c>
      <c r="I102" s="2516">
        <v>30161.9</v>
      </c>
      <c r="J102" s="40" t="s">
        <v>1411</v>
      </c>
      <c r="K102" s="964" t="s">
        <v>122</v>
      </c>
      <c r="L102" s="415">
        <v>1</v>
      </c>
      <c r="M102" s="415">
        <v>2</v>
      </c>
      <c r="N102" s="415">
        <v>1</v>
      </c>
      <c r="O102" s="415">
        <v>1</v>
      </c>
      <c r="P102" s="415">
        <v>1</v>
      </c>
    </row>
    <row r="103" spans="1:16" ht="72.75" customHeight="1" x14ac:dyDescent="0.2">
      <c r="A103" s="505"/>
      <c r="B103" s="696" t="s">
        <v>116</v>
      </c>
      <c r="C103" s="599"/>
      <c r="D103" s="41" t="s">
        <v>3008</v>
      </c>
      <c r="E103" s="2514"/>
      <c r="F103" s="2515">
        <v>10511.5</v>
      </c>
      <c r="G103" s="2516">
        <v>12150.722</v>
      </c>
      <c r="H103" s="2516">
        <v>11646.722</v>
      </c>
      <c r="I103" s="2516">
        <v>11646.722</v>
      </c>
      <c r="J103" s="501" t="s">
        <v>1412</v>
      </c>
      <c r="K103" s="964" t="s">
        <v>122</v>
      </c>
      <c r="L103" s="599">
        <v>34</v>
      </c>
      <c r="M103" s="410">
        <v>15</v>
      </c>
      <c r="N103" s="410">
        <v>16</v>
      </c>
      <c r="O103" s="410">
        <v>17</v>
      </c>
      <c r="P103" s="410">
        <v>18</v>
      </c>
    </row>
    <row r="104" spans="1:16" ht="38.25" x14ac:dyDescent="0.2">
      <c r="A104" s="505"/>
      <c r="B104" s="696" t="s">
        <v>119</v>
      </c>
      <c r="C104" s="599"/>
      <c r="D104" s="41" t="s">
        <v>3009</v>
      </c>
      <c r="E104" s="2514"/>
      <c r="F104" s="2515">
        <v>5862.5</v>
      </c>
      <c r="G104" s="2516">
        <v>1911.1999999999998</v>
      </c>
      <c r="H104" s="2516">
        <v>2268.3999999999996</v>
      </c>
      <c r="I104" s="2516">
        <v>2273.3000000000002</v>
      </c>
      <c r="J104" s="40" t="s">
        <v>1413</v>
      </c>
      <c r="K104" s="723" t="s">
        <v>16</v>
      </c>
      <c r="L104" s="415">
        <v>85</v>
      </c>
      <c r="M104" s="415">
        <v>87</v>
      </c>
      <c r="N104" s="415">
        <v>93</v>
      </c>
      <c r="O104" s="415">
        <v>96</v>
      </c>
      <c r="P104" s="415">
        <v>96</v>
      </c>
    </row>
    <row r="105" spans="1:16" x14ac:dyDescent="0.2">
      <c r="A105" s="2472">
        <v>2</v>
      </c>
      <c r="B105" s="2296"/>
      <c r="C105" s="2463"/>
      <c r="D105" s="2473" t="s">
        <v>3010</v>
      </c>
      <c r="E105" s="2513">
        <v>1939341.2</v>
      </c>
      <c r="F105" s="2513">
        <v>1961713.4000000001</v>
      </c>
      <c r="G105" s="2513">
        <v>690043.9</v>
      </c>
      <c r="H105" s="2513">
        <v>670944.9</v>
      </c>
      <c r="I105" s="2513">
        <v>676482.9</v>
      </c>
      <c r="J105" s="2425" t="s">
        <v>1414</v>
      </c>
      <c r="K105" s="2461" t="s">
        <v>16</v>
      </c>
      <c r="L105" s="2474">
        <v>66.958111437882522</v>
      </c>
      <c r="M105" s="2461">
        <v>54</v>
      </c>
      <c r="N105" s="2461">
        <v>55</v>
      </c>
      <c r="O105" s="2461">
        <v>53</v>
      </c>
      <c r="P105" s="2461">
        <v>51</v>
      </c>
    </row>
    <row r="106" spans="1:16" x14ac:dyDescent="0.2">
      <c r="A106" s="2472"/>
      <c r="B106" s="2296"/>
      <c r="C106" s="2463"/>
      <c r="D106" s="2473"/>
      <c r="E106" s="2513"/>
      <c r="F106" s="2513"/>
      <c r="G106" s="2513"/>
      <c r="H106" s="2513"/>
      <c r="I106" s="2513"/>
      <c r="J106" s="2425"/>
      <c r="K106" s="2461"/>
      <c r="L106" s="2474"/>
      <c r="M106" s="2461"/>
      <c r="N106" s="2461"/>
      <c r="O106" s="2461"/>
      <c r="P106" s="2461"/>
    </row>
    <row r="107" spans="1:16" ht="57" customHeight="1" x14ac:dyDescent="0.2">
      <c r="A107" s="2472"/>
      <c r="B107" s="2296"/>
      <c r="C107" s="2463"/>
      <c r="D107" s="1432" t="s">
        <v>1415</v>
      </c>
      <c r="E107" s="2513"/>
      <c r="F107" s="2513"/>
      <c r="G107" s="2513"/>
      <c r="H107" s="2513"/>
      <c r="I107" s="2513"/>
      <c r="J107" s="898" t="s">
        <v>1416</v>
      </c>
      <c r="K107" s="723" t="s">
        <v>1224</v>
      </c>
      <c r="L107" s="155">
        <v>12636</v>
      </c>
      <c r="M107" s="155">
        <v>448.1</v>
      </c>
      <c r="N107" s="155">
        <v>0</v>
      </c>
      <c r="O107" s="155">
        <v>0</v>
      </c>
      <c r="P107" s="155">
        <v>0</v>
      </c>
    </row>
    <row r="108" spans="1:16" x14ac:dyDescent="0.2">
      <c r="A108" s="2422"/>
      <c r="B108" s="2012">
        <v>1</v>
      </c>
      <c r="C108" s="1769"/>
      <c r="D108" s="1847" t="s">
        <v>3011</v>
      </c>
      <c r="E108" s="2514">
        <v>7028</v>
      </c>
      <c r="F108" s="2499">
        <v>12900</v>
      </c>
      <c r="G108" s="2499">
        <v>0</v>
      </c>
      <c r="H108" s="2499">
        <v>0</v>
      </c>
      <c r="I108" s="2499">
        <v>0</v>
      </c>
      <c r="J108" s="2242" t="s">
        <v>1417</v>
      </c>
      <c r="K108" s="2460" t="s">
        <v>1418</v>
      </c>
      <c r="L108" s="2006" t="s">
        <v>3012</v>
      </c>
      <c r="M108" s="2006" t="s">
        <v>112</v>
      </c>
      <c r="N108" s="2006" t="s">
        <v>112</v>
      </c>
      <c r="O108" s="2006" t="s">
        <v>112</v>
      </c>
      <c r="P108" s="2006" t="s">
        <v>112</v>
      </c>
    </row>
    <row r="109" spans="1:16" x14ac:dyDescent="0.2">
      <c r="A109" s="2422"/>
      <c r="B109" s="2012"/>
      <c r="C109" s="1769"/>
      <c r="D109" s="1847"/>
      <c r="E109" s="2514"/>
      <c r="F109" s="2499"/>
      <c r="G109" s="2499"/>
      <c r="H109" s="2499"/>
      <c r="I109" s="2499"/>
      <c r="J109" s="2242"/>
      <c r="K109" s="2460"/>
      <c r="L109" s="2006"/>
      <c r="M109" s="2006"/>
      <c r="N109" s="2006"/>
      <c r="O109" s="2006"/>
      <c r="P109" s="2006"/>
    </row>
    <row r="110" spans="1:16" x14ac:dyDescent="0.2">
      <c r="A110" s="1433"/>
      <c r="B110" s="502">
        <v>2</v>
      </c>
      <c r="C110" s="213"/>
      <c r="D110" s="697" t="s">
        <v>3013</v>
      </c>
      <c r="E110" s="2516">
        <v>28950</v>
      </c>
      <c r="F110" s="2517">
        <v>46000</v>
      </c>
      <c r="G110" s="2517">
        <v>0</v>
      </c>
      <c r="H110" s="2517">
        <v>0</v>
      </c>
      <c r="I110" s="2517">
        <v>0</v>
      </c>
      <c r="J110" s="2242"/>
      <c r="K110" s="964" t="s">
        <v>1419</v>
      </c>
      <c r="L110" s="693"/>
      <c r="M110" s="693"/>
      <c r="N110" s="693"/>
      <c r="O110" s="693"/>
      <c r="P110" s="693"/>
    </row>
    <row r="111" spans="1:16" ht="25.5" x14ac:dyDescent="0.2">
      <c r="A111" s="1433"/>
      <c r="B111" s="696" t="s">
        <v>119</v>
      </c>
      <c r="C111" s="427"/>
      <c r="D111" s="503" t="s">
        <v>3014</v>
      </c>
      <c r="E111" s="2516">
        <v>939591.8</v>
      </c>
      <c r="F111" s="2516">
        <v>1156372.1000000001</v>
      </c>
      <c r="G111" s="2516">
        <v>120000</v>
      </c>
      <c r="H111" s="2516">
        <v>90000</v>
      </c>
      <c r="I111" s="2516">
        <v>90000</v>
      </c>
      <c r="J111" s="2242"/>
      <c r="K111" s="964" t="s">
        <v>1420</v>
      </c>
      <c r="L111" s="22"/>
      <c r="M111" s="22"/>
      <c r="N111" s="22"/>
      <c r="O111" s="22"/>
      <c r="P111" s="22"/>
    </row>
    <row r="112" spans="1:16" x14ac:dyDescent="0.2">
      <c r="A112" s="2422"/>
      <c r="B112" s="1746" t="s">
        <v>124</v>
      </c>
      <c r="C112" s="1746"/>
      <c r="D112" s="1847" t="s">
        <v>3015</v>
      </c>
      <c r="E112" s="2514">
        <v>497102.89999999997</v>
      </c>
      <c r="F112" s="2514">
        <v>301000</v>
      </c>
      <c r="G112" s="2514">
        <v>227050.8</v>
      </c>
      <c r="H112" s="2514">
        <v>237951.8</v>
      </c>
      <c r="I112" s="2514">
        <v>243489.8</v>
      </c>
      <c r="J112" s="2242"/>
      <c r="K112" s="1871" t="s">
        <v>1421</v>
      </c>
      <c r="L112" s="2006" t="s">
        <v>3016</v>
      </c>
      <c r="M112" s="2006" t="s">
        <v>3017</v>
      </c>
      <c r="N112" s="2006" t="s">
        <v>1422</v>
      </c>
      <c r="O112" s="2006" t="s">
        <v>1422</v>
      </c>
      <c r="P112" s="2006" t="s">
        <v>1422</v>
      </c>
    </row>
    <row r="113" spans="1:16" x14ac:dyDescent="0.2">
      <c r="A113" s="2422"/>
      <c r="B113" s="1746"/>
      <c r="C113" s="1746"/>
      <c r="D113" s="1847"/>
      <c r="E113" s="2514"/>
      <c r="F113" s="2514"/>
      <c r="G113" s="2514"/>
      <c r="H113" s="2514"/>
      <c r="I113" s="2514"/>
      <c r="J113" s="2242"/>
      <c r="K113" s="1871"/>
      <c r="L113" s="1871"/>
      <c r="M113" s="1871"/>
      <c r="N113" s="1871"/>
      <c r="O113" s="1871"/>
      <c r="P113" s="1871"/>
    </row>
    <row r="114" spans="1:16" ht="25.5" x14ac:dyDescent="0.2">
      <c r="A114" s="2422"/>
      <c r="B114" s="1746" t="s">
        <v>128</v>
      </c>
      <c r="C114" s="1746"/>
      <c r="D114" s="1847" t="s">
        <v>3018</v>
      </c>
      <c r="E114" s="2514">
        <v>266929.8</v>
      </c>
      <c r="F114" s="2514">
        <v>190000</v>
      </c>
      <c r="G114" s="2514">
        <v>198000</v>
      </c>
      <c r="H114" s="2514">
        <v>198000</v>
      </c>
      <c r="I114" s="2514">
        <v>198000</v>
      </c>
      <c r="J114" s="41" t="s">
        <v>1423</v>
      </c>
      <c r="K114" s="964" t="s">
        <v>16</v>
      </c>
      <c r="L114" s="22">
        <v>100</v>
      </c>
      <c r="M114" s="22">
        <v>100</v>
      </c>
      <c r="N114" s="22">
        <v>70</v>
      </c>
      <c r="O114" s="22">
        <v>70</v>
      </c>
      <c r="P114" s="22">
        <v>70</v>
      </c>
    </row>
    <row r="115" spans="1:16" x14ac:dyDescent="0.2">
      <c r="A115" s="2422"/>
      <c r="B115" s="1746"/>
      <c r="C115" s="1746"/>
      <c r="D115" s="1847"/>
      <c r="E115" s="2514"/>
      <c r="F115" s="2514"/>
      <c r="G115" s="2514"/>
      <c r="H115" s="2514"/>
      <c r="I115" s="2514"/>
      <c r="J115" s="41" t="s">
        <v>3019</v>
      </c>
      <c r="K115" s="964" t="s">
        <v>593</v>
      </c>
      <c r="L115" s="22">
        <v>5</v>
      </c>
      <c r="M115" s="22">
        <v>90</v>
      </c>
      <c r="N115" s="22">
        <v>120</v>
      </c>
      <c r="O115" s="22">
        <v>150</v>
      </c>
      <c r="P115" s="22">
        <v>200</v>
      </c>
    </row>
    <row r="116" spans="1:16" x14ac:dyDescent="0.2">
      <c r="A116" s="2422"/>
      <c r="B116" s="1746" t="s">
        <v>202</v>
      </c>
      <c r="C116" s="1746"/>
      <c r="D116" s="1847" t="s">
        <v>3020</v>
      </c>
      <c r="E116" s="2514">
        <v>12642</v>
      </c>
      <c r="F116" s="2514">
        <v>5000</v>
      </c>
      <c r="G116" s="2514">
        <v>0</v>
      </c>
      <c r="H116" s="2514">
        <v>0</v>
      </c>
      <c r="I116" s="2514">
        <v>0</v>
      </c>
      <c r="J116" s="1434" t="s">
        <v>1424</v>
      </c>
      <c r="K116" s="709" t="s">
        <v>593</v>
      </c>
      <c r="L116" s="591">
        <v>50</v>
      </c>
      <c r="M116" s="591">
        <v>60</v>
      </c>
      <c r="N116" s="591">
        <v>65</v>
      </c>
      <c r="O116" s="591">
        <v>70</v>
      </c>
      <c r="P116" s="591">
        <v>70</v>
      </c>
    </row>
    <row r="117" spans="1:16" ht="25.5" x14ac:dyDescent="0.2">
      <c r="A117" s="2422"/>
      <c r="B117" s="1746"/>
      <c r="C117" s="1746"/>
      <c r="D117" s="1847"/>
      <c r="E117" s="2514"/>
      <c r="F117" s="2514"/>
      <c r="G117" s="2514"/>
      <c r="H117" s="2514"/>
      <c r="I117" s="2514"/>
      <c r="J117" s="1434" t="s">
        <v>1425</v>
      </c>
      <c r="K117" s="709" t="s">
        <v>16</v>
      </c>
      <c r="L117" s="591">
        <v>0</v>
      </c>
      <c r="M117" s="591">
        <v>0</v>
      </c>
      <c r="N117" s="591">
        <v>0</v>
      </c>
      <c r="O117" s="591">
        <v>0</v>
      </c>
      <c r="P117" s="591">
        <v>0</v>
      </c>
    </row>
    <row r="118" spans="1:16" ht="25.5" x14ac:dyDescent="0.2">
      <c r="A118" s="505"/>
      <c r="B118" s="696" t="s">
        <v>149</v>
      </c>
      <c r="C118" s="696"/>
      <c r="D118" s="697" t="s">
        <v>3021</v>
      </c>
      <c r="E118" s="2516">
        <v>169880.7</v>
      </c>
      <c r="F118" s="2516">
        <v>200441.3</v>
      </c>
      <c r="G118" s="2516">
        <v>144993.09999999998</v>
      </c>
      <c r="H118" s="2516">
        <v>144993.09999999998</v>
      </c>
      <c r="I118" s="2516">
        <v>144993.09999999998</v>
      </c>
      <c r="J118" s="41" t="s">
        <v>3022</v>
      </c>
      <c r="K118" s="964" t="s">
        <v>1224</v>
      </c>
      <c r="L118" s="22">
        <v>280</v>
      </c>
      <c r="M118" s="22">
        <v>250</v>
      </c>
      <c r="N118" s="22">
        <v>0</v>
      </c>
      <c r="O118" s="22">
        <v>0</v>
      </c>
      <c r="P118" s="22">
        <v>0</v>
      </c>
    </row>
    <row r="119" spans="1:16" ht="25.5" x14ac:dyDescent="0.2">
      <c r="A119" s="505"/>
      <c r="B119" s="696" t="s">
        <v>152</v>
      </c>
      <c r="C119" s="696"/>
      <c r="D119" s="697" t="s">
        <v>3023</v>
      </c>
      <c r="E119" s="2517">
        <v>17216</v>
      </c>
      <c r="F119" s="2516">
        <v>50000</v>
      </c>
      <c r="G119" s="2516">
        <v>0</v>
      </c>
      <c r="H119" s="2516">
        <v>0</v>
      </c>
      <c r="I119" s="2516">
        <v>0</v>
      </c>
      <c r="J119" s="41" t="s">
        <v>3024</v>
      </c>
      <c r="K119" s="964" t="s">
        <v>16</v>
      </c>
      <c r="L119" s="22">
        <v>75</v>
      </c>
      <c r="M119" s="22">
        <v>75</v>
      </c>
      <c r="N119" s="22">
        <v>75</v>
      </c>
      <c r="O119" s="22">
        <v>75</v>
      </c>
      <c r="P119" s="22">
        <v>75</v>
      </c>
    </row>
    <row r="120" spans="1:16" ht="25.5" x14ac:dyDescent="0.2">
      <c r="A120" s="2001" t="s">
        <v>155</v>
      </c>
      <c r="B120" s="2001"/>
      <c r="C120" s="2001"/>
      <c r="D120" s="898" t="s">
        <v>3025</v>
      </c>
      <c r="E120" s="2513">
        <v>8412201.8000000007</v>
      </c>
      <c r="F120" s="2513">
        <v>8486342.1000000015</v>
      </c>
      <c r="G120" s="2513">
        <v>8044807.2000000002</v>
      </c>
      <c r="H120" s="2513">
        <v>8437889.4000000004</v>
      </c>
      <c r="I120" s="2513">
        <v>9018128.6000000015</v>
      </c>
      <c r="J120" s="2461" t="s">
        <v>1426</v>
      </c>
      <c r="K120" s="2463" t="s">
        <v>1224</v>
      </c>
      <c r="L120" s="2185">
        <v>131.5</v>
      </c>
      <c r="M120" s="2467">
        <v>93</v>
      </c>
      <c r="N120" s="2467">
        <v>153.30000000000001</v>
      </c>
      <c r="O120" s="2467">
        <v>159</v>
      </c>
      <c r="P120" s="2185">
        <v>92.3</v>
      </c>
    </row>
    <row r="121" spans="1:16" x14ac:dyDescent="0.2">
      <c r="A121" s="2001"/>
      <c r="B121" s="2001"/>
      <c r="C121" s="2001"/>
      <c r="D121" s="2468" t="s">
        <v>3026</v>
      </c>
      <c r="E121" s="2513"/>
      <c r="F121" s="2513"/>
      <c r="G121" s="2513"/>
      <c r="H121" s="2513"/>
      <c r="I121" s="2513"/>
      <c r="J121" s="2461"/>
      <c r="K121" s="2463"/>
      <c r="L121" s="2185"/>
      <c r="M121" s="2467"/>
      <c r="N121" s="2467"/>
      <c r="O121" s="2467"/>
      <c r="P121" s="2185"/>
    </row>
    <row r="122" spans="1:16" x14ac:dyDescent="0.2">
      <c r="A122" s="2001"/>
      <c r="B122" s="2001"/>
      <c r="C122" s="2001"/>
      <c r="D122" s="2468"/>
      <c r="E122" s="2513"/>
      <c r="F122" s="2513"/>
      <c r="G122" s="2513"/>
      <c r="H122" s="2513"/>
      <c r="I122" s="2513"/>
      <c r="J122" s="2461"/>
      <c r="K122" s="2463"/>
      <c r="L122" s="2185"/>
      <c r="M122" s="2467"/>
      <c r="N122" s="2467"/>
      <c r="O122" s="2467"/>
      <c r="P122" s="2185"/>
    </row>
    <row r="123" spans="1:16" ht="54" customHeight="1" x14ac:dyDescent="0.2">
      <c r="A123" s="2001"/>
      <c r="B123" s="2001"/>
      <c r="C123" s="2001"/>
      <c r="D123" s="2468"/>
      <c r="E123" s="2513"/>
      <c r="F123" s="2513"/>
      <c r="G123" s="2513"/>
      <c r="H123" s="2513"/>
      <c r="I123" s="2513"/>
      <c r="J123" s="2461"/>
      <c r="K123" s="2463"/>
      <c r="L123" s="2185"/>
      <c r="M123" s="2467"/>
      <c r="N123" s="2467"/>
      <c r="O123" s="2467"/>
      <c r="P123" s="2185"/>
    </row>
    <row r="124" spans="1:16" x14ac:dyDescent="0.2">
      <c r="A124" s="2118"/>
      <c r="B124" s="1833" t="s">
        <v>114</v>
      </c>
      <c r="C124" s="1833"/>
      <c r="D124" s="2041" t="s">
        <v>3027</v>
      </c>
      <c r="E124" s="2514">
        <v>261740.1</v>
      </c>
      <c r="F124" s="2514">
        <v>296099.7</v>
      </c>
      <c r="G124" s="2514">
        <v>266050</v>
      </c>
      <c r="H124" s="2514">
        <v>0</v>
      </c>
      <c r="I124" s="2514">
        <v>0</v>
      </c>
      <c r="J124" s="40" t="s">
        <v>1426</v>
      </c>
      <c r="K124" s="2495" t="s">
        <v>1224</v>
      </c>
      <c r="L124" s="1435">
        <v>0</v>
      </c>
      <c r="M124" s="1435">
        <v>0</v>
      </c>
      <c r="N124" s="1435">
        <v>0</v>
      </c>
      <c r="O124" s="1435">
        <v>0</v>
      </c>
      <c r="P124" s="1435">
        <v>0</v>
      </c>
    </row>
    <row r="125" spans="1:16" x14ac:dyDescent="0.2">
      <c r="A125" s="2118"/>
      <c r="B125" s="2149"/>
      <c r="C125" s="2149"/>
      <c r="D125" s="2041"/>
      <c r="E125" s="2514"/>
      <c r="F125" s="2514"/>
      <c r="G125" s="2514"/>
      <c r="H125" s="2514"/>
      <c r="I125" s="2514"/>
      <c r="J125" s="40" t="s">
        <v>1427</v>
      </c>
      <c r="K125" s="2495" t="s">
        <v>16</v>
      </c>
      <c r="L125" s="1435">
        <v>0</v>
      </c>
      <c r="M125" s="1435">
        <v>0</v>
      </c>
      <c r="N125" s="1435">
        <v>0</v>
      </c>
      <c r="O125" s="1435">
        <v>0</v>
      </c>
      <c r="P125" s="1435">
        <v>0</v>
      </c>
    </row>
    <row r="126" spans="1:16" ht="25.5" x14ac:dyDescent="0.2">
      <c r="A126" s="2118"/>
      <c r="B126" s="1834"/>
      <c r="C126" s="1834"/>
      <c r="D126" s="2041"/>
      <c r="E126" s="2514"/>
      <c r="F126" s="2514"/>
      <c r="G126" s="2514"/>
      <c r="H126" s="2514"/>
      <c r="I126" s="2514"/>
      <c r="J126" s="40" t="s">
        <v>1428</v>
      </c>
      <c r="K126" s="964" t="s">
        <v>1429</v>
      </c>
      <c r="L126" s="1436">
        <v>24108</v>
      </c>
      <c r="M126" s="1436">
        <v>24708</v>
      </c>
      <c r="N126" s="1436">
        <v>27708</v>
      </c>
      <c r="O126" s="1436">
        <v>27808</v>
      </c>
      <c r="P126" s="1436">
        <v>27808</v>
      </c>
    </row>
    <row r="127" spans="1:16" x14ac:dyDescent="0.2">
      <c r="A127" s="2118"/>
      <c r="B127" s="2118" t="s">
        <v>1430</v>
      </c>
      <c r="C127" s="2118"/>
      <c r="D127" s="2041" t="s">
        <v>3028</v>
      </c>
      <c r="E127" s="2514">
        <v>0</v>
      </c>
      <c r="F127" s="2499">
        <v>0</v>
      </c>
      <c r="G127" s="2499">
        <v>30149.5</v>
      </c>
      <c r="H127" s="2499">
        <v>1230732</v>
      </c>
      <c r="I127" s="2499">
        <v>1775565</v>
      </c>
      <c r="J127" s="40" t="s">
        <v>1426</v>
      </c>
      <c r="K127" s="709" t="s">
        <v>1224</v>
      </c>
      <c r="L127" s="591">
        <v>0</v>
      </c>
      <c r="M127" s="597">
        <v>15</v>
      </c>
      <c r="N127" s="597">
        <v>0</v>
      </c>
      <c r="O127" s="597">
        <v>0</v>
      </c>
      <c r="P127" s="597">
        <v>0</v>
      </c>
    </row>
    <row r="128" spans="1:16" x14ac:dyDescent="0.2">
      <c r="A128" s="2118"/>
      <c r="B128" s="2118"/>
      <c r="C128" s="2118"/>
      <c r="D128" s="2041"/>
      <c r="E128" s="2514"/>
      <c r="F128" s="2499"/>
      <c r="G128" s="2499"/>
      <c r="H128" s="2499"/>
      <c r="I128" s="2499"/>
      <c r="J128" s="40" t="s">
        <v>1427</v>
      </c>
      <c r="K128" s="964" t="s">
        <v>16</v>
      </c>
      <c r="L128" s="22">
        <v>0</v>
      </c>
      <c r="M128" s="695">
        <v>0</v>
      </c>
      <c r="N128" s="695">
        <v>0</v>
      </c>
      <c r="O128" s="695">
        <v>0</v>
      </c>
      <c r="P128" s="695">
        <v>0</v>
      </c>
    </row>
    <row r="129" spans="1:16" ht="25.5" x14ac:dyDescent="0.2">
      <c r="A129" s="2118"/>
      <c r="B129" s="2118"/>
      <c r="C129" s="2118"/>
      <c r="D129" s="2041"/>
      <c r="E129" s="2514"/>
      <c r="F129" s="2499"/>
      <c r="G129" s="2499"/>
      <c r="H129" s="2499"/>
      <c r="I129" s="2499"/>
      <c r="J129" s="40" t="s">
        <v>1428</v>
      </c>
      <c r="K129" s="964" t="s">
        <v>1429</v>
      </c>
      <c r="L129" s="695">
        <v>23958</v>
      </c>
      <c r="M129" s="695">
        <v>24108</v>
      </c>
      <c r="N129" s="695">
        <v>24258</v>
      </c>
      <c r="O129" s="695">
        <v>24358</v>
      </c>
      <c r="P129" s="695">
        <v>24508</v>
      </c>
    </row>
    <row r="130" spans="1:16" x14ac:dyDescent="0.2">
      <c r="A130" s="2118"/>
      <c r="B130" s="2118" t="s">
        <v>116</v>
      </c>
      <c r="C130" s="2118"/>
      <c r="D130" s="2041" t="s">
        <v>3029</v>
      </c>
      <c r="E130" s="2514">
        <v>1057611.5999999999</v>
      </c>
      <c r="F130" s="2499">
        <v>617717.9</v>
      </c>
      <c r="G130" s="2499">
        <v>620500</v>
      </c>
      <c r="H130" s="2499">
        <v>946364.5</v>
      </c>
      <c r="I130" s="2499">
        <v>2815288.4</v>
      </c>
      <c r="J130" s="40" t="s">
        <v>1426</v>
      </c>
      <c r="K130" s="964" t="s">
        <v>1224</v>
      </c>
      <c r="L130" s="22">
        <v>28</v>
      </c>
      <c r="M130" s="695">
        <v>10</v>
      </c>
      <c r="N130" s="695">
        <v>18</v>
      </c>
      <c r="O130" s="695">
        <v>16</v>
      </c>
      <c r="P130" s="695">
        <v>21</v>
      </c>
    </row>
    <row r="131" spans="1:16" x14ac:dyDescent="0.2">
      <c r="A131" s="2118"/>
      <c r="B131" s="2118"/>
      <c r="C131" s="2118"/>
      <c r="D131" s="2041"/>
      <c r="E131" s="2514"/>
      <c r="F131" s="2499"/>
      <c r="G131" s="2499"/>
      <c r="H131" s="2499"/>
      <c r="I131" s="2499"/>
      <c r="J131" s="40" t="s">
        <v>1427</v>
      </c>
      <c r="K131" s="964" t="s">
        <v>16</v>
      </c>
      <c r="L131" s="22">
        <v>5</v>
      </c>
      <c r="M131" s="695">
        <v>15</v>
      </c>
      <c r="N131" s="695">
        <v>20</v>
      </c>
      <c r="O131" s="695">
        <v>25</v>
      </c>
      <c r="P131" s="695">
        <v>35</v>
      </c>
    </row>
    <row r="132" spans="1:16" ht="25.5" x14ac:dyDescent="0.2">
      <c r="A132" s="2118"/>
      <c r="B132" s="2118"/>
      <c r="C132" s="2118"/>
      <c r="D132" s="2041"/>
      <c r="E132" s="2514"/>
      <c r="F132" s="2499"/>
      <c r="G132" s="2499"/>
      <c r="H132" s="2499"/>
      <c r="I132" s="2499"/>
      <c r="J132" s="40" t="s">
        <v>1428</v>
      </c>
      <c r="K132" s="964" t="s">
        <v>1429</v>
      </c>
      <c r="L132" s="22">
        <v>2483.3000000000002</v>
      </c>
      <c r="M132" s="431">
        <v>2681.3</v>
      </c>
      <c r="N132" s="431">
        <v>2300</v>
      </c>
      <c r="O132" s="431">
        <v>3550</v>
      </c>
      <c r="P132" s="431">
        <v>3650</v>
      </c>
    </row>
    <row r="133" spans="1:16" x14ac:dyDescent="0.2">
      <c r="A133" s="2118"/>
      <c r="B133" s="2118" t="s">
        <v>116</v>
      </c>
      <c r="C133" s="2118"/>
      <c r="D133" s="2466" t="s">
        <v>3030</v>
      </c>
      <c r="E133" s="2514">
        <v>376275.7</v>
      </c>
      <c r="F133" s="2499">
        <v>303150</v>
      </c>
      <c r="G133" s="2499">
        <v>170000</v>
      </c>
      <c r="H133" s="2499">
        <v>459850</v>
      </c>
      <c r="I133" s="2499">
        <v>123003.5</v>
      </c>
      <c r="J133" s="40" t="s">
        <v>1431</v>
      </c>
      <c r="K133" s="709" t="s">
        <v>16</v>
      </c>
      <c r="L133" s="591">
        <v>0</v>
      </c>
      <c r="M133" s="597">
        <v>0</v>
      </c>
      <c r="N133" s="397">
        <v>0.2</v>
      </c>
      <c r="O133" s="397">
        <v>0.3</v>
      </c>
      <c r="P133" s="597">
        <v>50</v>
      </c>
    </row>
    <row r="134" spans="1:16" ht="25.5" x14ac:dyDescent="0.2">
      <c r="A134" s="2118"/>
      <c r="B134" s="2118"/>
      <c r="C134" s="2118"/>
      <c r="D134" s="2466"/>
      <c r="E134" s="2514"/>
      <c r="F134" s="2499"/>
      <c r="G134" s="2499"/>
      <c r="H134" s="2499"/>
      <c r="I134" s="2499"/>
      <c r="J134" s="40" t="s">
        <v>1432</v>
      </c>
      <c r="K134" s="709" t="s">
        <v>16</v>
      </c>
      <c r="L134" s="591">
        <v>0</v>
      </c>
      <c r="M134" s="597">
        <v>0</v>
      </c>
      <c r="N134" s="397">
        <v>0</v>
      </c>
      <c r="O134" s="397">
        <v>0</v>
      </c>
      <c r="P134" s="397">
        <v>1</v>
      </c>
    </row>
    <row r="135" spans="1:16" x14ac:dyDescent="0.2">
      <c r="A135" s="2118"/>
      <c r="B135" s="2118" t="s">
        <v>119</v>
      </c>
      <c r="C135" s="2118"/>
      <c r="D135" s="2111" t="s">
        <v>3031</v>
      </c>
      <c r="E135" s="2514">
        <v>1495081.2</v>
      </c>
      <c r="F135" s="2499">
        <v>2395800</v>
      </c>
      <c r="G135" s="2499">
        <v>1980500</v>
      </c>
      <c r="H135" s="2499">
        <v>1615331.5</v>
      </c>
      <c r="I135" s="2499">
        <v>639233.19999999995</v>
      </c>
      <c r="J135" s="40" t="s">
        <v>1426</v>
      </c>
      <c r="K135" s="964" t="s">
        <v>1224</v>
      </c>
      <c r="L135" s="22">
        <v>9.5</v>
      </c>
      <c r="M135" s="695">
        <v>23</v>
      </c>
      <c r="N135" s="695">
        <v>42.6</v>
      </c>
      <c r="O135" s="695">
        <v>25</v>
      </c>
      <c r="P135" s="695">
        <v>22.3</v>
      </c>
    </row>
    <row r="136" spans="1:16" x14ac:dyDescent="0.2">
      <c r="A136" s="2118"/>
      <c r="B136" s="2118"/>
      <c r="C136" s="2118"/>
      <c r="D136" s="2111"/>
      <c r="E136" s="2514"/>
      <c r="F136" s="2499"/>
      <c r="G136" s="2499"/>
      <c r="H136" s="2499"/>
      <c r="I136" s="2499"/>
      <c r="J136" s="40" t="s">
        <v>1427</v>
      </c>
      <c r="K136" s="964" t="s">
        <v>16</v>
      </c>
      <c r="L136" s="22">
        <v>0</v>
      </c>
      <c r="M136" s="695">
        <v>5</v>
      </c>
      <c r="N136" s="695">
        <v>10</v>
      </c>
      <c r="O136" s="695">
        <v>0</v>
      </c>
      <c r="P136" s="695">
        <v>0</v>
      </c>
    </row>
    <row r="137" spans="1:16" ht="25.5" x14ac:dyDescent="0.2">
      <c r="A137" s="2118"/>
      <c r="B137" s="2118"/>
      <c r="C137" s="2118"/>
      <c r="D137" s="2111"/>
      <c r="E137" s="2514"/>
      <c r="F137" s="2499"/>
      <c r="G137" s="2499"/>
      <c r="H137" s="2499"/>
      <c r="I137" s="2499"/>
      <c r="J137" s="40" t="s">
        <v>1428</v>
      </c>
      <c r="K137" s="964" t="s">
        <v>1429</v>
      </c>
      <c r="L137" s="431">
        <v>29000</v>
      </c>
      <c r="M137" s="431">
        <v>30000</v>
      </c>
      <c r="N137" s="431">
        <v>32000</v>
      </c>
      <c r="O137" s="431">
        <v>0</v>
      </c>
      <c r="P137" s="431">
        <v>0</v>
      </c>
    </row>
    <row r="138" spans="1:16" x14ac:dyDescent="0.2">
      <c r="A138" s="2118"/>
      <c r="B138" s="2118" t="s">
        <v>124</v>
      </c>
      <c r="C138" s="2118"/>
      <c r="D138" s="2041" t="s">
        <v>3032</v>
      </c>
      <c r="E138" s="2514">
        <v>5198433.2000000011</v>
      </c>
      <c r="F138" s="2499">
        <v>4864519.2</v>
      </c>
      <c r="G138" s="2499">
        <v>4764019.7</v>
      </c>
      <c r="H138" s="2499">
        <v>3974284.7</v>
      </c>
      <c r="I138" s="2499">
        <v>545700</v>
      </c>
      <c r="J138" s="40" t="s">
        <v>1426</v>
      </c>
      <c r="K138" s="964" t="s">
        <v>1224</v>
      </c>
      <c r="L138" s="22">
        <v>64</v>
      </c>
      <c r="M138" s="695">
        <v>45</v>
      </c>
      <c r="N138" s="695">
        <v>82.7</v>
      </c>
      <c r="O138" s="695">
        <v>103</v>
      </c>
      <c r="P138" s="695">
        <v>37</v>
      </c>
    </row>
    <row r="139" spans="1:16" x14ac:dyDescent="0.2">
      <c r="A139" s="2118"/>
      <c r="B139" s="2118"/>
      <c r="C139" s="2118"/>
      <c r="D139" s="2041"/>
      <c r="E139" s="2514"/>
      <c r="F139" s="2499"/>
      <c r="G139" s="2499"/>
      <c r="H139" s="2499"/>
      <c r="I139" s="2499"/>
      <c r="J139" s="40" t="s">
        <v>1427</v>
      </c>
      <c r="K139" s="964" t="s">
        <v>16</v>
      </c>
      <c r="L139" s="22">
        <v>0</v>
      </c>
      <c r="M139" s="695">
        <v>0</v>
      </c>
      <c r="N139" s="695">
        <v>10</v>
      </c>
      <c r="O139" s="695">
        <v>10</v>
      </c>
      <c r="P139" s="695">
        <v>18</v>
      </c>
    </row>
    <row r="140" spans="1:16" ht="25.5" x14ac:dyDescent="0.2">
      <c r="A140" s="2118"/>
      <c r="B140" s="2118"/>
      <c r="C140" s="2118"/>
      <c r="D140" s="2041"/>
      <c r="E140" s="2514"/>
      <c r="F140" s="2499"/>
      <c r="G140" s="2499"/>
      <c r="H140" s="2499"/>
      <c r="I140" s="2499"/>
      <c r="J140" s="40" t="s">
        <v>1428</v>
      </c>
      <c r="K140" s="964" t="s">
        <v>1429</v>
      </c>
      <c r="L140" s="431">
        <v>700</v>
      </c>
      <c r="M140" s="431">
        <v>825</v>
      </c>
      <c r="N140" s="431">
        <v>1150</v>
      </c>
      <c r="O140" s="431">
        <v>2750</v>
      </c>
      <c r="P140" s="431">
        <v>4333.3</v>
      </c>
    </row>
    <row r="141" spans="1:16" x14ac:dyDescent="0.2">
      <c r="A141" s="2118"/>
      <c r="B141" s="2100" t="s">
        <v>124</v>
      </c>
      <c r="C141" s="2100"/>
      <c r="D141" s="2041" t="s">
        <v>3033</v>
      </c>
      <c r="E141" s="2514">
        <v>23060</v>
      </c>
      <c r="F141" s="2514">
        <v>9055.2999999999993</v>
      </c>
      <c r="G141" s="2514">
        <v>0</v>
      </c>
      <c r="H141" s="2514">
        <v>0</v>
      </c>
      <c r="I141" s="2514">
        <v>0</v>
      </c>
      <c r="J141" s="40" t="s">
        <v>1426</v>
      </c>
      <c r="K141" s="2495" t="s">
        <v>1224</v>
      </c>
      <c r="L141" s="1435">
        <v>30</v>
      </c>
      <c r="M141" s="1435">
        <v>0</v>
      </c>
      <c r="N141" s="1435">
        <v>0</v>
      </c>
      <c r="O141" s="1435">
        <v>0</v>
      </c>
      <c r="P141" s="1435">
        <v>0</v>
      </c>
    </row>
    <row r="142" spans="1:16" x14ac:dyDescent="0.2">
      <c r="A142" s="2118"/>
      <c r="B142" s="2101"/>
      <c r="C142" s="2101"/>
      <c r="D142" s="2041"/>
      <c r="E142" s="2514"/>
      <c r="F142" s="2514"/>
      <c r="G142" s="2514"/>
      <c r="H142" s="2514"/>
      <c r="I142" s="2514"/>
      <c r="J142" s="40" t="s">
        <v>1427</v>
      </c>
      <c r="K142" s="2495"/>
      <c r="L142" s="1435">
        <v>0</v>
      </c>
      <c r="M142" s="1435">
        <v>0</v>
      </c>
      <c r="N142" s="1435">
        <v>0</v>
      </c>
      <c r="O142" s="1435">
        <v>0</v>
      </c>
      <c r="P142" s="1435">
        <v>0</v>
      </c>
    </row>
    <row r="143" spans="1:16" ht="25.5" x14ac:dyDescent="0.2">
      <c r="A143" s="2118"/>
      <c r="B143" s="2102"/>
      <c r="C143" s="2102"/>
      <c r="D143" s="2041"/>
      <c r="E143" s="2514"/>
      <c r="F143" s="2514"/>
      <c r="G143" s="2514"/>
      <c r="H143" s="2514"/>
      <c r="I143" s="2514"/>
      <c r="J143" s="40" t="s">
        <v>1428</v>
      </c>
      <c r="K143" s="2495" t="s">
        <v>16</v>
      </c>
      <c r="L143" s="1435">
        <v>0</v>
      </c>
      <c r="M143" s="1435">
        <v>0</v>
      </c>
      <c r="N143" s="1435">
        <v>0</v>
      </c>
      <c r="O143" s="1435">
        <v>0</v>
      </c>
      <c r="P143" s="1435">
        <v>0</v>
      </c>
    </row>
    <row r="144" spans="1:16" x14ac:dyDescent="0.2">
      <c r="A144" s="2118"/>
      <c r="B144" s="2118" t="s">
        <v>128</v>
      </c>
      <c r="C144" s="2118"/>
      <c r="D144" s="2041" t="s">
        <v>3034</v>
      </c>
      <c r="E144" s="2514">
        <v>0</v>
      </c>
      <c r="F144" s="2499">
        <v>0</v>
      </c>
      <c r="G144" s="2499">
        <v>213588</v>
      </c>
      <c r="H144" s="2499">
        <v>211326.7</v>
      </c>
      <c r="I144" s="2499">
        <v>3119338.5</v>
      </c>
      <c r="J144" s="40" t="s">
        <v>1426</v>
      </c>
      <c r="K144" s="964" t="s">
        <v>1224</v>
      </c>
      <c r="L144" s="22">
        <v>0</v>
      </c>
      <c r="M144" s="695">
        <v>0</v>
      </c>
      <c r="N144" s="695">
        <v>10</v>
      </c>
      <c r="O144" s="695">
        <v>15</v>
      </c>
      <c r="P144" s="695">
        <v>12</v>
      </c>
    </row>
    <row r="145" spans="1:16" x14ac:dyDescent="0.2">
      <c r="A145" s="2118"/>
      <c r="B145" s="2118"/>
      <c r="C145" s="2118"/>
      <c r="D145" s="2041"/>
      <c r="E145" s="2514"/>
      <c r="F145" s="2499"/>
      <c r="G145" s="2499"/>
      <c r="H145" s="2499"/>
      <c r="I145" s="2499"/>
      <c r="J145" s="40" t="s">
        <v>1427</v>
      </c>
      <c r="K145" s="964" t="s">
        <v>16</v>
      </c>
      <c r="L145" s="22">
        <v>0</v>
      </c>
      <c r="M145" s="695">
        <v>0</v>
      </c>
      <c r="N145" s="695">
        <v>0</v>
      </c>
      <c r="O145" s="695">
        <v>0</v>
      </c>
      <c r="P145" s="695">
        <v>0</v>
      </c>
    </row>
    <row r="146" spans="1:16" ht="25.5" x14ac:dyDescent="0.2">
      <c r="A146" s="2118"/>
      <c r="B146" s="2118"/>
      <c r="C146" s="2118"/>
      <c r="D146" s="2041"/>
      <c r="E146" s="2514"/>
      <c r="F146" s="2499"/>
      <c r="G146" s="2499"/>
      <c r="H146" s="2499"/>
      <c r="I146" s="2499"/>
      <c r="J146" s="40" t="s">
        <v>1428</v>
      </c>
      <c r="K146" s="964" t="s">
        <v>1429</v>
      </c>
      <c r="L146" s="695">
        <v>1500</v>
      </c>
      <c r="M146" s="695">
        <v>2000</v>
      </c>
      <c r="N146" s="695">
        <v>2200</v>
      </c>
      <c r="O146" s="695">
        <v>2500</v>
      </c>
      <c r="P146" s="695">
        <v>3000</v>
      </c>
    </row>
    <row r="147" spans="1:16" x14ac:dyDescent="0.2">
      <c r="A147" s="2465" t="s">
        <v>164</v>
      </c>
      <c r="B147" s="2465"/>
      <c r="C147" s="2465"/>
      <c r="D147" s="1884" t="s">
        <v>3035</v>
      </c>
      <c r="E147" s="2513">
        <v>138348.20000000001</v>
      </c>
      <c r="F147" s="2513">
        <v>154480.4</v>
      </c>
      <c r="G147" s="2513">
        <v>120519.9</v>
      </c>
      <c r="H147" s="2513">
        <v>124757.54949999999</v>
      </c>
      <c r="I147" s="2513">
        <v>125877.91499999999</v>
      </c>
      <c r="J147" s="1884" t="s">
        <v>1433</v>
      </c>
      <c r="K147" s="2185" t="s">
        <v>1434</v>
      </c>
      <c r="L147" s="2464">
        <v>115</v>
      </c>
      <c r="M147" s="2464">
        <v>90</v>
      </c>
      <c r="N147" s="2464">
        <v>85</v>
      </c>
      <c r="O147" s="2464">
        <v>80</v>
      </c>
      <c r="P147" s="2464">
        <v>80</v>
      </c>
    </row>
    <row r="148" spans="1:16" x14ac:dyDescent="0.2">
      <c r="A148" s="2465"/>
      <c r="B148" s="2465"/>
      <c r="C148" s="2465"/>
      <c r="D148" s="1884"/>
      <c r="E148" s="2513"/>
      <c r="F148" s="2513"/>
      <c r="G148" s="2513"/>
      <c r="H148" s="2513"/>
      <c r="I148" s="2513"/>
      <c r="J148" s="1884"/>
      <c r="K148" s="2185"/>
      <c r="L148" s="2464">
        <v>97</v>
      </c>
      <c r="M148" s="2464">
        <v>90</v>
      </c>
      <c r="N148" s="2464">
        <v>90</v>
      </c>
      <c r="O148" s="2464">
        <v>85</v>
      </c>
      <c r="P148" s="2464">
        <v>80</v>
      </c>
    </row>
    <row r="149" spans="1:16" x14ac:dyDescent="0.2">
      <c r="A149" s="2465"/>
      <c r="B149" s="2465"/>
      <c r="C149" s="2465"/>
      <c r="D149" s="1884"/>
      <c r="E149" s="2513"/>
      <c r="F149" s="2513"/>
      <c r="G149" s="2513"/>
      <c r="H149" s="2513"/>
      <c r="I149" s="2513"/>
      <c r="J149" s="1884"/>
      <c r="K149" s="2185"/>
      <c r="L149" s="2464">
        <v>97</v>
      </c>
      <c r="M149" s="2464">
        <v>90</v>
      </c>
      <c r="N149" s="2464">
        <v>90</v>
      </c>
      <c r="O149" s="2464">
        <v>85</v>
      </c>
      <c r="P149" s="2464">
        <v>80</v>
      </c>
    </row>
    <row r="150" spans="1:16" ht="38.25" x14ac:dyDescent="0.2">
      <c r="A150" s="2465"/>
      <c r="B150" s="2465"/>
      <c r="C150" s="2465"/>
      <c r="D150" s="1437" t="s">
        <v>1435</v>
      </c>
      <c r="E150" s="2513"/>
      <c r="F150" s="2513"/>
      <c r="G150" s="2513"/>
      <c r="H150" s="2513"/>
      <c r="I150" s="2513"/>
      <c r="J150" s="1884"/>
      <c r="K150" s="2185"/>
      <c r="L150" s="2464">
        <v>97</v>
      </c>
      <c r="M150" s="2464">
        <v>90</v>
      </c>
      <c r="N150" s="2464">
        <v>90</v>
      </c>
      <c r="O150" s="2464">
        <v>85</v>
      </c>
      <c r="P150" s="2464">
        <v>80</v>
      </c>
    </row>
    <row r="151" spans="1:16" ht="59.25" customHeight="1" x14ac:dyDescent="0.2">
      <c r="A151" s="2118"/>
      <c r="B151" s="2118" t="s">
        <v>114</v>
      </c>
      <c r="C151" s="2118"/>
      <c r="D151" s="1847" t="s">
        <v>3036</v>
      </c>
      <c r="E151" s="2514">
        <v>121495.5</v>
      </c>
      <c r="F151" s="2518">
        <v>107341.3</v>
      </c>
      <c r="G151" s="2519">
        <v>120519.9</v>
      </c>
      <c r="H151" s="2519">
        <v>124757.54949999999</v>
      </c>
      <c r="I151" s="2519">
        <v>125877.91499999999</v>
      </c>
      <c r="J151" s="41" t="s">
        <v>1436</v>
      </c>
      <c r="K151" s="707" t="s">
        <v>16</v>
      </c>
      <c r="L151" s="22">
        <v>87.3</v>
      </c>
      <c r="M151" s="22">
        <v>87.7</v>
      </c>
      <c r="N151" s="22">
        <v>88</v>
      </c>
      <c r="O151" s="22">
        <v>88.5</v>
      </c>
      <c r="P151" s="22">
        <v>88.5</v>
      </c>
    </row>
    <row r="152" spans="1:16" ht="44.25" customHeight="1" x14ac:dyDescent="0.2">
      <c r="A152" s="2118"/>
      <c r="B152" s="2118"/>
      <c r="C152" s="2118"/>
      <c r="D152" s="1847"/>
      <c r="E152" s="2514"/>
      <c r="F152" s="2518"/>
      <c r="G152" s="2519"/>
      <c r="H152" s="2519"/>
      <c r="I152" s="2519"/>
      <c r="J152" s="40" t="s">
        <v>1437</v>
      </c>
      <c r="K152" s="707" t="s">
        <v>1438</v>
      </c>
      <c r="L152" s="460">
        <v>167300</v>
      </c>
      <c r="M152" s="460">
        <v>137000</v>
      </c>
      <c r="N152" s="460">
        <v>140000</v>
      </c>
      <c r="O152" s="460">
        <v>143000</v>
      </c>
      <c r="P152" s="460">
        <v>143000</v>
      </c>
    </row>
    <row r="153" spans="1:16" ht="38.25" x14ac:dyDescent="0.2">
      <c r="A153" s="651"/>
      <c r="B153" s="651" t="s">
        <v>116</v>
      </c>
      <c r="C153" s="651"/>
      <c r="D153" s="697" t="s">
        <v>3037</v>
      </c>
      <c r="E153" s="1677">
        <v>16852.7</v>
      </c>
      <c r="F153" s="2520">
        <v>47139.1</v>
      </c>
      <c r="G153" s="2515">
        <v>0</v>
      </c>
      <c r="H153" s="2515">
        <v>0</v>
      </c>
      <c r="I153" s="2515">
        <v>0</v>
      </c>
      <c r="J153" s="40" t="s">
        <v>3038</v>
      </c>
      <c r="K153" s="964" t="s">
        <v>3039</v>
      </c>
      <c r="L153" s="460">
        <v>6263</v>
      </c>
      <c r="M153" s="460" t="s">
        <v>3040</v>
      </c>
      <c r="N153" s="460" t="s">
        <v>3040</v>
      </c>
      <c r="O153" s="460" t="s">
        <v>3040</v>
      </c>
      <c r="P153" s="460" t="s">
        <v>3040</v>
      </c>
    </row>
    <row r="154" spans="1:16" x14ac:dyDescent="0.2">
      <c r="A154" s="2001" t="s">
        <v>253</v>
      </c>
      <c r="B154" s="2001"/>
      <c r="C154" s="2001"/>
      <c r="D154" s="659" t="s">
        <v>3041</v>
      </c>
      <c r="E154" s="2513">
        <v>209875.20000000001</v>
      </c>
      <c r="F154" s="2513">
        <v>225910.8</v>
      </c>
      <c r="G154" s="2513">
        <v>198073.9</v>
      </c>
      <c r="H154" s="2513">
        <v>200556.3</v>
      </c>
      <c r="I154" s="2513">
        <v>202586.3</v>
      </c>
      <c r="J154" s="1837" t="s">
        <v>1439</v>
      </c>
      <c r="K154" s="2185" t="s">
        <v>1440</v>
      </c>
      <c r="L154" s="2464" t="s">
        <v>1441</v>
      </c>
      <c r="M154" s="2464" t="s">
        <v>1441</v>
      </c>
      <c r="N154" s="2464" t="s">
        <v>1441</v>
      </c>
      <c r="O154" s="2464" t="s">
        <v>1441</v>
      </c>
      <c r="P154" s="2464" t="s">
        <v>1441</v>
      </c>
    </row>
    <row r="155" spans="1:16" ht="27.75" customHeight="1" x14ac:dyDescent="0.2">
      <c r="A155" s="2001"/>
      <c r="B155" s="2001"/>
      <c r="C155" s="2001"/>
      <c r="D155" s="1437" t="s">
        <v>1442</v>
      </c>
      <c r="E155" s="2513"/>
      <c r="F155" s="2513"/>
      <c r="G155" s="2513"/>
      <c r="H155" s="2513"/>
      <c r="I155" s="2513"/>
      <c r="J155" s="1838"/>
      <c r="K155" s="2185"/>
      <c r="L155" s="2464"/>
      <c r="M155" s="2464"/>
      <c r="N155" s="2464"/>
      <c r="O155" s="2464"/>
      <c r="P155" s="2464"/>
    </row>
    <row r="156" spans="1:16" ht="49.5" customHeight="1" x14ac:dyDescent="0.2">
      <c r="A156" s="1746"/>
      <c r="B156" s="1746" t="s">
        <v>114</v>
      </c>
      <c r="C156" s="1746"/>
      <c r="D156" s="1847" t="s">
        <v>3042</v>
      </c>
      <c r="E156" s="2514">
        <v>209875.20000000001</v>
      </c>
      <c r="F156" s="2514">
        <v>225910.8</v>
      </c>
      <c r="G156" s="2514">
        <v>198073.9</v>
      </c>
      <c r="H156" s="2514">
        <v>200556.3</v>
      </c>
      <c r="I156" s="2514">
        <v>202586.3</v>
      </c>
      <c r="J156" s="697" t="s">
        <v>1443</v>
      </c>
      <c r="K156" s="964" t="s">
        <v>16</v>
      </c>
      <c r="L156" s="418">
        <v>80</v>
      </c>
      <c r="M156" s="418">
        <v>82</v>
      </c>
      <c r="N156" s="418">
        <v>85</v>
      </c>
      <c r="O156" s="418">
        <v>88</v>
      </c>
      <c r="P156" s="418">
        <v>90</v>
      </c>
    </row>
    <row r="157" spans="1:16" ht="25.5" x14ac:dyDescent="0.2">
      <c r="A157" s="1746"/>
      <c r="B157" s="1746"/>
      <c r="C157" s="1746"/>
      <c r="D157" s="1847"/>
      <c r="E157" s="2514"/>
      <c r="F157" s="2514"/>
      <c r="G157" s="2514"/>
      <c r="H157" s="2514"/>
      <c r="I157" s="2514"/>
      <c r="J157" s="697" t="s">
        <v>1444</v>
      </c>
      <c r="K157" s="964" t="s">
        <v>16</v>
      </c>
      <c r="L157" s="139">
        <v>91.3</v>
      </c>
      <c r="M157" s="139">
        <v>85</v>
      </c>
      <c r="N157" s="139">
        <v>87</v>
      </c>
      <c r="O157" s="139">
        <v>90</v>
      </c>
      <c r="P157" s="139">
        <v>93</v>
      </c>
    </row>
    <row r="158" spans="1:16" ht="25.5" x14ac:dyDescent="0.2">
      <c r="A158" s="2001" t="s">
        <v>146</v>
      </c>
      <c r="B158" s="2463"/>
      <c r="C158" s="2463"/>
      <c r="D158" s="1438" t="s">
        <v>3043</v>
      </c>
      <c r="E158" s="2513">
        <v>55846</v>
      </c>
      <c r="F158" s="2513">
        <v>62380.700000000004</v>
      </c>
      <c r="G158" s="2513">
        <v>56458</v>
      </c>
      <c r="H158" s="2513">
        <v>61084.2</v>
      </c>
      <c r="I158" s="2513">
        <v>61204.2</v>
      </c>
      <c r="J158" s="2425" t="s">
        <v>1445</v>
      </c>
      <c r="K158" s="2461" t="s">
        <v>115</v>
      </c>
      <c r="L158" s="2461" t="s">
        <v>1446</v>
      </c>
      <c r="M158" s="2461" t="s">
        <v>1447</v>
      </c>
      <c r="N158" s="2461" t="s">
        <v>1448</v>
      </c>
      <c r="O158" s="2461" t="s">
        <v>1448</v>
      </c>
      <c r="P158" s="2461" t="s">
        <v>1448</v>
      </c>
    </row>
    <row r="159" spans="1:16" x14ac:dyDescent="0.2">
      <c r="A159" s="2001"/>
      <c r="B159" s="2463"/>
      <c r="C159" s="2463"/>
      <c r="D159" s="2462" t="s">
        <v>3044</v>
      </c>
      <c r="E159" s="2513"/>
      <c r="F159" s="2513"/>
      <c r="G159" s="2513"/>
      <c r="H159" s="2513"/>
      <c r="I159" s="2513"/>
      <c r="J159" s="2425"/>
      <c r="K159" s="2461"/>
      <c r="L159" s="2461"/>
      <c r="M159" s="2461"/>
      <c r="N159" s="2461"/>
      <c r="O159" s="2461"/>
      <c r="P159" s="2461"/>
    </row>
    <row r="160" spans="1:16" x14ac:dyDescent="0.2">
      <c r="A160" s="2001"/>
      <c r="B160" s="2463"/>
      <c r="C160" s="2463"/>
      <c r="D160" s="2462"/>
      <c r="E160" s="2513"/>
      <c r="F160" s="2513"/>
      <c r="G160" s="2513"/>
      <c r="H160" s="2513"/>
      <c r="I160" s="2513"/>
      <c r="J160" s="2425" t="s">
        <v>3045</v>
      </c>
      <c r="K160" s="2461" t="s">
        <v>16</v>
      </c>
      <c r="L160" s="2461">
        <v>70</v>
      </c>
      <c r="M160" s="2461">
        <v>75</v>
      </c>
      <c r="N160" s="2461">
        <v>85</v>
      </c>
      <c r="O160" s="2461">
        <v>85</v>
      </c>
      <c r="P160" s="2461">
        <v>85</v>
      </c>
    </row>
    <row r="161" spans="1:16" x14ac:dyDescent="0.2">
      <c r="A161" s="2001"/>
      <c r="B161" s="2463"/>
      <c r="C161" s="2463"/>
      <c r="D161" s="2462"/>
      <c r="E161" s="2513"/>
      <c r="F161" s="2513"/>
      <c r="G161" s="2513"/>
      <c r="H161" s="2513"/>
      <c r="I161" s="2513"/>
      <c r="J161" s="2425"/>
      <c r="K161" s="2461"/>
      <c r="L161" s="2461"/>
      <c r="M161" s="2461"/>
      <c r="N161" s="2461"/>
      <c r="O161" s="2461"/>
      <c r="P161" s="2461"/>
    </row>
    <row r="162" spans="1:16" x14ac:dyDescent="0.2">
      <c r="A162" s="1746"/>
      <c r="B162" s="1746" t="s">
        <v>114</v>
      </c>
      <c r="C162" s="1769"/>
      <c r="D162" s="2459" t="s">
        <v>3046</v>
      </c>
      <c r="E162" s="2499">
        <v>12438.1</v>
      </c>
      <c r="F162" s="2499">
        <v>13312.5</v>
      </c>
      <c r="G162" s="2499">
        <v>12436</v>
      </c>
      <c r="H162" s="2499">
        <v>12671</v>
      </c>
      <c r="I162" s="2499">
        <v>12791</v>
      </c>
      <c r="J162" s="2041" t="s">
        <v>1449</v>
      </c>
      <c r="K162" s="2242" t="s">
        <v>115</v>
      </c>
      <c r="L162" s="2242">
        <v>43</v>
      </c>
      <c r="M162" s="1871">
        <v>48</v>
      </c>
      <c r="N162" s="1871">
        <v>60</v>
      </c>
      <c r="O162" s="1871">
        <v>60</v>
      </c>
      <c r="P162" s="1871">
        <v>60</v>
      </c>
    </row>
    <row r="163" spans="1:16" x14ac:dyDescent="0.2">
      <c r="A163" s="1746"/>
      <c r="B163" s="1746"/>
      <c r="C163" s="1769"/>
      <c r="D163" s="2459"/>
      <c r="E163" s="2499"/>
      <c r="F163" s="2499"/>
      <c r="G163" s="2499"/>
      <c r="H163" s="2499"/>
      <c r="I163" s="2499"/>
      <c r="J163" s="2041"/>
      <c r="K163" s="2242"/>
      <c r="L163" s="2242"/>
      <c r="M163" s="1871"/>
      <c r="N163" s="1871"/>
      <c r="O163" s="1871"/>
      <c r="P163" s="1871"/>
    </row>
    <row r="164" spans="1:16" ht="38.25" x14ac:dyDescent="0.2">
      <c r="A164" s="696"/>
      <c r="B164" s="696" t="s">
        <v>116</v>
      </c>
      <c r="C164" s="599"/>
      <c r="D164" s="1439" t="s">
        <v>3047</v>
      </c>
      <c r="E164" s="2517">
        <v>21059.9</v>
      </c>
      <c r="F164" s="2517">
        <v>20305.3</v>
      </c>
      <c r="G164" s="2517">
        <v>21566.400000000001</v>
      </c>
      <c r="H164" s="2517">
        <v>21512</v>
      </c>
      <c r="I164" s="2517">
        <v>21512</v>
      </c>
      <c r="J164" s="2041" t="s">
        <v>1450</v>
      </c>
      <c r="K164" s="2242" t="s">
        <v>115</v>
      </c>
      <c r="L164" s="2242">
        <v>154</v>
      </c>
      <c r="M164" s="1871">
        <v>237</v>
      </c>
      <c r="N164" s="1871">
        <v>324</v>
      </c>
      <c r="O164" s="1871">
        <v>310</v>
      </c>
      <c r="P164" s="1871">
        <v>310</v>
      </c>
    </row>
    <row r="165" spans="1:16" ht="63.75" x14ac:dyDescent="0.2">
      <c r="A165" s="696"/>
      <c r="B165" s="696" t="s">
        <v>119</v>
      </c>
      <c r="C165" s="599"/>
      <c r="D165" s="1440" t="s">
        <v>3048</v>
      </c>
      <c r="E165" s="2517">
        <v>22348</v>
      </c>
      <c r="F165" s="2517">
        <v>28762.9</v>
      </c>
      <c r="G165" s="2517">
        <v>22455.599999999999</v>
      </c>
      <c r="H165" s="2517">
        <v>26901.200000000001</v>
      </c>
      <c r="I165" s="2517">
        <v>26901.200000000001</v>
      </c>
      <c r="J165" s="2041"/>
      <c r="K165" s="2242"/>
      <c r="L165" s="2242"/>
      <c r="M165" s="1871"/>
      <c r="N165" s="1871"/>
      <c r="O165" s="1871"/>
      <c r="P165" s="1871"/>
    </row>
    <row r="166" spans="1:16" x14ac:dyDescent="0.2">
      <c r="A166" s="1719" t="s">
        <v>2722</v>
      </c>
      <c r="B166" s="1720"/>
      <c r="C166" s="1720"/>
      <c r="D166" s="1721"/>
      <c r="E166" s="2521">
        <v>10798175.699999999</v>
      </c>
      <c r="F166" s="2521">
        <v>10936265.400000002</v>
      </c>
      <c r="G166" s="2521">
        <v>9153386.722000001</v>
      </c>
      <c r="H166" s="2521">
        <v>9538939.3715000004</v>
      </c>
      <c r="I166" s="2521">
        <v>10128361.837000001</v>
      </c>
      <c r="J166" s="1253"/>
      <c r="K166" s="1255"/>
      <c r="L166" s="1254"/>
      <c r="M166" s="1255"/>
      <c r="N166" s="702"/>
      <c r="O166" s="702"/>
      <c r="P166" s="702"/>
    </row>
  </sheetData>
  <mergeCells count="407">
    <mergeCell ref="A83:A89"/>
    <mergeCell ref="B83:B89"/>
    <mergeCell ref="C83:C89"/>
    <mergeCell ref="A90:A93"/>
    <mergeCell ref="B90:B93"/>
    <mergeCell ref="C90:C93"/>
    <mergeCell ref="D90:D93"/>
    <mergeCell ref="K96:P96"/>
    <mergeCell ref="E94:E95"/>
    <mergeCell ref="F94:F95"/>
    <mergeCell ref="G94:G95"/>
    <mergeCell ref="H94:H95"/>
    <mergeCell ref="I94:I95"/>
    <mergeCell ref="A96:D96"/>
    <mergeCell ref="E90:E93"/>
    <mergeCell ref="F90:F93"/>
    <mergeCell ref="G90:G93"/>
    <mergeCell ref="H90:H93"/>
    <mergeCell ref="I90:I93"/>
    <mergeCell ref="A94:A95"/>
    <mergeCell ref="B94:B95"/>
    <mergeCell ref="C94:C95"/>
    <mergeCell ref="D94:D95"/>
    <mergeCell ref="E40:E44"/>
    <mergeCell ref="F40:F44"/>
    <mergeCell ref="G40:G44"/>
    <mergeCell ref="H40:H44"/>
    <mergeCell ref="I40:I44"/>
    <mergeCell ref="E46:E49"/>
    <mergeCell ref="F46:F49"/>
    <mergeCell ref="D83:D89"/>
    <mergeCell ref="E83:E89"/>
    <mergeCell ref="F83:F89"/>
    <mergeCell ref="G83:G89"/>
    <mergeCell ref="H83:H89"/>
    <mergeCell ref="I83:I89"/>
    <mergeCell ref="D80:D82"/>
    <mergeCell ref="E80:E82"/>
    <mergeCell ref="F80:F82"/>
    <mergeCell ref="G80:G82"/>
    <mergeCell ref="H80:H82"/>
    <mergeCell ref="I80:I82"/>
    <mergeCell ref="A12:P12"/>
    <mergeCell ref="A13:A16"/>
    <mergeCell ref="B13:B16"/>
    <mergeCell ref="C13:C16"/>
    <mergeCell ref="D13:D16"/>
    <mergeCell ref="E13:E16"/>
    <mergeCell ref="D30:D38"/>
    <mergeCell ref="L13:L14"/>
    <mergeCell ref="M13:M14"/>
    <mergeCell ref="N13:N14"/>
    <mergeCell ref="O13:O14"/>
    <mergeCell ref="P13:P14"/>
    <mergeCell ref="F13:F16"/>
    <mergeCell ref="G13:G16"/>
    <mergeCell ref="H13:H16"/>
    <mergeCell ref="I13:I16"/>
    <mergeCell ref="K13:K14"/>
    <mergeCell ref="E30:E38"/>
    <mergeCell ref="F30:F38"/>
    <mergeCell ref="G30:G38"/>
    <mergeCell ref="H30:H38"/>
    <mergeCell ref="I30:I38"/>
    <mergeCell ref="J13:J14"/>
    <mergeCell ref="L2:P5"/>
    <mergeCell ref="A7:D7"/>
    <mergeCell ref="A9:A11"/>
    <mergeCell ref="B9:B11"/>
    <mergeCell ref="C9:C11"/>
    <mergeCell ref="D9:D11"/>
    <mergeCell ref="E9:I9"/>
    <mergeCell ref="J9:J11"/>
    <mergeCell ref="K9:K11"/>
    <mergeCell ref="L9:L10"/>
    <mergeCell ref="M9:P10"/>
    <mergeCell ref="E10:I10"/>
    <mergeCell ref="E23:E27"/>
    <mergeCell ref="F23:F27"/>
    <mergeCell ref="G23:G27"/>
    <mergeCell ref="E28:E29"/>
    <mergeCell ref="F28:F29"/>
    <mergeCell ref="G28:G29"/>
    <mergeCell ref="H28:H29"/>
    <mergeCell ref="I28:I29"/>
    <mergeCell ref="H24:H27"/>
    <mergeCell ref="I24:I27"/>
    <mergeCell ref="G46:G49"/>
    <mergeCell ref="H46:H49"/>
    <mergeCell ref="I46:I49"/>
    <mergeCell ref="E52:E56"/>
    <mergeCell ref="F52:F56"/>
    <mergeCell ref="G52:G56"/>
    <mergeCell ref="H52:H56"/>
    <mergeCell ref="I52:I56"/>
    <mergeCell ref="E57:E68"/>
    <mergeCell ref="F57:F68"/>
    <mergeCell ref="G57:G68"/>
    <mergeCell ref="H57:H68"/>
    <mergeCell ref="I57:I68"/>
    <mergeCell ref="A23:A27"/>
    <mergeCell ref="B23:B27"/>
    <mergeCell ref="C23:C27"/>
    <mergeCell ref="A28:A29"/>
    <mergeCell ref="B28:B29"/>
    <mergeCell ref="C28:C29"/>
    <mergeCell ref="D28:D29"/>
    <mergeCell ref="B30:B38"/>
    <mergeCell ref="A30:A38"/>
    <mergeCell ref="C30:C38"/>
    <mergeCell ref="D23:D27"/>
    <mergeCell ref="A40:A44"/>
    <mergeCell ref="B40:B44"/>
    <mergeCell ref="C40:C44"/>
    <mergeCell ref="D40:D44"/>
    <mergeCell ref="A46:A49"/>
    <mergeCell ref="B46:B49"/>
    <mergeCell ref="C46:C49"/>
    <mergeCell ref="D46:D49"/>
    <mergeCell ref="A52:A56"/>
    <mergeCell ref="B52:B56"/>
    <mergeCell ref="C52:C56"/>
    <mergeCell ref="D52:D56"/>
    <mergeCell ref="L98:L100"/>
    <mergeCell ref="M98:M100"/>
    <mergeCell ref="N98:N100"/>
    <mergeCell ref="A57:A68"/>
    <mergeCell ref="B57:B68"/>
    <mergeCell ref="C57:C68"/>
    <mergeCell ref="D57:D68"/>
    <mergeCell ref="A98:A101"/>
    <mergeCell ref="B98:B101"/>
    <mergeCell ref="C98:C101"/>
    <mergeCell ref="D98:D99"/>
    <mergeCell ref="E98:E101"/>
    <mergeCell ref="A73:A79"/>
    <mergeCell ref="B73:B79"/>
    <mergeCell ref="C73:C79"/>
    <mergeCell ref="D73:D79"/>
    <mergeCell ref="E73:E79"/>
    <mergeCell ref="F73:F79"/>
    <mergeCell ref="G73:G79"/>
    <mergeCell ref="H73:H79"/>
    <mergeCell ref="I73:I79"/>
    <mergeCell ref="A80:A82"/>
    <mergeCell ref="B80:B82"/>
    <mergeCell ref="C80:C82"/>
    <mergeCell ref="A105:A107"/>
    <mergeCell ref="B105:B107"/>
    <mergeCell ref="C105:C107"/>
    <mergeCell ref="D105:D106"/>
    <mergeCell ref="E105:E107"/>
    <mergeCell ref="F105:F107"/>
    <mergeCell ref="G105:G107"/>
    <mergeCell ref="H105:H107"/>
    <mergeCell ref="I105:I107"/>
    <mergeCell ref="C108:C109"/>
    <mergeCell ref="D108:D109"/>
    <mergeCell ref="E108:E109"/>
    <mergeCell ref="F108:F109"/>
    <mergeCell ref="G108:G109"/>
    <mergeCell ref="H108:H109"/>
    <mergeCell ref="I108:I109"/>
    <mergeCell ref="O98:O100"/>
    <mergeCell ref="P98:P100"/>
    <mergeCell ref="D100:D101"/>
    <mergeCell ref="E102:E104"/>
    <mergeCell ref="J105:J106"/>
    <mergeCell ref="K105:K106"/>
    <mergeCell ref="L105:L106"/>
    <mergeCell ref="M105:M106"/>
    <mergeCell ref="N105:N106"/>
    <mergeCell ref="O105:O106"/>
    <mergeCell ref="P105:P106"/>
    <mergeCell ref="F98:F101"/>
    <mergeCell ref="G98:G101"/>
    <mergeCell ref="H98:H101"/>
    <mergeCell ref="I98:I101"/>
    <mergeCell ref="J98:J100"/>
    <mergeCell ref="K98:K100"/>
    <mergeCell ref="J108:J113"/>
    <mergeCell ref="K108:K109"/>
    <mergeCell ref="L108:L109"/>
    <mergeCell ref="M108:M109"/>
    <mergeCell ref="N108:N109"/>
    <mergeCell ref="O108:O109"/>
    <mergeCell ref="P108:P109"/>
    <mergeCell ref="A112:A113"/>
    <mergeCell ref="B112:B113"/>
    <mergeCell ref="C112:C113"/>
    <mergeCell ref="D112:D113"/>
    <mergeCell ref="E112:E113"/>
    <mergeCell ref="F112:F113"/>
    <mergeCell ref="G112:G113"/>
    <mergeCell ref="H112:H113"/>
    <mergeCell ref="I112:I113"/>
    <mergeCell ref="K112:K113"/>
    <mergeCell ref="L112:L113"/>
    <mergeCell ref="M112:M113"/>
    <mergeCell ref="N112:N113"/>
    <mergeCell ref="O112:O113"/>
    <mergeCell ref="P112:P113"/>
    <mergeCell ref="A108:A109"/>
    <mergeCell ref="B108:B109"/>
    <mergeCell ref="A114:A115"/>
    <mergeCell ref="B114:B115"/>
    <mergeCell ref="C114:C115"/>
    <mergeCell ref="D114:D115"/>
    <mergeCell ref="E114:E115"/>
    <mergeCell ref="F114:F115"/>
    <mergeCell ref="G114:G115"/>
    <mergeCell ref="H114:H115"/>
    <mergeCell ref="I114:I115"/>
    <mergeCell ref="J120:J123"/>
    <mergeCell ref="A116:A117"/>
    <mergeCell ref="B116:B117"/>
    <mergeCell ref="C116:C117"/>
    <mergeCell ref="D116:D117"/>
    <mergeCell ref="E116:E117"/>
    <mergeCell ref="F116:F117"/>
    <mergeCell ref="G116:G117"/>
    <mergeCell ref="H116:H117"/>
    <mergeCell ref="I116:I117"/>
    <mergeCell ref="K120:K123"/>
    <mergeCell ref="L120:L123"/>
    <mergeCell ref="M120:M123"/>
    <mergeCell ref="N120:N123"/>
    <mergeCell ref="O120:O123"/>
    <mergeCell ref="P120:P123"/>
    <mergeCell ref="D121:D123"/>
    <mergeCell ref="A124:A126"/>
    <mergeCell ref="B124:B126"/>
    <mergeCell ref="C124:C126"/>
    <mergeCell ref="D124:D126"/>
    <mergeCell ref="E124:E126"/>
    <mergeCell ref="F124:F126"/>
    <mergeCell ref="G124:G126"/>
    <mergeCell ref="H124:H126"/>
    <mergeCell ref="I124:I126"/>
    <mergeCell ref="A120:A123"/>
    <mergeCell ref="B120:B123"/>
    <mergeCell ref="C120:C123"/>
    <mergeCell ref="E120:E123"/>
    <mergeCell ref="F120:F123"/>
    <mergeCell ref="G120:G123"/>
    <mergeCell ref="H120:H123"/>
    <mergeCell ref="I120:I123"/>
    <mergeCell ref="A127:A129"/>
    <mergeCell ref="B127:B129"/>
    <mergeCell ref="C127:C129"/>
    <mergeCell ref="D127:D129"/>
    <mergeCell ref="E127:E129"/>
    <mergeCell ref="F127:F129"/>
    <mergeCell ref="G127:G129"/>
    <mergeCell ref="H127:H129"/>
    <mergeCell ref="I127:I129"/>
    <mergeCell ref="A130:A132"/>
    <mergeCell ref="B130:B132"/>
    <mergeCell ref="C130:C132"/>
    <mergeCell ref="D130:D132"/>
    <mergeCell ref="E130:E132"/>
    <mergeCell ref="F130:F132"/>
    <mergeCell ref="G130:G132"/>
    <mergeCell ref="H130:H132"/>
    <mergeCell ref="I130:I132"/>
    <mergeCell ref="A133:A134"/>
    <mergeCell ref="B133:B134"/>
    <mergeCell ref="C133:C134"/>
    <mergeCell ref="D133:D134"/>
    <mergeCell ref="E133:E134"/>
    <mergeCell ref="F133:F134"/>
    <mergeCell ref="G133:G134"/>
    <mergeCell ref="H133:H134"/>
    <mergeCell ref="I133:I134"/>
    <mergeCell ref="A135:A137"/>
    <mergeCell ref="B135:B137"/>
    <mergeCell ref="C135:C137"/>
    <mergeCell ref="D135:D137"/>
    <mergeCell ref="E135:E137"/>
    <mergeCell ref="F135:F137"/>
    <mergeCell ref="G135:G137"/>
    <mergeCell ref="H135:H137"/>
    <mergeCell ref="I135:I137"/>
    <mergeCell ref="A138:A140"/>
    <mergeCell ref="B138:B140"/>
    <mergeCell ref="C138:C140"/>
    <mergeCell ref="D138:D140"/>
    <mergeCell ref="E138:E140"/>
    <mergeCell ref="F138:F140"/>
    <mergeCell ref="G138:G140"/>
    <mergeCell ref="H138:H140"/>
    <mergeCell ref="I138:I140"/>
    <mergeCell ref="A141:A143"/>
    <mergeCell ref="B141:B143"/>
    <mergeCell ref="C141:C143"/>
    <mergeCell ref="D141:D143"/>
    <mergeCell ref="E141:E143"/>
    <mergeCell ref="F141:F143"/>
    <mergeCell ref="G141:G143"/>
    <mergeCell ref="H141:H143"/>
    <mergeCell ref="I141:I143"/>
    <mergeCell ref="I147:I150"/>
    <mergeCell ref="A144:A146"/>
    <mergeCell ref="B144:B146"/>
    <mergeCell ref="C144:C146"/>
    <mergeCell ref="D144:D146"/>
    <mergeCell ref="E144:E146"/>
    <mergeCell ref="F144:F146"/>
    <mergeCell ref="G144:G146"/>
    <mergeCell ref="H144:H146"/>
    <mergeCell ref="I144:I146"/>
    <mergeCell ref="J147:J150"/>
    <mergeCell ref="K147:K150"/>
    <mergeCell ref="L147:L150"/>
    <mergeCell ref="M147:M150"/>
    <mergeCell ref="N147:N150"/>
    <mergeCell ref="O147:O150"/>
    <mergeCell ref="P147:P150"/>
    <mergeCell ref="A151:A152"/>
    <mergeCell ref="B151:B152"/>
    <mergeCell ref="C151:C152"/>
    <mergeCell ref="D151:D152"/>
    <mergeCell ref="E151:E152"/>
    <mergeCell ref="F151:F152"/>
    <mergeCell ref="G151:G152"/>
    <mergeCell ref="H151:H152"/>
    <mergeCell ref="I151:I152"/>
    <mergeCell ref="A147:A150"/>
    <mergeCell ref="B147:B150"/>
    <mergeCell ref="C147:C150"/>
    <mergeCell ref="D147:D149"/>
    <mergeCell ref="E147:E150"/>
    <mergeCell ref="F147:F150"/>
    <mergeCell ref="G147:G150"/>
    <mergeCell ref="H147:H150"/>
    <mergeCell ref="K154:K155"/>
    <mergeCell ref="L154:L155"/>
    <mergeCell ref="M154:M155"/>
    <mergeCell ref="N154:N155"/>
    <mergeCell ref="O154:O155"/>
    <mergeCell ref="P154:P155"/>
    <mergeCell ref="A156:A157"/>
    <mergeCell ref="B156:B157"/>
    <mergeCell ref="C156:C157"/>
    <mergeCell ref="D156:D157"/>
    <mergeCell ref="E156:E157"/>
    <mergeCell ref="F156:F157"/>
    <mergeCell ref="G156:G157"/>
    <mergeCell ref="H156:H157"/>
    <mergeCell ref="I156:I157"/>
    <mergeCell ref="A154:A155"/>
    <mergeCell ref="B154:B155"/>
    <mergeCell ref="C154:C155"/>
    <mergeCell ref="E154:E155"/>
    <mergeCell ref="F154:F155"/>
    <mergeCell ref="G154:G155"/>
    <mergeCell ref="H154:H155"/>
    <mergeCell ref="I154:I155"/>
    <mergeCell ref="J154:J155"/>
    <mergeCell ref="A158:A161"/>
    <mergeCell ref="B158:B161"/>
    <mergeCell ref="C158:C161"/>
    <mergeCell ref="E158:E161"/>
    <mergeCell ref="F158:F161"/>
    <mergeCell ref="G158:G161"/>
    <mergeCell ref="H158:H161"/>
    <mergeCell ref="I158:I161"/>
    <mergeCell ref="J158:J159"/>
    <mergeCell ref="I162:I163"/>
    <mergeCell ref="K158:K159"/>
    <mergeCell ref="L158:L159"/>
    <mergeCell ref="M158:M159"/>
    <mergeCell ref="N158:N159"/>
    <mergeCell ref="O158:O159"/>
    <mergeCell ref="P158:P159"/>
    <mergeCell ref="D159:D161"/>
    <mergeCell ref="J160:J161"/>
    <mergeCell ref="K160:K161"/>
    <mergeCell ref="L160:L161"/>
    <mergeCell ref="M160:M161"/>
    <mergeCell ref="N160:N161"/>
    <mergeCell ref="O160:O161"/>
    <mergeCell ref="P160:P161"/>
    <mergeCell ref="A166:D166"/>
    <mergeCell ref="A97:P97"/>
    <mergeCell ref="J162:J163"/>
    <mergeCell ref="K162:K163"/>
    <mergeCell ref="L162:L163"/>
    <mergeCell ref="M162:M163"/>
    <mergeCell ref="N162:N163"/>
    <mergeCell ref="O162:O163"/>
    <mergeCell ref="P162:P163"/>
    <mergeCell ref="J164:J165"/>
    <mergeCell ref="K164:K165"/>
    <mergeCell ref="L164:L165"/>
    <mergeCell ref="M164:M165"/>
    <mergeCell ref="N164:N165"/>
    <mergeCell ref="O164:O165"/>
    <mergeCell ref="P164:P165"/>
    <mergeCell ref="A162:A163"/>
    <mergeCell ref="B162:B163"/>
    <mergeCell ref="C162:C163"/>
    <mergeCell ref="D162:D163"/>
    <mergeCell ref="E162:E163"/>
    <mergeCell ref="F162:F163"/>
    <mergeCell ref="G162:G163"/>
    <mergeCell ref="H162:H163"/>
  </mergeCells>
  <pageMargins left="0.70866141732283472" right="0.70866141732283472" top="0.55118110236220474" bottom="0.74803149606299213" header="0.31496062992125984" footer="0.31496062992125984"/>
  <pageSetup paperSize="9" scale="48"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7" ma:contentTypeDescription="Create a new document." ma:contentTypeScope="" ma:versionID="51ef2a954b69d86734c14b4cd506bcfe">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af103c883d2af257059248ef15c4ccfb"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455CB2EB-2D6D-4561-B244-5F20DBDD63DC}"/>
</file>

<file path=customXml/itemProps2.xml><?xml version="1.0" encoding="utf-8"?>
<ds:datastoreItem xmlns:ds="http://schemas.openxmlformats.org/officeDocument/2006/customXml" ds:itemID="{C1B0C47B-57C9-4ABC-B56E-10D0D8502DD5}"/>
</file>

<file path=customXml/itemProps3.xml><?xml version="1.0" encoding="utf-8"?>
<ds:datastoreItem xmlns:ds="http://schemas.openxmlformats.org/officeDocument/2006/customXml" ds:itemID="{BD622092-0AB9-469B-BA0B-5D1AEE761E0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Приложение 11 кыр</vt:lpstr>
      <vt:lpstr>приложение 11-2 кырг</vt:lpstr>
      <vt:lpstr>'Приложение 11 кыр'!Заголовки_для_печати</vt:lpstr>
      <vt:lpstr>'приложение 11-2 кырг'!Заголовки_для_печати</vt:lpstr>
      <vt:lpstr>'Приложение 11 кыр'!Область_печати</vt:lpstr>
      <vt:lpstr>'приложение 11-2 кырг'!Область_печати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2020-12-23T15:26:31Z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